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I:\OKS\Ковалев Д.А\Операционный бюджет\2024г\7. Кровля помола\ТЗ 1\В ТЕЗИС 4\Вложение №1 - Приложения к ТЗ (v.3)\"/>
    </mc:Choice>
  </mc:AlternateContent>
  <xr:revisionPtr revIDLastSave="0" documentId="13_ncr:1_{85F4B1FF-A6EC-40EB-AAC6-C25E76416D35}" xr6:coauthVersionLast="36" xr6:coauthVersionMax="36" xr10:uidLastSave="{00000000-0000-0000-0000-000000000000}"/>
  <bookViews>
    <workbookView xWindow="0" yWindow="0" windowWidth="21570" windowHeight="10215" xr2:uid="{00000000-000D-0000-FFFF-FFFF00000000}"/>
  </bookViews>
  <sheets>
    <sheet name="Смета 12 гр. по ФЕР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12 гр. по ФЕР'!$37:$37</definedName>
    <definedName name="_xlnm.Print_Area" localSheetId="0">'Смета 12 гр. по ФЕР'!$A$4:$L$193</definedName>
  </definedNames>
  <calcPr calcId="191029" iterate="1"/>
</workbook>
</file>

<file path=xl/calcChain.xml><?xml version="1.0" encoding="utf-8"?>
<calcChain xmlns="http://schemas.openxmlformats.org/spreadsheetml/2006/main">
  <c r="B18" i="6" l="1"/>
  <c r="C192" i="6" l="1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Z168" i="6"/>
  <c r="Y168" i="6"/>
  <c r="X168" i="6"/>
  <c r="J166" i="6"/>
  <c r="G166" i="6"/>
  <c r="F166" i="6"/>
  <c r="D166" i="6"/>
  <c r="I166" i="6"/>
  <c r="C166" i="6"/>
  <c r="B166" i="6"/>
  <c r="Z165" i="6"/>
  <c r="Y165" i="6"/>
  <c r="X165" i="6"/>
  <c r="J164" i="6"/>
  <c r="G164" i="6"/>
  <c r="F164" i="6"/>
  <c r="D164" i="6"/>
  <c r="I164" i="6"/>
  <c r="C164" i="6"/>
  <c r="B164" i="6"/>
  <c r="Z163" i="6"/>
  <c r="Y163" i="6"/>
  <c r="X163" i="6"/>
  <c r="J162" i="6"/>
  <c r="G162" i="6"/>
  <c r="F162" i="6"/>
  <c r="D162" i="6"/>
  <c r="I162" i="6"/>
  <c r="C162" i="6"/>
  <c r="B162" i="6"/>
  <c r="Z161" i="6"/>
  <c r="Y161" i="6"/>
  <c r="X161" i="6"/>
  <c r="J160" i="6"/>
  <c r="G160" i="6"/>
  <c r="F160" i="6"/>
  <c r="D160" i="6"/>
  <c r="I160" i="6"/>
  <c r="B160" i="6"/>
  <c r="Z159" i="6"/>
  <c r="Y159" i="6"/>
  <c r="X159" i="6"/>
  <c r="G158" i="6"/>
  <c r="E158" i="6"/>
  <c r="J157" i="6"/>
  <c r="E157" i="6"/>
  <c r="J156" i="6"/>
  <c r="E156" i="6"/>
  <c r="J155" i="6"/>
  <c r="G155" i="6"/>
  <c r="F155" i="6"/>
  <c r="J154" i="6"/>
  <c r="G154" i="6"/>
  <c r="F154" i="6"/>
  <c r="J153" i="6"/>
  <c r="G153" i="6"/>
  <c r="F153" i="6"/>
  <c r="J152" i="6"/>
  <c r="G152" i="6"/>
  <c r="F152" i="6"/>
  <c r="F150" i="6"/>
  <c r="D150" i="6"/>
  <c r="I150" i="6"/>
  <c r="C150" i="6"/>
  <c r="B150" i="6"/>
  <c r="Z149" i="6"/>
  <c r="Y149" i="6"/>
  <c r="X149" i="6"/>
  <c r="G148" i="6"/>
  <c r="E148" i="6"/>
  <c r="J147" i="6"/>
  <c r="E147" i="6"/>
  <c r="J146" i="6"/>
  <c r="E146" i="6"/>
  <c r="J145" i="6"/>
  <c r="G145" i="6"/>
  <c r="F145" i="6"/>
  <c r="J144" i="6"/>
  <c r="G144" i="6"/>
  <c r="F144" i="6"/>
  <c r="J143" i="6"/>
  <c r="G143" i="6"/>
  <c r="F143" i="6"/>
  <c r="J142" i="6"/>
  <c r="G142" i="6"/>
  <c r="F142" i="6"/>
  <c r="F140" i="6"/>
  <c r="D140" i="6"/>
  <c r="I140" i="6"/>
  <c r="C140" i="6"/>
  <c r="B140" i="6"/>
  <c r="Z139" i="6"/>
  <c r="Y139" i="6"/>
  <c r="X139" i="6"/>
  <c r="J137" i="6"/>
  <c r="G137" i="6"/>
  <c r="F137" i="6"/>
  <c r="D137" i="6"/>
  <c r="I137" i="6"/>
  <c r="B137" i="6"/>
  <c r="Z136" i="6"/>
  <c r="Y136" i="6"/>
  <c r="X136" i="6"/>
  <c r="J134" i="6"/>
  <c r="G134" i="6"/>
  <c r="F134" i="6"/>
  <c r="D134" i="6"/>
  <c r="I134" i="6"/>
  <c r="B134" i="6"/>
  <c r="Z133" i="6"/>
  <c r="Y133" i="6"/>
  <c r="X133" i="6"/>
  <c r="G132" i="6"/>
  <c r="E132" i="6"/>
  <c r="J131" i="6"/>
  <c r="F131" i="6"/>
  <c r="E131" i="6"/>
  <c r="J130" i="6"/>
  <c r="E130" i="6"/>
  <c r="J129" i="6"/>
  <c r="G129" i="6"/>
  <c r="F129" i="6"/>
  <c r="J128" i="6"/>
  <c r="G128" i="6"/>
  <c r="F128" i="6"/>
  <c r="J127" i="6"/>
  <c r="G127" i="6"/>
  <c r="F127" i="6"/>
  <c r="J126" i="6"/>
  <c r="G126" i="6"/>
  <c r="F126" i="6"/>
  <c r="F124" i="6"/>
  <c r="D124" i="6"/>
  <c r="I124" i="6"/>
  <c r="C124" i="6"/>
  <c r="B124" i="6"/>
  <c r="Z123" i="6"/>
  <c r="Y123" i="6"/>
  <c r="X123" i="6"/>
  <c r="J121" i="6"/>
  <c r="G121" i="6"/>
  <c r="F121" i="6"/>
  <c r="D121" i="6"/>
  <c r="I121" i="6"/>
  <c r="B121" i="6"/>
  <c r="Z120" i="6"/>
  <c r="Y120" i="6"/>
  <c r="X120" i="6"/>
  <c r="J118" i="6"/>
  <c r="G118" i="6"/>
  <c r="F118" i="6"/>
  <c r="D118" i="6"/>
  <c r="I118" i="6"/>
  <c r="B118" i="6"/>
  <c r="Z117" i="6"/>
  <c r="Y117" i="6"/>
  <c r="X117" i="6"/>
  <c r="G116" i="6"/>
  <c r="E116" i="6"/>
  <c r="J115" i="6"/>
  <c r="F115" i="6"/>
  <c r="E115" i="6"/>
  <c r="J114" i="6"/>
  <c r="E114" i="6"/>
  <c r="J113" i="6"/>
  <c r="G113" i="6"/>
  <c r="F113" i="6"/>
  <c r="J112" i="6"/>
  <c r="G112" i="6"/>
  <c r="F112" i="6"/>
  <c r="J111" i="6"/>
  <c r="G111" i="6"/>
  <c r="F111" i="6"/>
  <c r="J110" i="6"/>
  <c r="G110" i="6"/>
  <c r="F110" i="6"/>
  <c r="F108" i="6"/>
  <c r="D108" i="6"/>
  <c r="I108" i="6"/>
  <c r="C108" i="6"/>
  <c r="B108" i="6"/>
  <c r="Z107" i="6"/>
  <c r="Y107" i="6"/>
  <c r="X107" i="6"/>
  <c r="J106" i="6"/>
  <c r="G106" i="6"/>
  <c r="F106" i="6"/>
  <c r="D106" i="6"/>
  <c r="I106" i="6"/>
  <c r="B106" i="6"/>
  <c r="Z105" i="6"/>
  <c r="Y105" i="6"/>
  <c r="X105" i="6"/>
  <c r="J104" i="6"/>
  <c r="Z104" i="6"/>
  <c r="Y104" i="6"/>
  <c r="X104" i="6"/>
  <c r="F104" i="6"/>
  <c r="D104" i="6"/>
  <c r="C104" i="6"/>
  <c r="B104" i="6"/>
  <c r="G103" i="6"/>
  <c r="E103" i="6"/>
  <c r="J102" i="6"/>
  <c r="F102" i="6"/>
  <c r="E102" i="6"/>
  <c r="J101" i="6"/>
  <c r="E101" i="6"/>
  <c r="J100" i="6"/>
  <c r="G100" i="6"/>
  <c r="F100" i="6"/>
  <c r="J99" i="6"/>
  <c r="G99" i="6"/>
  <c r="F99" i="6"/>
  <c r="J98" i="6"/>
  <c r="G98" i="6"/>
  <c r="F98" i="6"/>
  <c r="J97" i="6"/>
  <c r="G97" i="6"/>
  <c r="F97" i="6"/>
  <c r="F95" i="6"/>
  <c r="D95" i="6"/>
  <c r="I95" i="6"/>
  <c r="C95" i="6"/>
  <c r="B95" i="6"/>
  <c r="Z94" i="6"/>
  <c r="Y94" i="6"/>
  <c r="X94" i="6"/>
  <c r="G93" i="6"/>
  <c r="E93" i="6"/>
  <c r="J92" i="6"/>
  <c r="E92" i="6"/>
  <c r="J91" i="6"/>
  <c r="E91" i="6"/>
  <c r="J90" i="6"/>
  <c r="G90" i="6"/>
  <c r="F90" i="6"/>
  <c r="J89" i="6"/>
  <c r="G89" i="6"/>
  <c r="F89" i="6"/>
  <c r="J88" i="6"/>
  <c r="G88" i="6"/>
  <c r="F88" i="6"/>
  <c r="F86" i="6"/>
  <c r="D86" i="6"/>
  <c r="I86" i="6"/>
  <c r="C86" i="6"/>
  <c r="B86" i="6"/>
  <c r="Z85" i="6"/>
  <c r="Y85" i="6"/>
  <c r="X85" i="6"/>
  <c r="J84" i="6"/>
  <c r="G84" i="6"/>
  <c r="F84" i="6"/>
  <c r="D84" i="6"/>
  <c r="I84" i="6"/>
  <c r="B84" i="6"/>
  <c r="Z83" i="6"/>
  <c r="Y83" i="6"/>
  <c r="X83" i="6"/>
  <c r="G82" i="6"/>
  <c r="E82" i="6"/>
  <c r="J81" i="6"/>
  <c r="F81" i="6"/>
  <c r="E81" i="6"/>
  <c r="J80" i="6"/>
  <c r="E80" i="6"/>
  <c r="J79" i="6"/>
  <c r="G79" i="6"/>
  <c r="F79" i="6"/>
  <c r="J78" i="6"/>
  <c r="G78" i="6"/>
  <c r="F78" i="6"/>
  <c r="J77" i="6"/>
  <c r="G77" i="6"/>
  <c r="F77" i="6"/>
  <c r="F75" i="6"/>
  <c r="D75" i="6"/>
  <c r="I75" i="6"/>
  <c r="C75" i="6"/>
  <c r="B75" i="6"/>
  <c r="Z74" i="6"/>
  <c r="Y74" i="6"/>
  <c r="X74" i="6"/>
  <c r="G73" i="6"/>
  <c r="E73" i="6"/>
  <c r="J72" i="6"/>
  <c r="F72" i="6"/>
  <c r="E72" i="6"/>
  <c r="J71" i="6"/>
  <c r="E71" i="6"/>
  <c r="J70" i="6"/>
  <c r="G70" i="6"/>
  <c r="F70" i="6"/>
  <c r="J69" i="6"/>
  <c r="G69" i="6"/>
  <c r="F69" i="6"/>
  <c r="J68" i="6"/>
  <c r="G68" i="6"/>
  <c r="F68" i="6"/>
  <c r="J67" i="6"/>
  <c r="G67" i="6"/>
  <c r="F67" i="6"/>
  <c r="F65" i="6"/>
  <c r="D65" i="6"/>
  <c r="I65" i="6"/>
  <c r="C65" i="6"/>
  <c r="B65" i="6"/>
  <c r="Z64" i="6"/>
  <c r="Y64" i="6"/>
  <c r="X64" i="6"/>
  <c r="J63" i="6"/>
  <c r="G63" i="6"/>
  <c r="F63" i="6"/>
  <c r="E63" i="6"/>
  <c r="D63" i="6"/>
  <c r="I63" i="6"/>
  <c r="B63" i="6"/>
  <c r="Z62" i="6"/>
  <c r="Y62" i="6"/>
  <c r="X62" i="6"/>
  <c r="G61" i="6"/>
  <c r="E61" i="6"/>
  <c r="J60" i="6"/>
  <c r="E60" i="6"/>
  <c r="J59" i="6"/>
  <c r="E59" i="6"/>
  <c r="J58" i="6"/>
  <c r="G58" i="6"/>
  <c r="F58" i="6"/>
  <c r="J57" i="6"/>
  <c r="G57" i="6"/>
  <c r="F57" i="6"/>
  <c r="J56" i="6"/>
  <c r="G56" i="6"/>
  <c r="F56" i="6"/>
  <c r="F54" i="6"/>
  <c r="D54" i="6"/>
  <c r="I54" i="6"/>
  <c r="C54" i="6"/>
  <c r="B54" i="6"/>
  <c r="Z53" i="6"/>
  <c r="Y53" i="6"/>
  <c r="X53" i="6"/>
  <c r="G52" i="6"/>
  <c r="E52" i="6"/>
  <c r="J51" i="6"/>
  <c r="E51" i="6"/>
  <c r="J50" i="6"/>
  <c r="E50" i="6"/>
  <c r="J49" i="6"/>
  <c r="G49" i="6"/>
  <c r="F49" i="6"/>
  <c r="J48" i="6"/>
  <c r="G48" i="6"/>
  <c r="F48" i="6"/>
  <c r="J47" i="6"/>
  <c r="G47" i="6"/>
  <c r="F47" i="6"/>
  <c r="F45" i="6"/>
  <c r="D45" i="6"/>
  <c r="I45" i="6"/>
  <c r="C45" i="6"/>
  <c r="B45" i="6"/>
  <c r="Z44" i="6"/>
  <c r="Y44" i="6"/>
  <c r="X44" i="6"/>
  <c r="G43" i="6"/>
  <c r="E43" i="6"/>
  <c r="J42" i="6"/>
  <c r="E42" i="6"/>
  <c r="J41" i="6"/>
  <c r="E41" i="6"/>
  <c r="J40" i="6"/>
  <c r="G40" i="6"/>
  <c r="F40" i="6"/>
  <c r="J39" i="6"/>
  <c r="G39" i="6"/>
  <c r="F39" i="6"/>
  <c r="F38" i="6"/>
  <c r="D38" i="6"/>
  <c r="I38" i="6"/>
  <c r="C38" i="6"/>
  <c r="B38" i="6"/>
  <c r="A25" i="6"/>
  <c r="B22" i="6"/>
  <c r="H16" i="6"/>
  <c r="H9" i="6"/>
  <c r="B9" i="6"/>
  <c r="A4" i="6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1" i="3"/>
  <c r="Y1" i="3"/>
  <c r="CX1" i="3"/>
  <c r="CY1" i="3"/>
  <c r="CZ1" i="3"/>
  <c r="DB1" i="3" s="1"/>
  <c r="DA1" i="3"/>
  <c r="DC1" i="3"/>
  <c r="A2" i="3"/>
  <c r="Y2" i="3"/>
  <c r="CY2" i="3"/>
  <c r="CZ2" i="3"/>
  <c r="DB2" i="3" s="1"/>
  <c r="DA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B5" i="3" s="1"/>
  <c r="DA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B13" i="3" s="1"/>
  <c r="DA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B20" i="3" s="1"/>
  <c r="DA20" i="3"/>
  <c r="DC20" i="3"/>
  <c r="A21" i="3"/>
  <c r="Y21" i="3"/>
  <c r="CY21" i="3"/>
  <c r="CZ21" i="3"/>
  <c r="DB21" i="3" s="1"/>
  <c r="DA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B25" i="3" s="1"/>
  <c r="DA25" i="3"/>
  <c r="DC25" i="3"/>
  <c r="A26" i="3"/>
  <c r="Y26" i="3"/>
  <c r="CY26" i="3"/>
  <c r="CZ26" i="3"/>
  <c r="DB26" i="3" s="1"/>
  <c r="DA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DA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B31" i="3" s="1"/>
  <c r="DA31" i="3"/>
  <c r="DC31" i="3"/>
  <c r="A32" i="3"/>
  <c r="Y32" i="3"/>
  <c r="CX32" i="3"/>
  <c r="CY32" i="3"/>
  <c r="CZ32" i="3"/>
  <c r="DA32" i="3"/>
  <c r="DB32" i="3"/>
  <c r="DC32" i="3"/>
  <c r="A33" i="3"/>
  <c r="Y33" i="3"/>
  <c r="CX33" i="3"/>
  <c r="CY33" i="3"/>
  <c r="CZ33" i="3"/>
  <c r="DB33" i="3" s="1"/>
  <c r="DA33" i="3"/>
  <c r="DC33" i="3"/>
  <c r="A34" i="3"/>
  <c r="Y34" i="3"/>
  <c r="CY34" i="3"/>
  <c r="CZ34" i="3"/>
  <c r="DB34" i="3" s="1"/>
  <c r="DA34" i="3"/>
  <c r="DC34" i="3"/>
  <c r="A35" i="3"/>
  <c r="Y35" i="3"/>
  <c r="CY35" i="3"/>
  <c r="CZ35" i="3"/>
  <c r="DA35" i="3"/>
  <c r="DB35" i="3"/>
  <c r="DC35" i="3"/>
  <c r="A36" i="3"/>
  <c r="Y36" i="3"/>
  <c r="CX36" i="3" s="1"/>
  <c r="CY36" i="3"/>
  <c r="CZ36" i="3"/>
  <c r="DA36" i="3"/>
  <c r="DB36" i="3"/>
  <c r="DC36" i="3"/>
  <c r="A37" i="3"/>
  <c r="Y37" i="3"/>
  <c r="CY37" i="3"/>
  <c r="CZ37" i="3"/>
  <c r="DB37" i="3" s="1"/>
  <c r="DA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Y41" i="3"/>
  <c r="CZ41" i="3"/>
  <c r="DB41" i="3" s="1"/>
  <c r="DA41" i="3"/>
  <c r="DC41" i="3"/>
  <c r="A42" i="3"/>
  <c r="Y42" i="3"/>
  <c r="CY42" i="3"/>
  <c r="CZ42" i="3"/>
  <c r="DB42" i="3" s="1"/>
  <c r="DA42" i="3"/>
  <c r="DC42" i="3"/>
  <c r="A43" i="3"/>
  <c r="Y43" i="3"/>
  <c r="CY43" i="3"/>
  <c r="CZ43" i="3"/>
  <c r="DA43" i="3"/>
  <c r="DB43" i="3"/>
  <c r="DC43" i="3"/>
  <c r="A44" i="3"/>
  <c r="Y44" i="3"/>
  <c r="CX44" i="3" s="1"/>
  <c r="CY44" i="3"/>
  <c r="CZ44" i="3"/>
  <c r="DA44" i="3"/>
  <c r="DB44" i="3"/>
  <c r="DC44" i="3"/>
  <c r="A45" i="3"/>
  <c r="Y45" i="3"/>
  <c r="CY45" i="3"/>
  <c r="CZ45" i="3"/>
  <c r="DB45" i="3" s="1"/>
  <c r="DA45" i="3"/>
  <c r="DC45" i="3"/>
  <c r="A46" i="3"/>
  <c r="Y46" i="3"/>
  <c r="CY46" i="3"/>
  <c r="CZ46" i="3"/>
  <c r="DB46" i="3" s="1"/>
  <c r="DA46" i="3"/>
  <c r="DC46" i="3"/>
  <c r="A47" i="3"/>
  <c r="Y47" i="3"/>
  <c r="CY47" i="3"/>
  <c r="CZ47" i="3"/>
  <c r="DB47" i="3" s="1"/>
  <c r="DA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B49" i="3" s="1"/>
  <c r="DA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B55" i="3" s="1"/>
  <c r="DA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B57" i="3" s="1"/>
  <c r="DA57" i="3"/>
  <c r="DC57" i="3"/>
  <c r="A58" i="3"/>
  <c r="Y58" i="3"/>
  <c r="CY58" i="3"/>
  <c r="CZ58" i="3"/>
  <c r="DB58" i="3" s="1"/>
  <c r="DA58" i="3"/>
  <c r="DC58" i="3"/>
  <c r="A59" i="3"/>
  <c r="Y59" i="3"/>
  <c r="CY59" i="3"/>
  <c r="CZ59" i="3"/>
  <c r="DA59" i="3"/>
  <c r="DB59" i="3"/>
  <c r="DC59" i="3"/>
  <c r="A60" i="3"/>
  <c r="Y60" i="3"/>
  <c r="CY60" i="3"/>
  <c r="CZ60" i="3"/>
  <c r="DA60" i="3"/>
  <c r="DB60" i="3"/>
  <c r="DC60" i="3"/>
  <c r="A61" i="3"/>
  <c r="Y61" i="3"/>
  <c r="CY61" i="3"/>
  <c r="CZ61" i="3"/>
  <c r="DB61" i="3" s="1"/>
  <c r="DA61" i="3"/>
  <c r="DC61" i="3"/>
  <c r="A62" i="3"/>
  <c r="Y62" i="3"/>
  <c r="CY62" i="3"/>
  <c r="CZ62" i="3"/>
  <c r="DB62" i="3" s="1"/>
  <c r="DA62" i="3"/>
  <c r="DC62" i="3"/>
  <c r="A63" i="3"/>
  <c r="Y63" i="3"/>
  <c r="CX63" i="3"/>
  <c r="CY63" i="3"/>
  <c r="CZ63" i="3"/>
  <c r="DB63" i="3" s="1"/>
  <c r="DA63" i="3"/>
  <c r="DC63" i="3"/>
  <c r="A64" i="3"/>
  <c r="Y64" i="3"/>
  <c r="CX64" i="3"/>
  <c r="CY64" i="3"/>
  <c r="CZ64" i="3"/>
  <c r="DA64" i="3"/>
  <c r="DB64" i="3"/>
  <c r="DC64" i="3"/>
  <c r="A65" i="3"/>
  <c r="Y65" i="3"/>
  <c r="CY65" i="3"/>
  <c r="CZ65" i="3"/>
  <c r="DB65" i="3" s="1"/>
  <c r="DA65" i="3"/>
  <c r="DC65" i="3"/>
  <c r="A66" i="3"/>
  <c r="Y66" i="3"/>
  <c r="CY66" i="3"/>
  <c r="CZ66" i="3"/>
  <c r="DB66" i="3" s="1"/>
  <c r="DA66" i="3"/>
  <c r="DC66" i="3"/>
  <c r="A67" i="3"/>
  <c r="Y67" i="3"/>
  <c r="CY67" i="3"/>
  <c r="CZ67" i="3"/>
  <c r="DB67" i="3" s="1"/>
  <c r="DA67" i="3"/>
  <c r="DC67" i="3"/>
  <c r="A68" i="3"/>
  <c r="Y68" i="3"/>
  <c r="CY68" i="3"/>
  <c r="CZ68" i="3"/>
  <c r="DB68" i="3" s="1"/>
  <c r="DA68" i="3"/>
  <c r="DC68" i="3"/>
  <c r="A69" i="3"/>
  <c r="Y69" i="3"/>
  <c r="CY69" i="3"/>
  <c r="CZ69" i="3"/>
  <c r="DB69" i="3" s="1"/>
  <c r="DA69" i="3"/>
  <c r="DC69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L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4" i="1"/>
  <c r="D24" i="1"/>
  <c r="I24" i="1"/>
  <c r="K24" i="1"/>
  <c r="U24" i="1"/>
  <c r="AC24" i="1"/>
  <c r="AE24" i="1"/>
  <c r="H40" i="6" s="1"/>
  <c r="AF24" i="1"/>
  <c r="AG24" i="1"/>
  <c r="CU24" i="1" s="1"/>
  <c r="T24" i="1" s="1"/>
  <c r="AH24" i="1"/>
  <c r="CV24" i="1" s="1"/>
  <c r="AI24" i="1"/>
  <c r="AJ24" i="1"/>
  <c r="CX24" i="1" s="1"/>
  <c r="W24" i="1" s="1"/>
  <c r="CQ24" i="1"/>
  <c r="P24" i="1" s="1"/>
  <c r="CW24" i="1"/>
  <c r="V24" i="1" s="1"/>
  <c r="FR24" i="1"/>
  <c r="GL24" i="1"/>
  <c r="GO24" i="1"/>
  <c r="GP24" i="1"/>
  <c r="GV24" i="1"/>
  <c r="HC24" i="1" s="1"/>
  <c r="GX24" i="1" s="1"/>
  <c r="C25" i="1"/>
  <c r="D25" i="1"/>
  <c r="I25" i="1"/>
  <c r="K25" i="1"/>
  <c r="AC25" i="1"/>
  <c r="CQ25" i="1" s="1"/>
  <c r="P25" i="1" s="1"/>
  <c r="AE25" i="1"/>
  <c r="AF25" i="1"/>
  <c r="AG25" i="1"/>
  <c r="AH25" i="1"/>
  <c r="CV25" i="1" s="1"/>
  <c r="U25" i="1" s="1"/>
  <c r="AI25" i="1"/>
  <c r="AJ25" i="1"/>
  <c r="CX25" i="1" s="1"/>
  <c r="CU25" i="1"/>
  <c r="T25" i="1" s="1"/>
  <c r="CW25" i="1"/>
  <c r="FR25" i="1"/>
  <c r="GL25" i="1"/>
  <c r="GO25" i="1"/>
  <c r="GP25" i="1"/>
  <c r="GV25" i="1"/>
  <c r="HC25" i="1" s="1"/>
  <c r="C26" i="1"/>
  <c r="D26" i="1"/>
  <c r="I26" i="1"/>
  <c r="K26" i="1"/>
  <c r="P26" i="1"/>
  <c r="AC26" i="1"/>
  <c r="AD26" i="1"/>
  <c r="AE26" i="1"/>
  <c r="AF26" i="1"/>
  <c r="AG26" i="1"/>
  <c r="CU26" i="1" s="1"/>
  <c r="T26" i="1" s="1"/>
  <c r="AH26" i="1"/>
  <c r="CV26" i="1" s="1"/>
  <c r="AI26" i="1"/>
  <c r="AJ26" i="1"/>
  <c r="CX26" i="1" s="1"/>
  <c r="CQ26" i="1"/>
  <c r="CR26" i="1"/>
  <c r="CS26" i="1"/>
  <c r="R26" i="1" s="1"/>
  <c r="K58" i="6" s="1"/>
  <c r="CW26" i="1"/>
  <c r="V26" i="1" s="1"/>
  <c r="FR26" i="1"/>
  <c r="GL26" i="1"/>
  <c r="GO26" i="1"/>
  <c r="GP26" i="1"/>
  <c r="GV26" i="1"/>
  <c r="HC26" i="1"/>
  <c r="GX26" i="1" s="1"/>
  <c r="P27" i="1"/>
  <c r="K63" i="6" s="1"/>
  <c r="J64" i="6" s="1"/>
  <c r="P64" i="6" s="1"/>
  <c r="W27" i="1"/>
  <c r="AC27" i="1"/>
  <c r="H63" i="6" s="1"/>
  <c r="AE27" i="1"/>
  <c r="AD27" i="1" s="1"/>
  <c r="AB27" i="1" s="1"/>
  <c r="AF27" i="1"/>
  <c r="AG27" i="1"/>
  <c r="AH27" i="1"/>
  <c r="AI27" i="1"/>
  <c r="AJ27" i="1"/>
  <c r="CX27" i="1" s="1"/>
  <c r="CQ27" i="1"/>
  <c r="CS27" i="1"/>
  <c r="R27" i="1" s="1"/>
  <c r="CY27" i="1" s="1"/>
  <c r="X27" i="1" s="1"/>
  <c r="T63" i="6" s="1"/>
  <c r="CT27" i="1"/>
  <c r="S27" i="1" s="1"/>
  <c r="CU27" i="1"/>
  <c r="T27" i="1" s="1"/>
  <c r="CV27" i="1"/>
  <c r="U27" i="1" s="1"/>
  <c r="L64" i="6" s="1"/>
  <c r="Q64" i="6" s="1"/>
  <c r="CW27" i="1"/>
  <c r="V27" i="1" s="1"/>
  <c r="FR27" i="1"/>
  <c r="GL27" i="1"/>
  <c r="GO27" i="1"/>
  <c r="GP27" i="1"/>
  <c r="GV27" i="1"/>
  <c r="HC27" i="1" s="1"/>
  <c r="GX27" i="1" s="1"/>
  <c r="C28" i="1"/>
  <c r="D28" i="1"/>
  <c r="I28" i="1"/>
  <c r="K28" i="1"/>
  <c r="AC28" i="1"/>
  <c r="H70" i="6" s="1"/>
  <c r="AE28" i="1"/>
  <c r="AF28" i="1"/>
  <c r="AG28" i="1"/>
  <c r="CU28" i="1" s="1"/>
  <c r="AH28" i="1"/>
  <c r="AI28" i="1"/>
  <c r="CW28" i="1" s="1"/>
  <c r="V28" i="1" s="1"/>
  <c r="AJ28" i="1"/>
  <c r="CX28" i="1" s="1"/>
  <c r="CQ28" i="1"/>
  <c r="CS28" i="1"/>
  <c r="CT28" i="1"/>
  <c r="CV28" i="1"/>
  <c r="U28" i="1" s="1"/>
  <c r="FR28" i="1"/>
  <c r="GL28" i="1"/>
  <c r="GO28" i="1"/>
  <c r="GP28" i="1"/>
  <c r="GV28" i="1"/>
  <c r="HC28" i="1"/>
  <c r="C29" i="1"/>
  <c r="D29" i="1"/>
  <c r="I29" i="1"/>
  <c r="K29" i="1"/>
  <c r="AC29" i="1"/>
  <c r="CQ29" i="1" s="1"/>
  <c r="P29" i="1" s="1"/>
  <c r="AE29" i="1"/>
  <c r="CR29" i="1" s="1"/>
  <c r="Q29" i="1" s="1"/>
  <c r="K78" i="6" s="1"/>
  <c r="AF29" i="1"/>
  <c r="AG29" i="1"/>
  <c r="AH29" i="1"/>
  <c r="CV29" i="1" s="1"/>
  <c r="U29" i="1" s="1"/>
  <c r="AI29" i="1"/>
  <c r="CW29" i="1" s="1"/>
  <c r="V29" i="1" s="1"/>
  <c r="AJ29" i="1"/>
  <c r="CU29" i="1"/>
  <c r="T29" i="1" s="1"/>
  <c r="CX29" i="1"/>
  <c r="W29" i="1" s="1"/>
  <c r="FR29" i="1"/>
  <c r="GL29" i="1"/>
  <c r="GO29" i="1"/>
  <c r="GP29" i="1"/>
  <c r="GV29" i="1"/>
  <c r="HC29" i="1"/>
  <c r="GX29" i="1" s="1"/>
  <c r="AC30" i="1"/>
  <c r="AE30" i="1"/>
  <c r="AD30" i="1" s="1"/>
  <c r="AF30" i="1"/>
  <c r="AG30" i="1"/>
  <c r="AH30" i="1"/>
  <c r="CV30" i="1" s="1"/>
  <c r="AI30" i="1"/>
  <c r="CW30" i="1" s="1"/>
  <c r="AJ30" i="1"/>
  <c r="CX30" i="1" s="1"/>
  <c r="CQ30" i="1"/>
  <c r="CS30" i="1"/>
  <c r="CU30" i="1"/>
  <c r="FR30" i="1"/>
  <c r="GL30" i="1"/>
  <c r="GO30" i="1"/>
  <c r="GP30" i="1"/>
  <c r="GV30" i="1"/>
  <c r="HC30" i="1" s="1"/>
  <c r="C31" i="1"/>
  <c r="D31" i="1"/>
  <c r="I31" i="1"/>
  <c r="K31" i="1"/>
  <c r="AC31" i="1"/>
  <c r="AE31" i="1"/>
  <c r="AF31" i="1"/>
  <c r="AG31" i="1"/>
  <c r="CU31" i="1" s="1"/>
  <c r="T31" i="1" s="1"/>
  <c r="AH31" i="1"/>
  <c r="CV31" i="1" s="1"/>
  <c r="AI31" i="1"/>
  <c r="AJ31" i="1"/>
  <c r="CX31" i="1" s="1"/>
  <c r="W31" i="1" s="1"/>
  <c r="CR31" i="1"/>
  <c r="CW31" i="1"/>
  <c r="FR31" i="1"/>
  <c r="GL31" i="1"/>
  <c r="GO31" i="1"/>
  <c r="GP31" i="1"/>
  <c r="GV31" i="1"/>
  <c r="HC31" i="1" s="1"/>
  <c r="C32" i="1"/>
  <c r="D32" i="1"/>
  <c r="I32" i="1"/>
  <c r="K32" i="1"/>
  <c r="AC32" i="1"/>
  <c r="AE32" i="1"/>
  <c r="AF32" i="1"/>
  <c r="AG32" i="1"/>
  <c r="AH32" i="1"/>
  <c r="AI32" i="1"/>
  <c r="CW32" i="1" s="1"/>
  <c r="V32" i="1" s="1"/>
  <c r="AJ32" i="1"/>
  <c r="CX32" i="1" s="1"/>
  <c r="W32" i="1" s="1"/>
  <c r="CU32" i="1"/>
  <c r="T32" i="1" s="1"/>
  <c r="CV32" i="1"/>
  <c r="U32" i="1" s="1"/>
  <c r="FR32" i="1"/>
  <c r="GL32" i="1"/>
  <c r="GO32" i="1"/>
  <c r="GP32" i="1"/>
  <c r="GV32" i="1"/>
  <c r="HC32" i="1"/>
  <c r="GX32" i="1" s="1"/>
  <c r="I33" i="1"/>
  <c r="E104" i="6" s="1"/>
  <c r="AC33" i="1"/>
  <c r="H104" i="6" s="1"/>
  <c r="W104" i="6" s="1"/>
  <c r="AE33" i="1"/>
  <c r="AD33" i="1" s="1"/>
  <c r="AF33" i="1"/>
  <c r="AG33" i="1"/>
  <c r="CU33" i="1" s="1"/>
  <c r="T33" i="1" s="1"/>
  <c r="AH33" i="1"/>
  <c r="CV33" i="1" s="1"/>
  <c r="AI33" i="1"/>
  <c r="AJ33" i="1"/>
  <c r="CX33" i="1" s="1"/>
  <c r="W33" i="1" s="1"/>
  <c r="CQ33" i="1"/>
  <c r="P33" i="1" s="1"/>
  <c r="CS33" i="1"/>
  <c r="R33" i="1" s="1"/>
  <c r="CT33" i="1"/>
  <c r="S33" i="1" s="1"/>
  <c r="CY33" i="1" s="1"/>
  <c r="X33" i="1" s="1"/>
  <c r="T104" i="6" s="1"/>
  <c r="CW33" i="1"/>
  <c r="V33" i="1" s="1"/>
  <c r="FR33" i="1"/>
  <c r="GL33" i="1"/>
  <c r="GO33" i="1"/>
  <c r="GP33" i="1"/>
  <c r="GV33" i="1"/>
  <c r="HC33" i="1"/>
  <c r="GX33" i="1" s="1"/>
  <c r="I34" i="1"/>
  <c r="E106" i="6" s="1"/>
  <c r="K34" i="1"/>
  <c r="U34" i="1"/>
  <c r="L107" i="6" s="1"/>
  <c r="Q107" i="6" s="1"/>
  <c r="AC34" i="1"/>
  <c r="H106" i="6" s="1"/>
  <c r="G107" i="6" s="1"/>
  <c r="O107" i="6" s="1"/>
  <c r="AE34" i="1"/>
  <c r="AD34" i="1" s="1"/>
  <c r="AF34" i="1"/>
  <c r="AG34" i="1"/>
  <c r="CU34" i="1" s="1"/>
  <c r="T34" i="1" s="1"/>
  <c r="AH34" i="1"/>
  <c r="AI34" i="1"/>
  <c r="AJ34" i="1"/>
  <c r="CQ34" i="1"/>
  <c r="P34" i="1" s="1"/>
  <c r="K106" i="6" s="1"/>
  <c r="J107" i="6" s="1"/>
  <c r="P107" i="6" s="1"/>
  <c r="CV34" i="1"/>
  <c r="CW34" i="1"/>
  <c r="V34" i="1" s="1"/>
  <c r="CX34" i="1"/>
  <c r="W34" i="1" s="1"/>
  <c r="FR34" i="1"/>
  <c r="GL34" i="1"/>
  <c r="GO34" i="1"/>
  <c r="GP34" i="1"/>
  <c r="GV34" i="1"/>
  <c r="HC34" i="1"/>
  <c r="GX34" i="1" s="1"/>
  <c r="C35" i="1"/>
  <c r="D35" i="1"/>
  <c r="I35" i="1"/>
  <c r="K35" i="1"/>
  <c r="AC35" i="1"/>
  <c r="H113" i="6" s="1"/>
  <c r="AE35" i="1"/>
  <c r="AF35" i="1"/>
  <c r="AG35" i="1"/>
  <c r="CU35" i="1" s="1"/>
  <c r="T35" i="1" s="1"/>
  <c r="AH35" i="1"/>
  <c r="AI35" i="1"/>
  <c r="AJ35" i="1"/>
  <c r="CX35" i="1" s="1"/>
  <c r="W35" i="1" s="1"/>
  <c r="CQ35" i="1"/>
  <c r="P35" i="1" s="1"/>
  <c r="K113" i="6" s="1"/>
  <c r="CT35" i="1"/>
  <c r="S35" i="1" s="1"/>
  <c r="K110" i="6" s="1"/>
  <c r="CV35" i="1"/>
  <c r="U35" i="1" s="1"/>
  <c r="CW35" i="1"/>
  <c r="V35" i="1" s="1"/>
  <c r="FR35" i="1"/>
  <c r="GL35" i="1"/>
  <c r="GO35" i="1"/>
  <c r="GP35" i="1"/>
  <c r="GV35" i="1"/>
  <c r="HC35" i="1"/>
  <c r="GX35" i="1" s="1"/>
  <c r="K36" i="1"/>
  <c r="AC36" i="1"/>
  <c r="AE36" i="1"/>
  <c r="AD36" i="1" s="1"/>
  <c r="AF36" i="1"/>
  <c r="AG36" i="1"/>
  <c r="CU36" i="1" s="1"/>
  <c r="AH36" i="1"/>
  <c r="CV36" i="1" s="1"/>
  <c r="AI36" i="1"/>
  <c r="AJ36" i="1"/>
  <c r="CX36" i="1" s="1"/>
  <c r="CQ36" i="1"/>
  <c r="CS36" i="1"/>
  <c r="CW36" i="1"/>
  <c r="FR36" i="1"/>
  <c r="GL36" i="1"/>
  <c r="GO36" i="1"/>
  <c r="GP36" i="1"/>
  <c r="GV36" i="1"/>
  <c r="HC36" i="1"/>
  <c r="I37" i="1"/>
  <c r="K37" i="1"/>
  <c r="AC37" i="1"/>
  <c r="AE37" i="1"/>
  <c r="AD37" i="1" s="1"/>
  <c r="AF37" i="1"/>
  <c r="AG37" i="1"/>
  <c r="AH37" i="1"/>
  <c r="CV37" i="1" s="1"/>
  <c r="AI37" i="1"/>
  <c r="CW37" i="1" s="1"/>
  <c r="AJ37" i="1"/>
  <c r="CU37" i="1"/>
  <c r="CX37" i="1"/>
  <c r="FR37" i="1"/>
  <c r="GL37" i="1"/>
  <c r="GO37" i="1"/>
  <c r="GP37" i="1"/>
  <c r="GV37" i="1"/>
  <c r="HC37" i="1" s="1"/>
  <c r="C38" i="1"/>
  <c r="D38" i="1"/>
  <c r="I38" i="1"/>
  <c r="K38" i="1"/>
  <c r="T38" i="1"/>
  <c r="AC38" i="1"/>
  <c r="H129" i="6" s="1"/>
  <c r="AE38" i="1"/>
  <c r="AD38" i="1" s="1"/>
  <c r="AB38" i="1" s="1"/>
  <c r="AF38" i="1"/>
  <c r="AG38" i="1"/>
  <c r="AH38" i="1"/>
  <c r="AI38" i="1"/>
  <c r="AJ38" i="1"/>
  <c r="CX38" i="1" s="1"/>
  <c r="CQ38" i="1"/>
  <c r="CS38" i="1"/>
  <c r="R38" i="1" s="1"/>
  <c r="K128" i="6" s="1"/>
  <c r="CT38" i="1"/>
  <c r="CU38" i="1"/>
  <c r="CV38" i="1"/>
  <c r="CW38" i="1"/>
  <c r="V38" i="1" s="1"/>
  <c r="FR38" i="1"/>
  <c r="GL38" i="1"/>
  <c r="GO38" i="1"/>
  <c r="GP38" i="1"/>
  <c r="GV38" i="1"/>
  <c r="HC38" i="1"/>
  <c r="GX38" i="1" s="1"/>
  <c r="K39" i="1"/>
  <c r="AC39" i="1"/>
  <c r="AE39" i="1"/>
  <c r="AD39" i="1" s="1"/>
  <c r="AF39" i="1"/>
  <c r="AG39" i="1"/>
  <c r="CU39" i="1" s="1"/>
  <c r="AH39" i="1"/>
  <c r="CV39" i="1" s="1"/>
  <c r="AI39" i="1"/>
  <c r="AJ39" i="1"/>
  <c r="CR39" i="1"/>
  <c r="CW39" i="1"/>
  <c r="CX39" i="1"/>
  <c r="FR39" i="1"/>
  <c r="GL39" i="1"/>
  <c r="GO39" i="1"/>
  <c r="GP39" i="1"/>
  <c r="GV39" i="1"/>
  <c r="HC39" i="1" s="1"/>
  <c r="K40" i="1"/>
  <c r="AC40" i="1"/>
  <c r="AD40" i="1"/>
  <c r="AE40" i="1"/>
  <c r="AF40" i="1"/>
  <c r="AG40" i="1"/>
  <c r="CU40" i="1" s="1"/>
  <c r="AH40" i="1"/>
  <c r="CV40" i="1" s="1"/>
  <c r="AI40" i="1"/>
  <c r="AJ40" i="1"/>
  <c r="CR40" i="1"/>
  <c r="CS40" i="1"/>
  <c r="CW40" i="1"/>
  <c r="CX40" i="1"/>
  <c r="FR40" i="1"/>
  <c r="GL40" i="1"/>
  <c r="GO40" i="1"/>
  <c r="GP40" i="1"/>
  <c r="GV40" i="1"/>
  <c r="HC40" i="1"/>
  <c r="C41" i="1"/>
  <c r="D41" i="1"/>
  <c r="I41" i="1"/>
  <c r="K41" i="1"/>
  <c r="T41" i="1"/>
  <c r="AC41" i="1"/>
  <c r="AE41" i="1"/>
  <c r="AD41" i="1" s="1"/>
  <c r="AB41" i="1" s="1"/>
  <c r="AF41" i="1"/>
  <c r="AG41" i="1"/>
  <c r="CU41" i="1" s="1"/>
  <c r="AH41" i="1"/>
  <c r="CV41" i="1" s="1"/>
  <c r="AI41" i="1"/>
  <c r="CW41" i="1" s="1"/>
  <c r="V41" i="1" s="1"/>
  <c r="AJ41" i="1"/>
  <c r="CX41" i="1" s="1"/>
  <c r="W41" i="1" s="1"/>
  <c r="CQ41" i="1"/>
  <c r="CS41" i="1"/>
  <c r="R41" i="1" s="1"/>
  <c r="K144" i="6" s="1"/>
  <c r="CT41" i="1"/>
  <c r="S41" i="1" s="1"/>
  <c r="FR41" i="1"/>
  <c r="GL41" i="1"/>
  <c r="GO41" i="1"/>
  <c r="GP41" i="1"/>
  <c r="GV41" i="1"/>
  <c r="HC41" i="1" s="1"/>
  <c r="GX41" i="1" s="1"/>
  <c r="C42" i="1"/>
  <c r="D42" i="1"/>
  <c r="I42" i="1"/>
  <c r="K42" i="1"/>
  <c r="AC42" i="1"/>
  <c r="H155" i="6" s="1"/>
  <c r="AE42" i="1"/>
  <c r="AF42" i="1"/>
  <c r="AG42" i="1"/>
  <c r="CU42" i="1" s="1"/>
  <c r="T42" i="1" s="1"/>
  <c r="AH42" i="1"/>
  <c r="CV42" i="1" s="1"/>
  <c r="U42" i="1" s="1"/>
  <c r="AI42" i="1"/>
  <c r="AJ42" i="1"/>
  <c r="CW42" i="1"/>
  <c r="V42" i="1" s="1"/>
  <c r="CX42" i="1"/>
  <c r="W42" i="1" s="1"/>
  <c r="FR42" i="1"/>
  <c r="GL42" i="1"/>
  <c r="GO42" i="1"/>
  <c r="GP42" i="1"/>
  <c r="GV42" i="1"/>
  <c r="HC42" i="1"/>
  <c r="GX42" i="1" s="1"/>
  <c r="I43" i="1"/>
  <c r="E160" i="6" s="1"/>
  <c r="K43" i="1"/>
  <c r="AC43" i="1"/>
  <c r="H160" i="6" s="1"/>
  <c r="AE43" i="1"/>
  <c r="AD43" i="1" s="1"/>
  <c r="AF43" i="1"/>
  <c r="AG43" i="1"/>
  <c r="CU43" i="1" s="1"/>
  <c r="T43" i="1" s="1"/>
  <c r="AH43" i="1"/>
  <c r="CV43" i="1" s="1"/>
  <c r="U43" i="1" s="1"/>
  <c r="L161" i="6" s="1"/>
  <c r="Q161" i="6" s="1"/>
  <c r="AI43" i="1"/>
  <c r="CW43" i="1" s="1"/>
  <c r="AJ43" i="1"/>
  <c r="CX43" i="1" s="1"/>
  <c r="CS43" i="1"/>
  <c r="R43" i="1" s="1"/>
  <c r="FR43" i="1"/>
  <c r="GL43" i="1"/>
  <c r="GO43" i="1"/>
  <c r="GP43" i="1"/>
  <c r="GV43" i="1"/>
  <c r="HC43" i="1"/>
  <c r="GX43" i="1" s="1"/>
  <c r="I44" i="1"/>
  <c r="K44" i="1"/>
  <c r="O44" i="1"/>
  <c r="P44" i="1"/>
  <c r="Q44" i="1"/>
  <c r="R44" i="1"/>
  <c r="S44" i="1"/>
  <c r="T44" i="1"/>
  <c r="U44" i="1"/>
  <c r="L163" i="6" s="1"/>
  <c r="Q163" i="6" s="1"/>
  <c r="V44" i="1"/>
  <c r="W44" i="1"/>
  <c r="X44" i="1"/>
  <c r="T162" i="6" s="1"/>
  <c r="Y44" i="1"/>
  <c r="V162" i="6" s="1"/>
  <c r="AB44" i="1"/>
  <c r="H162" i="6" s="1"/>
  <c r="AC44" i="1"/>
  <c r="AD44" i="1"/>
  <c r="AE44" i="1"/>
  <c r="AF44" i="1"/>
  <c r="AG44" i="1"/>
  <c r="AH44" i="1"/>
  <c r="AI44" i="1"/>
  <c r="AJ44" i="1"/>
  <c r="CP44" i="1"/>
  <c r="FR44" i="1"/>
  <c r="GL44" i="1"/>
  <c r="GO44" i="1"/>
  <c r="GP44" i="1"/>
  <c r="GV44" i="1"/>
  <c r="GX44" i="1"/>
  <c r="I45" i="1"/>
  <c r="K45" i="1"/>
  <c r="O45" i="1"/>
  <c r="P45" i="1"/>
  <c r="Q45" i="1"/>
  <c r="R45" i="1"/>
  <c r="S45" i="1"/>
  <c r="T45" i="1"/>
  <c r="U45" i="1"/>
  <c r="L165" i="6" s="1"/>
  <c r="Q165" i="6" s="1"/>
  <c r="V45" i="1"/>
  <c r="W45" i="1"/>
  <c r="X45" i="1"/>
  <c r="T164" i="6" s="1"/>
  <c r="Y45" i="1"/>
  <c r="V164" i="6" s="1"/>
  <c r="AB45" i="1"/>
  <c r="H164" i="6" s="1"/>
  <c r="AC45" i="1"/>
  <c r="AD45" i="1"/>
  <c r="AE45" i="1"/>
  <c r="AF45" i="1"/>
  <c r="AG45" i="1"/>
  <c r="AH45" i="1"/>
  <c r="AI45" i="1"/>
  <c r="AJ45" i="1"/>
  <c r="CP45" i="1"/>
  <c r="FR45" i="1"/>
  <c r="GL45" i="1"/>
  <c r="GO45" i="1"/>
  <c r="GP45" i="1"/>
  <c r="GV45" i="1"/>
  <c r="GX45" i="1"/>
  <c r="I46" i="1"/>
  <c r="K46" i="1"/>
  <c r="O46" i="1"/>
  <c r="P46" i="1"/>
  <c r="Q46" i="1"/>
  <c r="R46" i="1"/>
  <c r="S46" i="1"/>
  <c r="T46" i="1"/>
  <c r="U46" i="1"/>
  <c r="L168" i="6" s="1"/>
  <c r="Q168" i="6" s="1"/>
  <c r="V46" i="1"/>
  <c r="W46" i="1"/>
  <c r="X46" i="1"/>
  <c r="T166" i="6" s="1"/>
  <c r="Y46" i="1"/>
  <c r="V166" i="6" s="1"/>
  <c r="AB46" i="1"/>
  <c r="AC46" i="1"/>
  <c r="AD46" i="1"/>
  <c r="AE46" i="1"/>
  <c r="AF46" i="1"/>
  <c r="AG46" i="1"/>
  <c r="AH46" i="1"/>
  <c r="AI46" i="1"/>
  <c r="AJ46" i="1"/>
  <c r="FR46" i="1"/>
  <c r="GL46" i="1"/>
  <c r="GO46" i="1"/>
  <c r="GP46" i="1"/>
  <c r="GV46" i="1"/>
  <c r="GX46" i="1"/>
  <c r="B48" i="1"/>
  <c r="B22" i="1" s="1"/>
  <c r="C48" i="1"/>
  <c r="C22" i="1" s="1"/>
  <c r="D48" i="1"/>
  <c r="D22" i="1" s="1"/>
  <c r="F48" i="1"/>
  <c r="F22" i="1" s="1"/>
  <c r="G48" i="1"/>
  <c r="A170" i="6" s="1"/>
  <c r="BX48" i="1"/>
  <c r="BX22" i="1" s="1"/>
  <c r="CK48" i="1"/>
  <c r="CK22" i="1" s="1"/>
  <c r="CL48" i="1"/>
  <c r="BC48" i="1" s="1"/>
  <c r="B78" i="1"/>
  <c r="B18" i="1" s="1"/>
  <c r="C78" i="1"/>
  <c r="C18" i="1" s="1"/>
  <c r="D78" i="1"/>
  <c r="D18" i="1" s="1"/>
  <c r="F78" i="1"/>
  <c r="F18" i="1" s="1"/>
  <c r="G78" i="1"/>
  <c r="B20" i="2"/>
  <c r="B21" i="2"/>
  <c r="B22" i="2"/>
  <c r="B23" i="2"/>
  <c r="B24" i="2"/>
  <c r="B25" i="2"/>
  <c r="B26" i="2"/>
  <c r="B27" i="2"/>
  <c r="B28" i="2"/>
  <c r="B29" i="2"/>
  <c r="B30" i="2"/>
  <c r="B32" i="2"/>
  <c r="B33" i="2"/>
  <c r="B35" i="2"/>
  <c r="B36" i="2"/>
  <c r="B37" i="2"/>
  <c r="B39" i="2"/>
  <c r="B40" i="2"/>
  <c r="B41" i="2"/>
  <c r="B42" i="2"/>
  <c r="B43" i="2"/>
  <c r="B44" i="2"/>
  <c r="B45" i="2"/>
  <c r="B46" i="2"/>
  <c r="W107" i="6" l="1"/>
  <c r="L52" i="6"/>
  <c r="L53" i="6"/>
  <c r="Q53" i="6" s="1"/>
  <c r="CZ41" i="1"/>
  <c r="Y41" i="1" s="1"/>
  <c r="V140" i="6" s="1"/>
  <c r="K147" i="6" s="1"/>
  <c r="K142" i="6"/>
  <c r="H154" i="6"/>
  <c r="R154" i="6" s="1"/>
  <c r="H153" i="6"/>
  <c r="H142" i="6"/>
  <c r="U140" i="6"/>
  <c r="H147" i="6" s="1"/>
  <c r="S140" i="6"/>
  <c r="H146" i="6" s="1"/>
  <c r="Q37" i="1"/>
  <c r="C122" i="6"/>
  <c r="E121" i="6"/>
  <c r="H111" i="6"/>
  <c r="H112" i="6"/>
  <c r="R112" i="6" s="1"/>
  <c r="L103" i="6"/>
  <c r="L105" i="6"/>
  <c r="Q105" i="6" s="1"/>
  <c r="G18" i="1"/>
  <c r="AF174" i="6"/>
  <c r="A174" i="6"/>
  <c r="C167" i="6"/>
  <c r="U166" i="6"/>
  <c r="E166" i="6"/>
  <c r="S166" i="6"/>
  <c r="L159" i="6"/>
  <c r="Q159" i="6" s="1"/>
  <c r="L158" i="6"/>
  <c r="AD42" i="1"/>
  <c r="E140" i="6"/>
  <c r="C141" i="6"/>
  <c r="GX37" i="1"/>
  <c r="CS37" i="1"/>
  <c r="R37" i="1" s="1"/>
  <c r="CT36" i="1"/>
  <c r="L116" i="6"/>
  <c r="L117" i="6"/>
  <c r="Q117" i="6" s="1"/>
  <c r="AD35" i="1"/>
  <c r="AB35" i="1" s="1"/>
  <c r="S104" i="6"/>
  <c r="U104" i="6"/>
  <c r="AD32" i="1"/>
  <c r="AB32" i="1" s="1"/>
  <c r="H98" i="6"/>
  <c r="H99" i="6"/>
  <c r="R99" i="6" s="1"/>
  <c r="S86" i="6"/>
  <c r="H91" i="6" s="1"/>
  <c r="H88" i="6"/>
  <c r="R88" i="6" s="1"/>
  <c r="U86" i="6"/>
  <c r="H92" i="6" s="1"/>
  <c r="U65" i="6"/>
  <c r="H72" i="6" s="1"/>
  <c r="S65" i="6"/>
  <c r="H71" i="6" s="1"/>
  <c r="H67" i="6"/>
  <c r="AB28" i="1"/>
  <c r="CR27" i="1"/>
  <c r="Q27" i="1" s="1"/>
  <c r="GX25" i="1"/>
  <c r="CT24" i="1"/>
  <c r="S24" i="1" s="1"/>
  <c r="K39" i="6" s="1"/>
  <c r="U38" i="6"/>
  <c r="H42" i="6" s="1"/>
  <c r="H39" i="6"/>
  <c r="S38" i="6"/>
  <c r="H41" i="6" s="1"/>
  <c r="G22" i="1"/>
  <c r="CX4" i="3"/>
  <c r="DI4" i="3" s="1"/>
  <c r="DJ4" i="3" s="1"/>
  <c r="U164" i="6"/>
  <c r="S164" i="6"/>
  <c r="E164" i="6"/>
  <c r="W43" i="1"/>
  <c r="CR42" i="1"/>
  <c r="Q42" i="1" s="1"/>
  <c r="K153" i="6" s="1"/>
  <c r="CX67" i="3"/>
  <c r="DF67" i="3" s="1"/>
  <c r="DJ67" i="3" s="1"/>
  <c r="C151" i="6"/>
  <c r="E150" i="6"/>
  <c r="CR41" i="1"/>
  <c r="Q41" i="1" s="1"/>
  <c r="K143" i="6" s="1"/>
  <c r="CT40" i="1"/>
  <c r="S40" i="1" s="1"/>
  <c r="U137" i="6"/>
  <c r="CR37" i="1"/>
  <c r="AB34" i="1"/>
  <c r="CR32" i="1"/>
  <c r="Q32" i="1" s="1"/>
  <c r="K98" i="6" s="1"/>
  <c r="H100" i="6"/>
  <c r="CS31" i="1"/>
  <c r="H89" i="6"/>
  <c r="E86" i="6"/>
  <c r="C87" i="6"/>
  <c r="CR30" i="1"/>
  <c r="CD48" i="1"/>
  <c r="AU48" i="1" s="1"/>
  <c r="H68" i="6"/>
  <c r="H69" i="6"/>
  <c r="R69" i="6" s="1"/>
  <c r="W64" i="6"/>
  <c r="G64" i="6"/>
  <c r="O64" i="6" s="1"/>
  <c r="CT26" i="1"/>
  <c r="S26" i="1" s="1"/>
  <c r="K56" i="6" s="1"/>
  <c r="H56" i="6"/>
  <c r="U54" i="6"/>
  <c r="H60" i="6" s="1"/>
  <c r="S54" i="6"/>
  <c r="H59" i="6" s="1"/>
  <c r="E54" i="6"/>
  <c r="C55" i="6"/>
  <c r="V25" i="1"/>
  <c r="W25" i="1"/>
  <c r="CT25" i="1"/>
  <c r="H47" i="6"/>
  <c r="U45" i="6"/>
  <c r="H51" i="6" s="1"/>
  <c r="S45" i="6"/>
  <c r="H50" i="6" s="1"/>
  <c r="CX65" i="3"/>
  <c r="DI65" i="3" s="1"/>
  <c r="CX12" i="3"/>
  <c r="DI12" i="3" s="1"/>
  <c r="DJ12" i="3" s="1"/>
  <c r="CP46" i="1"/>
  <c r="H166" i="6"/>
  <c r="W161" i="6"/>
  <c r="G161" i="6"/>
  <c r="O161" i="6" s="1"/>
  <c r="BZ48" i="1"/>
  <c r="AB39" i="1"/>
  <c r="H128" i="6"/>
  <c r="R128" i="6" s="1"/>
  <c r="H127" i="6"/>
  <c r="CS35" i="1"/>
  <c r="R35" i="1" s="1"/>
  <c r="CT32" i="1"/>
  <c r="S32" i="1" s="1"/>
  <c r="K97" i="6" s="1"/>
  <c r="U95" i="6"/>
  <c r="S95" i="6"/>
  <c r="H97" i="6"/>
  <c r="AB31" i="1"/>
  <c r="H90" i="6"/>
  <c r="CT30" i="1"/>
  <c r="AD29" i="1"/>
  <c r="AB29" i="1" s="1"/>
  <c r="H79" i="6"/>
  <c r="R79" i="6" s="1"/>
  <c r="H78" i="6"/>
  <c r="L74" i="6"/>
  <c r="Q74" i="6" s="1"/>
  <c r="L73" i="6"/>
  <c r="E45" i="6"/>
  <c r="C46" i="6"/>
  <c r="L44" i="6"/>
  <c r="Q44" i="6" s="1"/>
  <c r="L43" i="6"/>
  <c r="W165" i="6"/>
  <c r="G165" i="6"/>
  <c r="O165" i="6" s="1"/>
  <c r="CQ43" i="1"/>
  <c r="P43" i="1" s="1"/>
  <c r="K160" i="6" s="1"/>
  <c r="J161" i="6" s="1"/>
  <c r="P161" i="6" s="1"/>
  <c r="CS42" i="1"/>
  <c r="R42" i="1" s="1"/>
  <c r="K154" i="6" s="1"/>
  <c r="H144" i="6"/>
  <c r="R144" i="6" s="1"/>
  <c r="H143" i="6"/>
  <c r="AB40" i="1"/>
  <c r="H137" i="6"/>
  <c r="CR38" i="1"/>
  <c r="Q38" i="1" s="1"/>
  <c r="K127" i="6" s="1"/>
  <c r="U37" i="1"/>
  <c r="L123" i="6" s="1"/>
  <c r="Q123" i="6" s="1"/>
  <c r="CR35" i="1"/>
  <c r="Q35" i="1" s="1"/>
  <c r="K111" i="6" s="1"/>
  <c r="CT34" i="1"/>
  <c r="S34" i="1" s="1"/>
  <c r="U106" i="6"/>
  <c r="S106" i="6"/>
  <c r="CX35" i="3"/>
  <c r="DF35" i="3" s="1"/>
  <c r="C96" i="6"/>
  <c r="E95" i="6"/>
  <c r="CS29" i="1"/>
  <c r="R29" i="1" s="1"/>
  <c r="K79" i="6" s="1"/>
  <c r="L82" i="6"/>
  <c r="L83" i="6"/>
  <c r="Q83" i="6" s="1"/>
  <c r="CX60" i="3"/>
  <c r="CX57" i="3"/>
  <c r="DG57" i="3" s="1"/>
  <c r="DJ57" i="3" s="1"/>
  <c r="W163" i="6"/>
  <c r="G163" i="6"/>
  <c r="O163" i="6" s="1"/>
  <c r="CT43" i="1"/>
  <c r="S43" i="1" s="1"/>
  <c r="CY43" i="1" s="1"/>
  <c r="X43" i="1" s="1"/>
  <c r="T160" i="6" s="1"/>
  <c r="U160" i="6"/>
  <c r="S160" i="6"/>
  <c r="U41" i="1"/>
  <c r="CT39" i="1"/>
  <c r="E124" i="6"/>
  <c r="C125" i="6"/>
  <c r="AB37" i="1"/>
  <c r="H121" i="6"/>
  <c r="U162" i="6"/>
  <c r="E162" i="6"/>
  <c r="S162" i="6"/>
  <c r="V43" i="1"/>
  <c r="AB43" i="1"/>
  <c r="CT42" i="1"/>
  <c r="S42" i="1" s="1"/>
  <c r="K152" i="6" s="1"/>
  <c r="H152" i="6"/>
  <c r="U150" i="6"/>
  <c r="H157" i="6" s="1"/>
  <c r="S150" i="6"/>
  <c r="H156" i="6" s="1"/>
  <c r="P41" i="1"/>
  <c r="H145" i="6"/>
  <c r="CS39" i="1"/>
  <c r="S38" i="1"/>
  <c r="K126" i="6" s="1"/>
  <c r="W38" i="1"/>
  <c r="U124" i="6"/>
  <c r="H131" i="6" s="1"/>
  <c r="S124" i="6"/>
  <c r="H130" i="6" s="1"/>
  <c r="H126" i="6"/>
  <c r="CT37" i="1"/>
  <c r="U121" i="6"/>
  <c r="S121" i="6"/>
  <c r="CR36" i="1"/>
  <c r="U108" i="6"/>
  <c r="H115" i="6" s="1"/>
  <c r="H110" i="6"/>
  <c r="S108" i="6"/>
  <c r="H114" i="6" s="1"/>
  <c r="C109" i="6"/>
  <c r="E108" i="6"/>
  <c r="CR33" i="1"/>
  <c r="U33" i="1"/>
  <c r="CQ32" i="1"/>
  <c r="P32" i="1" s="1"/>
  <c r="K100" i="6" s="1"/>
  <c r="CT31" i="1"/>
  <c r="S31" i="1" s="1"/>
  <c r="K88" i="6" s="1"/>
  <c r="U31" i="1"/>
  <c r="AD31" i="1"/>
  <c r="CT29" i="1"/>
  <c r="S29" i="1" s="1"/>
  <c r="K77" i="6" s="1"/>
  <c r="H77" i="6"/>
  <c r="U75" i="6"/>
  <c r="H81" i="6" s="1"/>
  <c r="S75" i="6"/>
  <c r="H80" i="6" s="1"/>
  <c r="E75" i="6"/>
  <c r="C76" i="6"/>
  <c r="CR28" i="1"/>
  <c r="Q28" i="1" s="1"/>
  <c r="K68" i="6" s="1"/>
  <c r="AD28" i="1"/>
  <c r="E65" i="6"/>
  <c r="C66" i="6"/>
  <c r="CZ27" i="1"/>
  <c r="Y27" i="1" s="1"/>
  <c r="V63" i="6" s="1"/>
  <c r="S63" i="6"/>
  <c r="U63" i="6"/>
  <c r="H58" i="6"/>
  <c r="R58" i="6" s="1"/>
  <c r="H57" i="6"/>
  <c r="AD25" i="1"/>
  <c r="AB25" i="1" s="1"/>
  <c r="H49" i="6"/>
  <c r="R49" i="6" s="1"/>
  <c r="H48" i="6"/>
  <c r="CX2" i="3"/>
  <c r="DH2" i="3" s="1"/>
  <c r="E38" i="6"/>
  <c r="CX62" i="3"/>
  <c r="DI62" i="3" s="1"/>
  <c r="DJ62" i="3" s="1"/>
  <c r="CX58" i="3"/>
  <c r="CX28" i="3"/>
  <c r="DH28" i="3" s="1"/>
  <c r="BZ22" i="1"/>
  <c r="AQ48" i="1"/>
  <c r="CZ26" i="1"/>
  <c r="Y26" i="1" s="1"/>
  <c r="V54" i="6" s="1"/>
  <c r="K60" i="6" s="1"/>
  <c r="GM46" i="1"/>
  <c r="GN46" i="1"/>
  <c r="GM45" i="1"/>
  <c r="GN45" i="1"/>
  <c r="CD22" i="1"/>
  <c r="DF63" i="3"/>
  <c r="DG63" i="3"/>
  <c r="DH63" i="3"/>
  <c r="DI63" i="3"/>
  <c r="DJ63" i="3" s="1"/>
  <c r="DI33" i="3"/>
  <c r="DF33" i="3"/>
  <c r="DJ33" i="3" s="1"/>
  <c r="DG33" i="3"/>
  <c r="DH33" i="3"/>
  <c r="DF32" i="3"/>
  <c r="DJ32" i="3" s="1"/>
  <c r="DG32" i="3"/>
  <c r="DI32" i="3"/>
  <c r="DH32" i="3"/>
  <c r="DI28" i="3"/>
  <c r="CY38" i="1"/>
  <c r="X38" i="1" s="1"/>
  <c r="T124" i="6" s="1"/>
  <c r="K130" i="6" s="1"/>
  <c r="CX51" i="3"/>
  <c r="CX47" i="3"/>
  <c r="P38" i="1"/>
  <c r="CX48" i="3"/>
  <c r="CX49" i="3"/>
  <c r="I40" i="1"/>
  <c r="U40" i="1" s="1"/>
  <c r="L139" i="6" s="1"/>
  <c r="Q139" i="6" s="1"/>
  <c r="CP35" i="1"/>
  <c r="O35" i="1" s="1"/>
  <c r="CZ33" i="1"/>
  <c r="Y33" i="1" s="1"/>
  <c r="V104" i="6" s="1"/>
  <c r="AB33" i="1"/>
  <c r="DF64" i="3"/>
  <c r="DG64" i="3"/>
  <c r="DJ64" i="3" s="1"/>
  <c r="DI64" i="3"/>
  <c r="DH64" i="3"/>
  <c r="DI57" i="3"/>
  <c r="DF57" i="3"/>
  <c r="DH57" i="3"/>
  <c r="CR43" i="1"/>
  <c r="Q43" i="1" s="1"/>
  <c r="CP43" i="1" s="1"/>
  <c r="O43" i="1" s="1"/>
  <c r="CY41" i="1"/>
  <c r="X41" i="1" s="1"/>
  <c r="V37" i="1"/>
  <c r="CZ35" i="1"/>
  <c r="Y35" i="1" s="1"/>
  <c r="V108" i="6" s="1"/>
  <c r="K115" i="6" s="1"/>
  <c r="W28" i="1"/>
  <c r="DF65" i="3"/>
  <c r="AB42" i="1"/>
  <c r="DG58" i="3"/>
  <c r="DH58" i="3"/>
  <c r="DF58" i="3"/>
  <c r="DJ58" i="3" s="1"/>
  <c r="DI58" i="3"/>
  <c r="CC48" i="1"/>
  <c r="DF36" i="3"/>
  <c r="DG36" i="3"/>
  <c r="DJ36" i="3" s="1"/>
  <c r="DH36" i="3"/>
  <c r="DI36" i="3"/>
  <c r="DF4" i="3"/>
  <c r="CY31" i="1"/>
  <c r="X31" i="1" s="1"/>
  <c r="T86" i="6" s="1"/>
  <c r="K91" i="6" s="1"/>
  <c r="CZ43" i="1"/>
  <c r="Y43" i="1" s="1"/>
  <c r="V160" i="6" s="1"/>
  <c r="CX31" i="3"/>
  <c r="GX31" i="1"/>
  <c r="R31" i="1"/>
  <c r="CZ29" i="1"/>
  <c r="Y29" i="1" s="1"/>
  <c r="V75" i="6" s="1"/>
  <c r="K81" i="6" s="1"/>
  <c r="CX19" i="3"/>
  <c r="CX23" i="3"/>
  <c r="I30" i="1"/>
  <c r="S84" i="6" s="1"/>
  <c r="P28" i="1"/>
  <c r="K70" i="6" s="1"/>
  <c r="K30" i="1"/>
  <c r="CX16" i="3"/>
  <c r="CX17" i="3"/>
  <c r="BY48" i="1"/>
  <c r="DF60" i="3"/>
  <c r="DJ60" i="3" s="1"/>
  <c r="DG60" i="3"/>
  <c r="DH60" i="3"/>
  <c r="DI60" i="3"/>
  <c r="CX22" i="3"/>
  <c r="DG62" i="3"/>
  <c r="DF44" i="3"/>
  <c r="DJ44" i="3" s="1"/>
  <c r="DG44" i="3"/>
  <c r="DH44" i="3"/>
  <c r="DI44" i="3"/>
  <c r="DF28" i="3"/>
  <c r="DJ28" i="3" s="1"/>
  <c r="DG28" i="3"/>
  <c r="DF12" i="3"/>
  <c r="DI1" i="3"/>
  <c r="DJ1" i="3" s="1"/>
  <c r="DF1" i="3"/>
  <c r="DG1" i="3"/>
  <c r="DH1" i="3"/>
  <c r="V36" i="1"/>
  <c r="CS34" i="1"/>
  <c r="R34" i="1" s="1"/>
  <c r="BC22" i="1"/>
  <c r="F64" i="1"/>
  <c r="BC78" i="1"/>
  <c r="GM44" i="1"/>
  <c r="GN44" i="1"/>
  <c r="S37" i="1"/>
  <c r="GX36" i="1"/>
  <c r="CR34" i="1"/>
  <c r="Q34" i="1" s="1"/>
  <c r="I39" i="1"/>
  <c r="U38" i="1"/>
  <c r="T37" i="1"/>
  <c r="AB36" i="1"/>
  <c r="CP34" i="1"/>
  <c r="O34" i="1" s="1"/>
  <c r="V31" i="1"/>
  <c r="S28" i="1"/>
  <c r="K67" i="6" s="1"/>
  <c r="CS25" i="1"/>
  <c r="R25" i="1" s="1"/>
  <c r="K49" i="6" s="1"/>
  <c r="GX28" i="1"/>
  <c r="AD24" i="1"/>
  <c r="AB24" i="1" s="1"/>
  <c r="CR24" i="1"/>
  <c r="Q24" i="1" s="1"/>
  <c r="K40" i="6" s="1"/>
  <c r="CG48" i="1"/>
  <c r="DH67" i="3"/>
  <c r="DI67" i="3"/>
  <c r="Q31" i="1"/>
  <c r="K89" i="6" s="1"/>
  <c r="AB30" i="1"/>
  <c r="T28" i="1"/>
  <c r="CP27" i="1"/>
  <c r="O27" i="1" s="1"/>
  <c r="Q26" i="1"/>
  <c r="K57" i="6" s="1"/>
  <c r="AB26" i="1"/>
  <c r="CR25" i="1"/>
  <c r="Q25" i="1" s="1"/>
  <c r="CS24" i="1"/>
  <c r="R24" i="1" s="1"/>
  <c r="DG2" i="3"/>
  <c r="DJ2" i="3" s="1"/>
  <c r="DF2" i="3"/>
  <c r="CX25" i="3"/>
  <c r="AO48" i="1"/>
  <c r="CQ42" i="1"/>
  <c r="P42" i="1" s="1"/>
  <c r="CQ40" i="1"/>
  <c r="CQ39" i="1"/>
  <c r="CQ37" i="1"/>
  <c r="P37" i="1" s="1"/>
  <c r="K121" i="6" s="1"/>
  <c r="J123" i="6" s="1"/>
  <c r="P123" i="6" s="1"/>
  <c r="CS32" i="1"/>
  <c r="R32" i="1" s="1"/>
  <c r="CQ31" i="1"/>
  <c r="P31" i="1" s="1"/>
  <c r="CX11" i="3"/>
  <c r="CX15" i="3"/>
  <c r="CX3" i="3"/>
  <c r="CX7" i="3"/>
  <c r="CX8" i="3"/>
  <c r="CX38" i="3"/>
  <c r="CX6" i="3"/>
  <c r="DI2" i="3"/>
  <c r="R28" i="1"/>
  <c r="K69" i="6" s="1"/>
  <c r="CX52" i="3"/>
  <c r="CX20" i="3"/>
  <c r="W37" i="1"/>
  <c r="CX43" i="3"/>
  <c r="CX39" i="3"/>
  <c r="CX40" i="3"/>
  <c r="W26" i="1"/>
  <c r="BB48" i="1"/>
  <c r="CX59" i="3"/>
  <c r="CX55" i="3"/>
  <c r="I36" i="1"/>
  <c r="U118" i="6" s="1"/>
  <c r="Q33" i="1"/>
  <c r="CP33" i="1" s="1"/>
  <c r="O33" i="1" s="1"/>
  <c r="K104" i="6" s="1"/>
  <c r="CX27" i="3"/>
  <c r="CX24" i="3"/>
  <c r="U26" i="1"/>
  <c r="CX68" i="3"/>
  <c r="CX56" i="3"/>
  <c r="CX54" i="3"/>
  <c r="CX41" i="3"/>
  <c r="CX9" i="3"/>
  <c r="CX69" i="3"/>
  <c r="CX53" i="3"/>
  <c r="CX37" i="3"/>
  <c r="CX21" i="3"/>
  <c r="CX5" i="3"/>
  <c r="CX42" i="3"/>
  <c r="CX26" i="3"/>
  <c r="CX10" i="3"/>
  <c r="DH35" i="3"/>
  <c r="CX46" i="3"/>
  <c r="CX30" i="3"/>
  <c r="CX14" i="3"/>
  <c r="CX61" i="3"/>
  <c r="CX45" i="3"/>
  <c r="CX29" i="3"/>
  <c r="CX13" i="3"/>
  <c r="S25" i="1"/>
  <c r="K47" i="6" s="1"/>
  <c r="CX66" i="3"/>
  <c r="CX50" i="3"/>
  <c r="CX34" i="3"/>
  <c r="CX18" i="3"/>
  <c r="H102" i="6" l="1"/>
  <c r="L132" i="6"/>
  <c r="L133" i="6"/>
  <c r="Q133" i="6" s="1"/>
  <c r="HD45" i="1"/>
  <c r="K164" i="6"/>
  <c r="J165" i="6" s="1"/>
  <c r="P165" i="6" s="1"/>
  <c r="L149" i="6"/>
  <c r="Q149" i="6" s="1"/>
  <c r="L148" i="6"/>
  <c r="GX39" i="1"/>
  <c r="C135" i="6"/>
  <c r="E134" i="6"/>
  <c r="H84" i="6"/>
  <c r="H118" i="6"/>
  <c r="CP41" i="1"/>
  <c r="O41" i="1" s="1"/>
  <c r="K145" i="6"/>
  <c r="U84" i="6"/>
  <c r="H134" i="6"/>
  <c r="S137" i="6"/>
  <c r="W74" i="6"/>
  <c r="R67" i="6"/>
  <c r="S118" i="6"/>
  <c r="U134" i="6"/>
  <c r="DI35" i="3"/>
  <c r="DJ35" i="3" s="1"/>
  <c r="DG35" i="3"/>
  <c r="CP31" i="1"/>
  <c r="O31" i="1" s="1"/>
  <c r="K90" i="6"/>
  <c r="P40" i="1"/>
  <c r="K137" i="6" s="1"/>
  <c r="J139" i="6" s="1"/>
  <c r="P139" i="6" s="1"/>
  <c r="CP25" i="1"/>
  <c r="O25" i="1" s="1"/>
  <c r="K48" i="6"/>
  <c r="R36" i="1"/>
  <c r="R40" i="1"/>
  <c r="CZ40" i="1" s="1"/>
  <c r="Y40" i="1" s="1"/>
  <c r="V137" i="6" s="1"/>
  <c r="DH12" i="3"/>
  <c r="DH62" i="3"/>
  <c r="DH65" i="3"/>
  <c r="DH4" i="3"/>
  <c r="CP32" i="1"/>
  <c r="O32" i="1" s="1"/>
  <c r="DG65" i="3"/>
  <c r="DJ65" i="3" s="1"/>
  <c r="Q36" i="1"/>
  <c r="CY42" i="1"/>
  <c r="X42" i="1" s="1"/>
  <c r="T150" i="6" s="1"/>
  <c r="K156" i="6" s="1"/>
  <c r="CY26" i="1"/>
  <c r="X26" i="1" s="1"/>
  <c r="T54" i="6" s="1"/>
  <c r="K59" i="6" s="1"/>
  <c r="J62" i="6" s="1"/>
  <c r="P62" i="6" s="1"/>
  <c r="G133" i="6"/>
  <c r="O133" i="6" s="1"/>
  <c r="W133" i="6"/>
  <c r="R126" i="6"/>
  <c r="R97" i="6"/>
  <c r="CY35" i="1"/>
  <c r="X35" i="1" s="1"/>
  <c r="T108" i="6" s="1"/>
  <c r="K114" i="6" s="1"/>
  <c r="J117" i="6" s="1"/>
  <c r="P117" i="6" s="1"/>
  <c r="K112" i="6"/>
  <c r="W168" i="6"/>
  <c r="G168" i="6"/>
  <c r="O168" i="6" s="1"/>
  <c r="W94" i="6"/>
  <c r="S134" i="6"/>
  <c r="CY32" i="1"/>
  <c r="X32" i="1" s="1"/>
  <c r="T95" i="6" s="1"/>
  <c r="K101" i="6" s="1"/>
  <c r="K99" i="6"/>
  <c r="CP42" i="1"/>
  <c r="O42" i="1" s="1"/>
  <c r="GN42" i="1" s="1"/>
  <c r="K155" i="6"/>
  <c r="DG67" i="3"/>
  <c r="CP26" i="1"/>
  <c r="O26" i="1" s="1"/>
  <c r="HD44" i="1"/>
  <c r="K162" i="6"/>
  <c r="J163" i="6" s="1"/>
  <c r="P163" i="6" s="1"/>
  <c r="CZ34" i="1"/>
  <c r="Y34" i="1" s="1"/>
  <c r="V106" i="6" s="1"/>
  <c r="DG12" i="3"/>
  <c r="DF62" i="3"/>
  <c r="CZ31" i="1"/>
  <c r="Y31" i="1" s="1"/>
  <c r="V86" i="6" s="1"/>
  <c r="K92" i="6" s="1"/>
  <c r="DG4" i="3"/>
  <c r="GX40" i="1"/>
  <c r="CZ38" i="1"/>
  <c r="Y38" i="1" s="1"/>
  <c r="V124" i="6" s="1"/>
  <c r="K131" i="6" s="1"/>
  <c r="G53" i="6"/>
  <c r="O53" i="6" s="1"/>
  <c r="W83" i="6"/>
  <c r="G83" i="6"/>
  <c r="O83" i="6" s="1"/>
  <c r="R77" i="6"/>
  <c r="L94" i="6"/>
  <c r="Q94" i="6" s="1"/>
  <c r="L93" i="6"/>
  <c r="G117" i="6"/>
  <c r="O117" i="6" s="1"/>
  <c r="R110" i="6"/>
  <c r="W117" i="6"/>
  <c r="G123" i="6"/>
  <c r="O123" i="6" s="1"/>
  <c r="W123" i="6"/>
  <c r="H101" i="6"/>
  <c r="W105" i="6" s="1"/>
  <c r="R39" i="6"/>
  <c r="G44" i="6"/>
  <c r="O44" i="6" s="1"/>
  <c r="W44" i="6"/>
  <c r="G74" i="6"/>
  <c r="O74" i="6" s="1"/>
  <c r="G94" i="6"/>
  <c r="O94" i="6" s="1"/>
  <c r="GM41" i="1"/>
  <c r="T140" i="6"/>
  <c r="K146" i="6" s="1"/>
  <c r="HD46" i="1"/>
  <c r="K166" i="6"/>
  <c r="J168" i="6" s="1"/>
  <c r="P168" i="6" s="1"/>
  <c r="R152" i="6"/>
  <c r="W159" i="6"/>
  <c r="G159" i="6"/>
  <c r="O159" i="6" s="1"/>
  <c r="G139" i="6"/>
  <c r="O139" i="6" s="1"/>
  <c r="W139" i="6"/>
  <c r="W53" i="6"/>
  <c r="R47" i="6"/>
  <c r="R56" i="6"/>
  <c r="W62" i="6"/>
  <c r="G62" i="6"/>
  <c r="O62" i="6" s="1"/>
  <c r="CP29" i="1"/>
  <c r="O29" i="1" s="1"/>
  <c r="W149" i="6"/>
  <c r="G149" i="6"/>
  <c r="O149" i="6" s="1"/>
  <c r="R142" i="6"/>
  <c r="L62" i="6"/>
  <c r="Q62" i="6" s="1"/>
  <c r="L61" i="6"/>
  <c r="CP38" i="1"/>
  <c r="O38" i="1" s="1"/>
  <c r="K129" i="6"/>
  <c r="C119" i="6"/>
  <c r="E118" i="6"/>
  <c r="S30" i="1"/>
  <c r="E84" i="6"/>
  <c r="CY29" i="1"/>
  <c r="X29" i="1" s="1"/>
  <c r="T75" i="6" s="1"/>
  <c r="K80" i="6" s="1"/>
  <c r="J83" i="6" s="1"/>
  <c r="P83" i="6" s="1"/>
  <c r="S36" i="1"/>
  <c r="T40" i="1"/>
  <c r="C138" i="6"/>
  <c r="E137" i="6"/>
  <c r="P36" i="1"/>
  <c r="CZ42" i="1"/>
  <c r="Y42" i="1" s="1"/>
  <c r="V150" i="6" s="1"/>
  <c r="K157" i="6" s="1"/>
  <c r="GN33" i="1"/>
  <c r="GM33" i="1"/>
  <c r="S39" i="1"/>
  <c r="AF48" i="1" s="1"/>
  <c r="DF39" i="3"/>
  <c r="DG39" i="3"/>
  <c r="DH39" i="3"/>
  <c r="DI39" i="3"/>
  <c r="DJ39" i="3" s="1"/>
  <c r="CZ32" i="1"/>
  <c r="Y32" i="1" s="1"/>
  <c r="V95" i="6" s="1"/>
  <c r="K102" i="6" s="1"/>
  <c r="CP24" i="1"/>
  <c r="O24" i="1" s="1"/>
  <c r="DF23" i="3"/>
  <c r="DJ23" i="3" s="1"/>
  <c r="DG23" i="3"/>
  <c r="DH23" i="3"/>
  <c r="DI23" i="3"/>
  <c r="CY36" i="1"/>
  <c r="X36" i="1" s="1"/>
  <c r="CZ36" i="1"/>
  <c r="Y36" i="1" s="1"/>
  <c r="V118" i="6" s="1"/>
  <c r="R30" i="1"/>
  <c r="DF47" i="3"/>
  <c r="DG47" i="3"/>
  <c r="DH47" i="3"/>
  <c r="DI47" i="3"/>
  <c r="DJ47" i="3" s="1"/>
  <c r="CY40" i="1"/>
  <c r="X40" i="1" s="1"/>
  <c r="T137" i="6" s="1"/>
  <c r="DG34" i="3"/>
  <c r="DH34" i="3"/>
  <c r="DF34" i="3"/>
  <c r="DI34" i="3"/>
  <c r="DJ34" i="3" s="1"/>
  <c r="DF61" i="3"/>
  <c r="DJ61" i="3" s="1"/>
  <c r="DH61" i="3"/>
  <c r="DI61" i="3"/>
  <c r="DG61" i="3"/>
  <c r="DG42" i="3"/>
  <c r="DJ42" i="3" s="1"/>
  <c r="DH42" i="3"/>
  <c r="DF42" i="3"/>
  <c r="DI42" i="3"/>
  <c r="DH54" i="3"/>
  <c r="DI54" i="3"/>
  <c r="DJ54" i="3" s="1"/>
  <c r="DF54" i="3"/>
  <c r="DG54" i="3"/>
  <c r="W36" i="1"/>
  <c r="U36" i="1"/>
  <c r="L120" i="6" s="1"/>
  <c r="Q120" i="6" s="1"/>
  <c r="T36" i="1"/>
  <c r="DG43" i="3"/>
  <c r="DH43" i="3"/>
  <c r="DF43" i="3"/>
  <c r="DJ43" i="3" s="1"/>
  <c r="DI43" i="3"/>
  <c r="DH38" i="3"/>
  <c r="DI38" i="3"/>
  <c r="DJ38" i="3" s="1"/>
  <c r="DF38" i="3"/>
  <c r="DG38" i="3"/>
  <c r="CP37" i="1"/>
  <c r="O37" i="1" s="1"/>
  <c r="DH22" i="3"/>
  <c r="DI22" i="3"/>
  <c r="DF22" i="3"/>
  <c r="DJ22" i="3" s="1"/>
  <c r="DG22" i="3"/>
  <c r="BY22" i="1"/>
  <c r="AP48" i="1"/>
  <c r="CI48" i="1"/>
  <c r="DG19" i="3"/>
  <c r="DJ19" i="3" s="1"/>
  <c r="DH19" i="3"/>
  <c r="DI19" i="3"/>
  <c r="DF19" i="3"/>
  <c r="P30" i="1"/>
  <c r="K84" i="6" s="1"/>
  <c r="J85" i="6" s="1"/>
  <c r="P85" i="6" s="1"/>
  <c r="DG51" i="3"/>
  <c r="DH51" i="3"/>
  <c r="DI51" i="3"/>
  <c r="DF51" i="3"/>
  <c r="DJ51" i="3" s="1"/>
  <c r="Q40" i="1"/>
  <c r="AQ22" i="1"/>
  <c r="AQ78" i="1"/>
  <c r="F58" i="1"/>
  <c r="DI9" i="3"/>
  <c r="DF9" i="3"/>
  <c r="DJ9" i="3" s="1"/>
  <c r="DG9" i="3"/>
  <c r="DH9" i="3"/>
  <c r="V39" i="1"/>
  <c r="W39" i="1"/>
  <c r="T39" i="1"/>
  <c r="DG18" i="3"/>
  <c r="DJ18" i="3" s="1"/>
  <c r="DH18" i="3"/>
  <c r="DF18" i="3"/>
  <c r="DI18" i="3"/>
  <c r="DF56" i="3"/>
  <c r="DG56" i="3"/>
  <c r="DJ56" i="3" s="1"/>
  <c r="DI56" i="3"/>
  <c r="DH56" i="3"/>
  <c r="DF55" i="3"/>
  <c r="DG55" i="3"/>
  <c r="DH55" i="3"/>
  <c r="DI55" i="3"/>
  <c r="DJ55" i="3" s="1"/>
  <c r="DF8" i="3"/>
  <c r="DJ8" i="3" s="1"/>
  <c r="DG8" i="3"/>
  <c r="DI8" i="3"/>
  <c r="DH8" i="3"/>
  <c r="P39" i="1"/>
  <c r="CZ24" i="1"/>
  <c r="Y24" i="1" s="1"/>
  <c r="V38" i="6" s="1"/>
  <c r="K42" i="6" s="1"/>
  <c r="Q39" i="1"/>
  <c r="GM26" i="1"/>
  <c r="GN26" i="1"/>
  <c r="GN34" i="1"/>
  <c r="DI17" i="3"/>
  <c r="DJ17" i="3" s="1"/>
  <c r="DF17" i="3"/>
  <c r="DG17" i="3"/>
  <c r="DH17" i="3"/>
  <c r="GM32" i="1"/>
  <c r="GN32" i="1"/>
  <c r="U39" i="1"/>
  <c r="L136" i="6" s="1"/>
  <c r="Q136" i="6" s="1"/>
  <c r="DF40" i="3"/>
  <c r="DG40" i="3"/>
  <c r="DJ40" i="3" s="1"/>
  <c r="DI40" i="3"/>
  <c r="DH40" i="3"/>
  <c r="BC18" i="1"/>
  <c r="F94" i="1"/>
  <c r="DF31" i="3"/>
  <c r="DJ31" i="3" s="1"/>
  <c r="DG31" i="3"/>
  <c r="DH31" i="3"/>
  <c r="DI31" i="3"/>
  <c r="DG26" i="3"/>
  <c r="DJ26" i="3" s="1"/>
  <c r="DH26" i="3"/>
  <c r="DF26" i="3"/>
  <c r="DI26" i="3"/>
  <c r="DF16" i="3"/>
  <c r="DG16" i="3"/>
  <c r="DI16" i="3"/>
  <c r="DJ16" i="3" s="1"/>
  <c r="DH16" i="3"/>
  <c r="CY34" i="1"/>
  <c r="X34" i="1" s="1"/>
  <c r="T106" i="6" s="1"/>
  <c r="CY24" i="1"/>
  <c r="X24" i="1" s="1"/>
  <c r="T38" i="6" s="1"/>
  <c r="K41" i="6" s="1"/>
  <c r="GN41" i="1"/>
  <c r="DF45" i="3"/>
  <c r="DJ45" i="3" s="1"/>
  <c r="DH45" i="3"/>
  <c r="DI45" i="3"/>
  <c r="DG45" i="3"/>
  <c r="DH30" i="3"/>
  <c r="DI30" i="3"/>
  <c r="DG30" i="3"/>
  <c r="DJ30" i="3" s="1"/>
  <c r="DF30" i="3"/>
  <c r="DF20" i="3"/>
  <c r="DG20" i="3"/>
  <c r="DJ20" i="3" s="1"/>
  <c r="DH20" i="3"/>
  <c r="DI20" i="3"/>
  <c r="DG3" i="3"/>
  <c r="DH3" i="3"/>
  <c r="DI3" i="3"/>
  <c r="DJ3" i="3" s="1"/>
  <c r="DF3" i="3"/>
  <c r="V30" i="1"/>
  <c r="AI48" i="1" s="1"/>
  <c r="AT48" i="1"/>
  <c r="CC22" i="1"/>
  <c r="V40" i="1"/>
  <c r="W40" i="1"/>
  <c r="GM43" i="1"/>
  <c r="GN43" i="1"/>
  <c r="AU22" i="1"/>
  <c r="F67" i="1"/>
  <c r="AU78" i="1"/>
  <c r="DG50" i="3"/>
  <c r="DJ50" i="3" s="1"/>
  <c r="DH50" i="3"/>
  <c r="DF50" i="3"/>
  <c r="DI50" i="3"/>
  <c r="DF7" i="3"/>
  <c r="DG7" i="3"/>
  <c r="DJ7" i="3" s="1"/>
  <c r="DH7" i="3"/>
  <c r="DI7" i="3"/>
  <c r="DF37" i="3"/>
  <c r="DJ37" i="3" s="1"/>
  <c r="DH37" i="3"/>
  <c r="DI37" i="3"/>
  <c r="DG37" i="3"/>
  <c r="DF53" i="3"/>
  <c r="DJ53" i="3" s="1"/>
  <c r="DH53" i="3"/>
  <c r="DI53" i="3"/>
  <c r="DG53" i="3"/>
  <c r="AO22" i="1"/>
  <c r="F52" i="1"/>
  <c r="AO78" i="1"/>
  <c r="DF29" i="3"/>
  <c r="DH29" i="3"/>
  <c r="DI29" i="3"/>
  <c r="DJ29" i="3" s="1"/>
  <c r="DG29" i="3"/>
  <c r="DG10" i="3"/>
  <c r="DH10" i="3"/>
  <c r="DF10" i="3"/>
  <c r="DJ10" i="3" s="1"/>
  <c r="DI10" i="3"/>
  <c r="GN31" i="1"/>
  <c r="GM31" i="1"/>
  <c r="Q30" i="1"/>
  <c r="AD48" i="1" s="1"/>
  <c r="T30" i="1"/>
  <c r="AG48" i="1" s="1"/>
  <c r="DI41" i="3"/>
  <c r="DF41" i="3"/>
  <c r="DG41" i="3"/>
  <c r="DJ41" i="3" s="1"/>
  <c r="DH41" i="3"/>
  <c r="DH6" i="3"/>
  <c r="DI6" i="3"/>
  <c r="DF6" i="3"/>
  <c r="DG6" i="3"/>
  <c r="DJ6" i="3" s="1"/>
  <c r="DH14" i="3"/>
  <c r="DI14" i="3"/>
  <c r="DG14" i="3"/>
  <c r="DJ14" i="3" s="1"/>
  <c r="DF14" i="3"/>
  <c r="DF5" i="3"/>
  <c r="DH5" i="3"/>
  <c r="DI5" i="3"/>
  <c r="DG5" i="3"/>
  <c r="DJ5" i="3" s="1"/>
  <c r="DF21" i="3"/>
  <c r="DJ21" i="3" s="1"/>
  <c r="DH21" i="3"/>
  <c r="DI21" i="3"/>
  <c r="DG21" i="3"/>
  <c r="DF68" i="3"/>
  <c r="DJ68" i="3" s="1"/>
  <c r="DG68" i="3"/>
  <c r="DI68" i="3"/>
  <c r="DH68" i="3"/>
  <c r="DG59" i="3"/>
  <c r="DH59" i="3"/>
  <c r="DF59" i="3"/>
  <c r="DJ59" i="3" s="1"/>
  <c r="DI59" i="3"/>
  <c r="DG66" i="3"/>
  <c r="DH66" i="3"/>
  <c r="DF66" i="3"/>
  <c r="DJ66" i="3" s="1"/>
  <c r="DI66" i="3"/>
  <c r="DH46" i="3"/>
  <c r="DI46" i="3"/>
  <c r="DJ46" i="3" s="1"/>
  <c r="DG46" i="3"/>
  <c r="DF46" i="3"/>
  <c r="BB22" i="1"/>
  <c r="BB78" i="1"/>
  <c r="F61" i="1"/>
  <c r="DF52" i="3"/>
  <c r="DJ52" i="3" s="1"/>
  <c r="DG52" i="3"/>
  <c r="DH52" i="3"/>
  <c r="DI52" i="3"/>
  <c r="CY37" i="1"/>
  <c r="X37" i="1" s="1"/>
  <c r="T121" i="6" s="1"/>
  <c r="CZ37" i="1"/>
  <c r="Y37" i="1" s="1"/>
  <c r="V121" i="6" s="1"/>
  <c r="R39" i="1"/>
  <c r="CZ25" i="1"/>
  <c r="Y25" i="1" s="1"/>
  <c r="V45" i="6" s="1"/>
  <c r="K51" i="6" s="1"/>
  <c r="CY25" i="1"/>
  <c r="X25" i="1" s="1"/>
  <c r="DF24" i="3"/>
  <c r="DG24" i="3"/>
  <c r="DI24" i="3"/>
  <c r="DJ24" i="3" s="1"/>
  <c r="DH24" i="3"/>
  <c r="DF15" i="3"/>
  <c r="DJ15" i="3" s="1"/>
  <c r="DG15" i="3"/>
  <c r="DH15" i="3"/>
  <c r="DI15" i="3"/>
  <c r="CZ28" i="1"/>
  <c r="Y28" i="1" s="1"/>
  <c r="V65" i="6" s="1"/>
  <c r="K72" i="6" s="1"/>
  <c r="CY28" i="1"/>
  <c r="X28" i="1" s="1"/>
  <c r="T65" i="6" s="1"/>
  <c r="K71" i="6" s="1"/>
  <c r="DI49" i="3"/>
  <c r="DF49" i="3"/>
  <c r="DG49" i="3"/>
  <c r="DJ49" i="3" s="1"/>
  <c r="DH49" i="3"/>
  <c r="DF13" i="3"/>
  <c r="DH13" i="3"/>
  <c r="DI13" i="3"/>
  <c r="DG13" i="3"/>
  <c r="DJ13" i="3" s="1"/>
  <c r="DH69" i="3"/>
  <c r="DI69" i="3"/>
  <c r="DF69" i="3"/>
  <c r="DJ69" i="3" s="1"/>
  <c r="DG69" i="3"/>
  <c r="DG27" i="3"/>
  <c r="DJ27" i="3" s="1"/>
  <c r="DH27" i="3"/>
  <c r="DF27" i="3"/>
  <c r="DI27" i="3"/>
  <c r="U30" i="1"/>
  <c r="DG11" i="3"/>
  <c r="DH11" i="3"/>
  <c r="DF11" i="3"/>
  <c r="DI11" i="3"/>
  <c r="DJ11" i="3" s="1"/>
  <c r="DI25" i="3"/>
  <c r="DJ25" i="3" s="1"/>
  <c r="DF25" i="3"/>
  <c r="DG25" i="3"/>
  <c r="DH25" i="3"/>
  <c r="GN27" i="1"/>
  <c r="GM27" i="1"/>
  <c r="CG22" i="1"/>
  <c r="AX48" i="1"/>
  <c r="W30" i="1"/>
  <c r="CM48" i="1"/>
  <c r="CP28" i="1"/>
  <c r="O28" i="1" s="1"/>
  <c r="DF48" i="3"/>
  <c r="DG48" i="3"/>
  <c r="DJ48" i="3" s="1"/>
  <c r="DI48" i="3"/>
  <c r="DH48" i="3"/>
  <c r="GX30" i="1"/>
  <c r="CJ48" i="1" s="1"/>
  <c r="J149" i="6" l="1"/>
  <c r="P149" i="6" s="1"/>
  <c r="J94" i="6"/>
  <c r="P94" i="6" s="1"/>
  <c r="J44" i="6"/>
  <c r="P44" i="6" s="1"/>
  <c r="J74" i="6"/>
  <c r="P74" i="6" s="1"/>
  <c r="J105" i="6"/>
  <c r="P105" i="6" s="1"/>
  <c r="J159" i="6"/>
  <c r="P159" i="6" s="1"/>
  <c r="J133" i="6"/>
  <c r="P133" i="6" s="1"/>
  <c r="AJ48" i="1"/>
  <c r="AJ22" i="1" s="1"/>
  <c r="GM25" i="1"/>
  <c r="T45" i="6"/>
  <c r="K50" i="6" s="1"/>
  <c r="J53" i="6" s="1"/>
  <c r="P53" i="6" s="1"/>
  <c r="GM38" i="1"/>
  <c r="GN35" i="1"/>
  <c r="AE48" i="1"/>
  <c r="G105" i="6"/>
  <c r="O105" i="6" s="1"/>
  <c r="W85" i="6"/>
  <c r="G85" i="6"/>
  <c r="O85" i="6" s="1"/>
  <c r="AH48" i="1"/>
  <c r="U48" i="1" s="1"/>
  <c r="L85" i="6"/>
  <c r="Q85" i="6" s="1"/>
  <c r="L174" i="6" s="1"/>
  <c r="GM42" i="1"/>
  <c r="GN38" i="1"/>
  <c r="GM35" i="1"/>
  <c r="GM34" i="1"/>
  <c r="GN29" i="1"/>
  <c r="GM29" i="1"/>
  <c r="CP40" i="1"/>
  <c r="O40" i="1" s="1"/>
  <c r="GM40" i="1" s="1"/>
  <c r="CP39" i="1"/>
  <c r="O39" i="1" s="1"/>
  <c r="K134" i="6"/>
  <c r="J136" i="6" s="1"/>
  <c r="P136" i="6" s="1"/>
  <c r="T118" i="6"/>
  <c r="CP36" i="1"/>
  <c r="O36" i="1" s="1"/>
  <c r="GN36" i="1" s="1"/>
  <c r="K118" i="6"/>
  <c r="J120" i="6" s="1"/>
  <c r="P120" i="6" s="1"/>
  <c r="G136" i="6"/>
  <c r="O136" i="6" s="1"/>
  <c r="W136" i="6"/>
  <c r="G120" i="6"/>
  <c r="O120" i="6" s="1"/>
  <c r="W120" i="6"/>
  <c r="AG22" i="1"/>
  <c r="T48" i="1"/>
  <c r="CJ22" i="1"/>
  <c r="BA48" i="1"/>
  <c r="AD22" i="1"/>
  <c r="Q48" i="1"/>
  <c r="AH22" i="1"/>
  <c r="AE22" i="1"/>
  <c r="R48" i="1"/>
  <c r="AI22" i="1"/>
  <c r="V48" i="1"/>
  <c r="CP30" i="1"/>
  <c r="O30" i="1" s="1"/>
  <c r="AB48" i="1" s="1"/>
  <c r="AC48" i="1"/>
  <c r="GM28" i="1"/>
  <c r="GN28" i="1"/>
  <c r="F88" i="1"/>
  <c r="AQ18" i="1"/>
  <c r="CM22" i="1"/>
  <c r="BD48" i="1"/>
  <c r="CY30" i="1"/>
  <c r="X30" i="1" s="1"/>
  <c r="T84" i="6" s="1"/>
  <c r="GN40" i="1"/>
  <c r="CZ30" i="1"/>
  <c r="Y30" i="1" s="1"/>
  <c r="V84" i="6" s="1"/>
  <c r="F82" i="1"/>
  <c r="AO18" i="1"/>
  <c r="GN37" i="1"/>
  <c r="GM37" i="1"/>
  <c r="S48" i="1"/>
  <c r="AF22" i="1"/>
  <c r="BB18" i="1"/>
  <c r="F91" i="1"/>
  <c r="CI22" i="1"/>
  <c r="AZ48" i="1"/>
  <c r="GM24" i="1"/>
  <c r="GN24" i="1"/>
  <c r="CY39" i="1"/>
  <c r="X39" i="1" s="1"/>
  <c r="CZ39" i="1"/>
  <c r="Y39" i="1" s="1"/>
  <c r="V134" i="6" s="1"/>
  <c r="AX22" i="1"/>
  <c r="F55" i="1"/>
  <c r="AX78" i="1"/>
  <c r="AP22" i="1"/>
  <c r="F57" i="1"/>
  <c r="G16" i="2" s="1"/>
  <c r="G18" i="2" s="1"/>
  <c r="AP78" i="1"/>
  <c r="GN25" i="1"/>
  <c r="F97" i="1"/>
  <c r="AU18" i="1"/>
  <c r="AT22" i="1"/>
  <c r="F66" i="1"/>
  <c r="F16" i="2" s="1"/>
  <c r="F18" i="2" s="1"/>
  <c r="AT78" i="1"/>
  <c r="G174" i="6" l="1"/>
  <c r="J174" i="6"/>
  <c r="J170" i="6"/>
  <c r="AL48" i="1"/>
  <c r="G170" i="6"/>
  <c r="GM36" i="1"/>
  <c r="W48" i="1"/>
  <c r="AK48" i="1"/>
  <c r="AK22" i="1" s="1"/>
  <c r="T134" i="6"/>
  <c r="L170" i="6"/>
  <c r="F73" i="1"/>
  <c r="BD22" i="1"/>
  <c r="BD78" i="1"/>
  <c r="GM39" i="1"/>
  <c r="U22" i="1"/>
  <c r="U78" i="1"/>
  <c r="F70" i="1"/>
  <c r="GN39" i="1"/>
  <c r="F71" i="1"/>
  <c r="V78" i="1"/>
  <c r="V22" i="1"/>
  <c r="Q22" i="1"/>
  <c r="Q78" i="1"/>
  <c r="F60" i="1"/>
  <c r="BA22" i="1"/>
  <c r="BA78" i="1"/>
  <c r="F68" i="1"/>
  <c r="H16" i="2" s="1"/>
  <c r="H18" i="2" s="1"/>
  <c r="AZ78" i="1"/>
  <c r="AZ22" i="1"/>
  <c r="F59" i="1"/>
  <c r="AX18" i="1"/>
  <c r="F85" i="1"/>
  <c r="AP18" i="1"/>
  <c r="F87" i="1"/>
  <c r="R78" i="1"/>
  <c r="R22" i="1"/>
  <c r="F62" i="1"/>
  <c r="AT18" i="1"/>
  <c r="F96" i="1"/>
  <c r="CB48" i="1"/>
  <c r="S22" i="1"/>
  <c r="F63" i="1"/>
  <c r="S78" i="1"/>
  <c r="CE48" i="1"/>
  <c r="CF48" i="1"/>
  <c r="AC22" i="1"/>
  <c r="P48" i="1"/>
  <c r="CH48" i="1"/>
  <c r="W22" i="1"/>
  <c r="F72" i="1"/>
  <c r="W78" i="1"/>
  <c r="T22" i="1"/>
  <c r="T78" i="1"/>
  <c r="F69" i="1"/>
  <c r="AL22" i="1"/>
  <c r="Y48" i="1"/>
  <c r="AB22" i="1"/>
  <c r="O48" i="1"/>
  <c r="GN30" i="1"/>
  <c r="GM30" i="1"/>
  <c r="CA48" i="1" s="1"/>
  <c r="X48" i="1" l="1"/>
  <c r="CA22" i="1"/>
  <c r="AR48" i="1"/>
  <c r="U18" i="1"/>
  <c r="F100" i="1"/>
  <c r="F90" i="1"/>
  <c r="J181" i="6" s="1"/>
  <c r="Q18" i="1"/>
  <c r="F99" i="1"/>
  <c r="T18" i="1"/>
  <c r="CF22" i="1"/>
  <c r="AW48" i="1"/>
  <c r="F51" i="1"/>
  <c r="P78" i="1"/>
  <c r="P22" i="1"/>
  <c r="CE22" i="1"/>
  <c r="AV48" i="1"/>
  <c r="S18" i="1"/>
  <c r="F93" i="1"/>
  <c r="AZ18" i="1"/>
  <c r="F89" i="1"/>
  <c r="V18" i="1"/>
  <c r="F101" i="1"/>
  <c r="J186" i="6" s="1"/>
  <c r="CB22" i="1"/>
  <c r="AS48" i="1"/>
  <c r="BD18" i="1"/>
  <c r="F103" i="1"/>
  <c r="J187" i="6" s="1"/>
  <c r="W18" i="1"/>
  <c r="F102" i="1"/>
  <c r="O22" i="1"/>
  <c r="F50" i="1"/>
  <c r="O78" i="1"/>
  <c r="J16" i="2"/>
  <c r="J18" i="2" s="1"/>
  <c r="R18" i="1"/>
  <c r="F92" i="1"/>
  <c r="J182" i="6" s="1"/>
  <c r="BA18" i="1"/>
  <c r="F98" i="1"/>
  <c r="X22" i="1"/>
  <c r="F74" i="1"/>
  <c r="X78" i="1"/>
  <c r="Y22" i="1"/>
  <c r="F75" i="1"/>
  <c r="Y78" i="1"/>
  <c r="CH22" i="1"/>
  <c r="AY48" i="1"/>
  <c r="J183" i="6" l="1"/>
  <c r="J185" i="6"/>
  <c r="X18" i="1"/>
  <c r="F104" i="1"/>
  <c r="J188" i="6" s="1"/>
  <c r="F65" i="1"/>
  <c r="E16" i="2" s="1"/>
  <c r="AS78" i="1"/>
  <c r="AS22" i="1"/>
  <c r="AV22" i="1"/>
  <c r="F53" i="1"/>
  <c r="AV78" i="1"/>
  <c r="O18" i="1"/>
  <c r="F80" i="1"/>
  <c r="J176" i="6" s="1"/>
  <c r="P18" i="1"/>
  <c r="F81" i="1"/>
  <c r="J177" i="6" s="1"/>
  <c r="AY22" i="1"/>
  <c r="AY78" i="1"/>
  <c r="F56" i="1"/>
  <c r="AW22" i="1"/>
  <c r="AW78" i="1"/>
  <c r="F54" i="1"/>
  <c r="AR78" i="1"/>
  <c r="F76" i="1"/>
  <c r="AR22" i="1"/>
  <c r="Y18" i="1"/>
  <c r="F105" i="1"/>
  <c r="J189" i="6" s="1"/>
  <c r="AY18" i="1" l="1"/>
  <c r="F86" i="1"/>
  <c r="J180" i="6" s="1"/>
  <c r="AV18" i="1"/>
  <c r="F83" i="1"/>
  <c r="J178" i="6" s="1"/>
  <c r="AS18" i="1"/>
  <c r="F95" i="1"/>
  <c r="AR18" i="1"/>
  <c r="F106" i="1"/>
  <c r="E18" i="2"/>
  <c r="I16" i="2"/>
  <c r="I18" i="2" s="1"/>
  <c r="AW18" i="1"/>
  <c r="F84" i="1"/>
  <c r="J179" i="6" s="1"/>
  <c r="J184" i="6" l="1"/>
  <c r="F107" i="1"/>
  <c r="J190" i="6"/>
  <c r="F108" i="1" l="1"/>
  <c r="J192" i="6" s="1"/>
  <c r="I29" i="6" s="1"/>
  <c r="J191" i="6"/>
</calcChain>
</file>

<file path=xl/sharedStrings.xml><?xml version="1.0" encoding="utf-8"?>
<sst xmlns="http://schemas.openxmlformats.org/spreadsheetml/2006/main" count="2900" uniqueCount="387">
  <si>
    <t>Smeta.RU  (495) 974-1589</t>
  </si>
  <si>
    <t>_PS_</t>
  </si>
  <si>
    <t>Smeta.RU</t>
  </si>
  <si>
    <t/>
  </si>
  <si>
    <t>АО "Невьянский цементник"</t>
  </si>
  <si>
    <t>Новый объект</t>
  </si>
  <si>
    <t>Ремонт кровли здания компрессорной</t>
  </si>
  <si>
    <t>Ведомость объемов работ</t>
  </si>
  <si>
    <t>Сметные нормы списания</t>
  </si>
  <si>
    <t>Коды ценников</t>
  </si>
  <si>
    <t>ФЕР-2020 И9</t>
  </si>
  <si>
    <t>Версия 1.7.0 ГСН (ГЭСН, ФЕР) и ТЕР (Методики НР (812/пр, 636/пр, 611/пр) и СП (774/пр и 317/пр) применять с 08.01.2023 г.)</t>
  </si>
  <si>
    <t>ФЕР-2020 - изменения И9</t>
  </si>
  <si>
    <t>Поправки для ГСН (ФЕР) 2020 от 11.09.2022 г И9 (в ред. 557/пр) Капитальный ремонт производственных зданий</t>
  </si>
  <si>
    <t>ГСН</t>
  </si>
  <si>
    <t>Новая локальная смета</t>
  </si>
  <si>
    <t>1</t>
  </si>
  <si>
    <t>46-04-008-01</t>
  </si>
  <si>
    <t>Разборка покрытий кровель: из рулонных материалов // с учетом примыканий</t>
  </si>
  <si>
    <t>100 м2</t>
  </si>
  <si>
    <t>ФЕР-2001, 46-04-008-01, приказ Минстроя России № 876/пр от 26.12.2019</t>
  </si>
  <si>
    <t>Общестроительные работы</t>
  </si>
  <si>
    <t>Работы по реконструкции зданий и сооружений</t>
  </si>
  <si>
    <t>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</si>
  <si>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ФЕР-46</t>
  </si>
  <si>
    <t>Пр/812-040.2-1</t>
  </si>
  <si>
    <t>Пр/774-040.2</t>
  </si>
  <si>
    <t>2</t>
  </si>
  <si>
    <t>12-01-017-01</t>
  </si>
  <si>
    <t>Демонтаж // Устройство выравнивающих стяжек: цементно-песчаных толщиной 15 мм</t>
  </si>
  <si>
    <t>ФЕР-2001, 12-01-017-01, приказ Минстроя России № 876/пр от 26.12.2019</t>
  </si>
  <si>
    <t>Поправка: МР 519/пр Табл.2, п.1  Наименование: При демонтаже (разборке) сборных бетонных и железобетонных конструкций</t>
  </si>
  <si>
    <t>)*0</t>
  </si>
  <si>
    <t>)*0,8</t>
  </si>
  <si>
    <t>Кровли</t>
  </si>
  <si>
    <t>ФЕР-12</t>
  </si>
  <si>
    <t>Поправка: МР 519/пр Табл.2, п.1</t>
  </si>
  <si>
    <t>Пр/812-012.0-1</t>
  </si>
  <si>
    <t>Пр/774-012.0</t>
  </si>
  <si>
    <t>3</t>
  </si>
  <si>
    <t>12-01-017-02</t>
  </si>
  <si>
    <t>Демонтаж - до толщ. 50мм // Устройство выравнивающих стяжек: на каждый 1 мм изменения толщины добавлять или исключать к расценке 12-01-017-01</t>
  </si>
  <si>
    <t>ФЕР-2001, 12-01-017-02, приказ Минстроя России № 876/пр от 26.12.2019</t>
  </si>
  <si>
    <t>)*0)*35</t>
  </si>
  <si>
    <t>)*0,8)*35</t>
  </si>
  <si>
    <t>)*35</t>
  </si>
  <si>
    <t>4</t>
  </si>
  <si>
    <t>Договорная цена</t>
  </si>
  <si>
    <t>Аренда строительного рукава (мусоропровода) Н=12м, 10 суток</t>
  </si>
  <si>
    <t>КОМПЛЕКТ</t>
  </si>
  <si>
    <t>Материалы строительные</t>
  </si>
  <si>
    <t>Материалы, изделия и конструкции</t>
  </si>
  <si>
    <t>материалы (03)</t>
  </si>
  <si>
    <t>[5 500 / 1.2 /  8.31]</t>
  </si>
  <si>
    <t>0</t>
  </si>
  <si>
    <t>5</t>
  </si>
  <si>
    <t>Устройство выравнивающих стяжек: цементно-песчаных толщиной 15 мм</t>
  </si>
  <si>
    <t>)*1,25</t>
  </si>
  <si>
    <t>)*1,15</t>
  </si>
  <si>
    <t>)*0,85</t>
  </si>
  <si>
    <t>Поправка: М-ка 421/пр 04.08.20 п.58 п.п. б)</t>
  </si>
  <si>
    <t>6</t>
  </si>
  <si>
    <t>Толщ. 50мм // Устройство выравнивающих стяжек: на каждый 1 мм изменения толщины добавлять или исключать к расценке 12-01-017-01</t>
  </si>
  <si>
    <t>)*1,25)*35</t>
  </si>
  <si>
    <t>)*1,15)*35</t>
  </si>
  <si>
    <t>7</t>
  </si>
  <si>
    <t>Цена Поставщика</t>
  </si>
  <si>
    <t>Раствор готовый кладочный тяжелый цементный М100</t>
  </si>
  <si>
    <t>м3</t>
  </si>
  <si>
    <t>[4 750 / 1.2 /  8.31] +  5% Трансп +  2% Заг.скл</t>
  </si>
  <si>
    <t>8</t>
  </si>
  <si>
    <t>58-28-1</t>
  </si>
  <si>
    <t>Подготовка и проварка основания рулонной кровли с применением инфракрасного нагревателя для последующего устройства рулонной кровли</t>
  </si>
  <si>
    <t>м2</t>
  </si>
  <si>
    <t>ФЕРр-2001, 58-28-1, приказ Минстроя России № 876/пр от 26.12.2019</t>
  </si>
  <si>
    <t>Ремонтно-строительные работы</t>
  </si>
  <si>
    <t>Крыши, кровли</t>
  </si>
  <si>
    <t>рФЕР-58</t>
  </si>
  <si>
    <t>Пр/812-092.0-1</t>
  </si>
  <si>
    <t>Пр/774-092.0</t>
  </si>
  <si>
    <t>Крыши, кровля</t>
  </si>
  <si>
    <t>9</t>
  </si>
  <si>
    <t>12-01-016-02</t>
  </si>
  <si>
    <t>Огрунтовка оснований из бетона или раствора под водоизоляционный кровельный ковер: готовой эмульсией битумной</t>
  </si>
  <si>
    <t>ФЕР-2001, 12-01-016-02, приказ Минстроя России № 876/пр от 26.12.2019</t>
  </si>
  <si>
    <t>9.1</t>
  </si>
  <si>
    <t>01.2.03.07-0022</t>
  </si>
  <si>
    <t>Эмульсия битумная гидроизоляционная</t>
  </si>
  <si>
    <t>т</t>
  </si>
  <si>
    <t>ФССЦ-2001, 01.2.03.07-0022, приказ Минстроя России № 876/пр от 26.12.2019</t>
  </si>
  <si>
    <t>10</t>
  </si>
  <si>
    <t>Праймер битумный ТЕХНОНИКОЛЬ № 01 (расход 0,3 кг/м2)</t>
  </si>
  <si>
    <t>кг</t>
  </si>
  <si>
    <t>[224.45 / 1.2 /  8.31] +  5% Трансп +  2% Заг.скл</t>
  </si>
  <si>
    <t>11</t>
  </si>
  <si>
    <t>12-01-002-09</t>
  </si>
  <si>
    <t>Устройство кровель плоских из наплавляемых материалов: в два слоя</t>
  </si>
  <si>
    <t>ФЕР-2001 доп.5, 12-01-002-09, приказ Минстроя России № 51/пр от 09.02.2021</t>
  </si>
  <si>
    <t>12</t>
  </si>
  <si>
    <t>Материал кровельный Унифлекс Вент ЭПВ</t>
  </si>
  <si>
    <t>[317.65 / 1.2 /  8.31] +  5% Трансп +  2% Заг.скл</t>
  </si>
  <si>
    <t>13</t>
  </si>
  <si>
    <t>Материал кровельный Техноэласт Пламя Стоп ЭКП</t>
  </si>
  <si>
    <t>[528.77 / 1.2 /  8.31] +  5% Трансп +  2% Заг.скл</t>
  </si>
  <si>
    <t>14</t>
  </si>
  <si>
    <t>12-01-004-04</t>
  </si>
  <si>
    <t>Устройство примыканий кровель из наплавляемых материалов к стенам и парапетам высотой: до 600 мм без фартуков</t>
  </si>
  <si>
    <t>100 м</t>
  </si>
  <si>
    <t>ФЕР-2001, 12-01-004-04, приказ Минстроя России № 876/пр от 26.12.2019</t>
  </si>
  <si>
    <t>15</t>
  </si>
  <si>
    <t>16</t>
  </si>
  <si>
    <t>17</t>
  </si>
  <si>
    <t>58-20-3</t>
  </si>
  <si>
    <t>Смена обделок из листовой стали (брандмауэров и парапетов без обделки боковых стенок) шириной: до 1 м</t>
  </si>
  <si>
    <t>ФЕРр-2001, 58-20-3, приказ Минстроя России № 876/пр от 26.12.2019</t>
  </si>
  <si>
    <t>18</t>
  </si>
  <si>
    <t>58-20-2</t>
  </si>
  <si>
    <t>Смена обделок из листовой стали (поясков, сандриков, отливов, карнизов) шириной: до 0,7 м</t>
  </si>
  <si>
    <t>ФЕРр-2001, 58-20-2, приказ Минстроя России № 876/пр от 26.12.2019</t>
  </si>
  <si>
    <t>19</t>
  </si>
  <si>
    <t>Сталь листовая оцинкованная 0,7мм</t>
  </si>
  <si>
    <t>[112 700 / 1.2 /  8.31] +  5% Трансп +  2% Заг.скл</t>
  </si>
  <si>
    <t>20</t>
  </si>
  <si>
    <t>т01-01-01-041</t>
  </si>
  <si>
    <t>Погрузка при автомобильных перевозках мусора строительного с погрузкой вручную</t>
  </si>
  <si>
    <t>1 т груза</t>
  </si>
  <si>
    <t>ФССЦпг-2001, т01-01-01-041, приказ Минстроя России №876/пр от 26.12.2019</t>
  </si>
  <si>
    <t>Погрузочно-разгрузочные работы</t>
  </si>
  <si>
    <t>ФССЦпр  пог. а/п (2011,изм. 4-6)</t>
  </si>
  <si>
    <t>21</t>
  </si>
  <si>
    <t>т01-01-01-043</t>
  </si>
  <si>
    <t>Погрузка при автомобильных перевозках мусора строительного с погрузкой экскаваторами емкостью ковша до 0,5 м3</t>
  </si>
  <si>
    <t>ФССЦпг-2001, т01-01-01-043, приказ Минстроя России №876/пр от 26.12.2019</t>
  </si>
  <si>
    <t>22</t>
  </si>
  <si>
    <t>т03-21-01-002</t>
  </si>
  <si>
    <t>Перевозка грузов I класса автомобилями-самосвалами грузоподъемностью 10 т работающих вне карьера на расстояние до 2 км</t>
  </si>
  <si>
    <t>ФССЦпг-2001, т03-21-01-002, приказ Минстроя России №876/пр от 26.12.2019</t>
  </si>
  <si>
    <t>Автомобили-самосвалы</t>
  </si>
  <si>
    <t>Перевозка строительных грузов автомобильным транспортом</t>
  </si>
  <si>
    <t>Перевозка строительных грузов автомобильным транспортом: Автомобили-самосвалы</t>
  </si>
  <si>
    <t>ФССЦпг 03-21, 03-22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</si>
  <si>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</si>
  <si>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</si>
  <si>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</si>
  <si>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</si>
  <si>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</si>
  <si>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</si>
  <si>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</si>
  <si>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</si>
  <si>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</si>
  <si>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</si>
  <si>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</si>
  <si>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</si>
  <si>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</si>
  <si>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</si>
  <si>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</si>
  <si>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</si>
  <si>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</si>
  <si>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</si>
  <si>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</si>
  <si>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</si>
  <si>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</si>
  <si>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</si>
  <si>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</si>
  <si>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</si>
  <si>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</si>
  <si>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</si>
  <si>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</si>
  <si>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</si>
  <si>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</si>
  <si>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</si>
  <si>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</si>
  <si>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</si>
  <si>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</si>
  <si>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</si>
  <si>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</si>
  <si>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</si>
  <si>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</si>
  <si>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</si>
  <si>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</si>
  <si>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</si>
  <si>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</si>
  <si>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</si>
  <si>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</si>
  <si>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</si>
  <si>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</si>
  <si>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</si>
  <si>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</si>
  <si>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</si>
  <si>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</si>
  <si>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</si>
  <si>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</si>
  <si>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</si>
  <si>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</si>
  <si>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</si>
  <si>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н</t>
  </si>
  <si>
    <t>НДС 20%</t>
  </si>
  <si>
    <t>в с н</t>
  </si>
  <si>
    <t>Всего с НДС 20%</t>
  </si>
  <si>
    <t>НДС</t>
  </si>
  <si>
    <t>Новая переменная</t>
  </si>
  <si>
    <t>Переменная</t>
  </si>
  <si>
    <t>Переменная1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</si>
  <si>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</si>
  <si>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</si>
  <si>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</si>
  <si>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</si>
  <si>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</si>
  <si>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</si>
  <si>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</si>
  <si>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</si>
  <si>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</si>
  <si>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</si>
  <si>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</si>
  <si>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</si>
  <si>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</si>
  <si>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</si>
  <si>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</si>
  <si>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</si>
  <si>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</si>
  <si>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</si>
  <si>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</si>
  <si>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</si>
  <si>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</si>
  <si>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</si>
  <si>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</si>
  <si>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</si>
  <si>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</si>
  <si>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</si>
  <si>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</si>
  <si>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</si>
  <si>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</si>
  <si>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</si>
  <si>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</si>
  <si>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</si>
  <si>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</si>
  <si>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</si>
  <si>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авитранспорта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</si>
  <si>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</si>
  <si>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</si>
  <si>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</si>
  <si>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</si>
  <si>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</si>
  <si>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</si>
  <si>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</si>
  <si>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</si>
  <si>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</si>
  <si>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</si>
  <si>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</si>
  <si>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</si>
  <si>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</si>
  <si>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</si>
  <si>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</si>
  <si>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</si>
  <si>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</si>
  <si>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</si>
  <si>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</si>
  <si>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</si>
  <si>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</si>
  <si>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</si>
  <si>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</si>
  <si>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</si>
  <si>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</si>
  <si>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</si>
  <si>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</si>
  <si>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</si>
  <si>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</si>
  <si>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Индексы за итогом</t>
  </si>
  <si>
    <t>_OBSM_</t>
  </si>
  <si>
    <t>1-100-20</t>
  </si>
  <si>
    <t>Затраты труда рабочих (Средний разряд - 2)</t>
  </si>
  <si>
    <t>чел.-ч.</t>
  </si>
  <si>
    <t>91.06.03-055</t>
  </si>
  <si>
    <t>ФСЭМ-2001, 91.06.03-055 , приказ Минстроя России № 876/пр от 26.12.2019</t>
  </si>
  <si>
    <t>Лебедки электрические тяговым усилием 19,62 кН (2 т)</t>
  </si>
  <si>
    <t>маш.-ч.</t>
  </si>
  <si>
    <t>1-100-31</t>
  </si>
  <si>
    <t>Затраты труда рабочих (Средний разряд - 3,1)</t>
  </si>
  <si>
    <t>4-100-00</t>
  </si>
  <si>
    <t>Затраты труда машинистов</t>
  </si>
  <si>
    <t>91.05.01-017</t>
  </si>
  <si>
    <t>ФСЭМ-2001, 91.05.01-017 , приказ Минстроя России № 876/пр от 26.12.2019</t>
  </si>
  <si>
    <t>Краны башенные, грузоподъемность 8 т</t>
  </si>
  <si>
    <t>91.06.05-011</t>
  </si>
  <si>
    <t>ФСЭМ-2001, 91.06.05-011 , приказ Минстроя России № 876/пр от 26.12.2019</t>
  </si>
  <si>
    <t>Погрузчики, грузоподъемность 5 т</t>
  </si>
  <si>
    <t>91.07.07-001</t>
  </si>
  <si>
    <t>ФСЭМ-2001, 91.07.07-001 , приказ Минстроя России № 876/пр от 26.12.2019</t>
  </si>
  <si>
    <t>Агрегаты электронасосные с регулированием подачи вручную для строительных растворов, подача до 4 м3/ч, напор 150 м</t>
  </si>
  <si>
    <t>01.7.03.01-0001</t>
  </si>
  <si>
    <t>ФССЦ-2001, 01.7.03.01-0001, приказ Минстроя России № 876/пр от 26.12.2019</t>
  </si>
  <si>
    <t>Вода</t>
  </si>
  <si>
    <t>04.3.01.09</t>
  </si>
  <si>
    <t>Раствор готовый кладочный тяжелый цементный</t>
  </si>
  <si>
    <t>12.1.02.06-0022</t>
  </si>
  <si>
    <t>ФССЦ-2001, 12.1.02.06-0022, приказ Минстроя России № 876/пр от 26.12.2019</t>
  </si>
  <si>
    <t>Рубероид кровельный РКП-350</t>
  </si>
  <si>
    <t>1-100-44</t>
  </si>
  <si>
    <t>Затраты труда рабочих (Средний разряд - 4,4)</t>
  </si>
  <si>
    <t>91.21.22-041</t>
  </si>
  <si>
    <t>ФСЭМ-2001, 91.21.22-041 , приказ Минстроя России № 876/пр от 26.12.2019</t>
  </si>
  <si>
    <t>Инфракрасные нагреватели мягкой кровли</t>
  </si>
  <si>
    <t>01.2.01.02-0041</t>
  </si>
  <si>
    <t>ФССЦ-2001, 01.2.01.02-0041, приказ Минстроя России № 876/пр от 26.12.2019</t>
  </si>
  <si>
    <t>Битумы нефтяные строительные кровельные БНК-45/190, БНК-40/180</t>
  </si>
  <si>
    <t>01.3.04.02-0004</t>
  </si>
  <si>
    <t>ФССЦ-2001, 01.3.04.02-0004, приказ Минстроя России № 876/пр от 26.12.2019</t>
  </si>
  <si>
    <t>Масло дизельное моторное М-10ДМ</t>
  </si>
  <si>
    <t>1-100-32</t>
  </si>
  <si>
    <t>Затраты труда рабочих (Средний разряд - 3,2)</t>
  </si>
  <si>
    <t>91.14.02-001</t>
  </si>
  <si>
    <t>ФСЭМ-2001, 91.14.02-001 , приказ Минстроя России № 876/пр от 26.12.2019</t>
  </si>
  <si>
    <t>Автомобили бортовые, грузоподъемность до 5 т</t>
  </si>
  <si>
    <t>1-100-38</t>
  </si>
  <si>
    <t>Затраты труда рабочих (Средний разряд - 3,8)</t>
  </si>
  <si>
    <t>91.05.05-015</t>
  </si>
  <si>
    <t>ФСЭМ-2001, 91.05.05-015 , приказ Минстроя России № 876/пр от 26.12.2019</t>
  </si>
  <si>
    <t>Краны на автомобильном ходу, грузоподъемность 16 т</t>
  </si>
  <si>
    <t>01.3.02.09-0022</t>
  </si>
  <si>
    <t>ФССЦ-2001, 01.3.02.09-0022, приказ Минстроя России № 876/пр от 26.12.2019</t>
  </si>
  <si>
    <t>Пропан-бутан смесь техническая</t>
  </si>
  <si>
    <t>12.1.02.15</t>
  </si>
  <si>
    <t>Материалы рулонные кровельные для верхнего слоя</t>
  </si>
  <si>
    <t>Материалы рулонные кровельные для нижних слоев</t>
  </si>
  <si>
    <t>1-100-36</t>
  </si>
  <si>
    <t>Затраты труда рабочих (Средний разряд - 3,6)</t>
  </si>
  <si>
    <t>04.3.01.09-0014</t>
  </si>
  <si>
    <t>ФССЦ-2001, 04.3.01.09-0014, приказ Минстроя России № 876/пр от 26.12.2019</t>
  </si>
  <si>
    <t>Раствор готовый кладочный, цементный, М100</t>
  </si>
  <si>
    <t>Материалы рулонные кровельные наплавляемые</t>
  </si>
  <si>
    <t>1-100-30</t>
  </si>
  <si>
    <t>Затраты труда рабочих (Средний разряд - 3)</t>
  </si>
  <si>
    <t>91.06.06-048</t>
  </si>
  <si>
    <t>ФСЭМ-2001, 91.06.06-048 , приказ Минстроя России № 876/пр от 26.12.2019</t>
  </si>
  <si>
    <t>Подъемники одномачтовые, грузоподъемность до 500 кг, высота подъема 45 м</t>
  </si>
  <si>
    <t>01.7.15.06-0111</t>
  </si>
  <si>
    <t>ФССЦ-2001, 01.7.15.06-0111, приказ Минстроя России № 876/пр от 26.12.2019</t>
  </si>
  <si>
    <t>Гвозди строительные</t>
  </si>
  <si>
    <t>08.3.03.05-0001</t>
  </si>
  <si>
    <t>ФССЦ-2001, 08.3.03.05-0001, приказ Минстроя России № 876/пр от 26.12.2019</t>
  </si>
  <si>
    <t>Проволока канатная оцинкованная, диаметр 2,6 мм</t>
  </si>
  <si>
    <t>08.3.05.05</t>
  </si>
  <si>
    <t>Сталь листовая оцинкованная</t>
  </si>
  <si>
    <t>999-9900</t>
  </si>
  <si>
    <t>Строительный мусор</t>
  </si>
  <si>
    <t>ГОСУДАРСТВЕННЫЕ СМЕТНЫЕ НОРМАТИВЫ (ФЕР-2020), утвержденные приказами Минстроя России от 26 декабря 2019 г.   № 876/пр (в редакции приказов Минстроя РФ от 30 марта 2020 г. № 172/пр, от 1 июня 2020 г. № 294/пр, от 30 июня 2020 г. № 352/пр,   от 20 октября 2020 г. № 636/пр, от 9 февраля 2021 г. № 51/пр, от 24 мая 2021 г. № 321/пр, от 24 июня 2021 г. № 408/пр,  от 14 октября 2021 № 746/пр, от 20 декабря 2021 № 962/пр)</t>
  </si>
  <si>
    <t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</t>
  </si>
  <si>
    <t>"СОГЛАСОВАНО"</t>
  </si>
  <si>
    <t>"УТВЕРЖДАЮ"</t>
  </si>
  <si>
    <t>"_____"________________ 2024 г.</t>
  </si>
  <si>
    <t>(наименование стройки)</t>
  </si>
  <si>
    <t xml:space="preserve">Номер заказа   </t>
  </si>
  <si>
    <t>(наименование работ и затрат, наименование объекта)</t>
  </si>
  <si>
    <t>текущая цена</t>
  </si>
  <si>
    <t>Сметная стоимость</t>
  </si>
  <si>
    <t>тыс. руб.</t>
  </si>
  <si>
    <t>Строительный объем:</t>
  </si>
  <si>
    <t>Стоимость ед.стр.объема:</t>
  </si>
  <si>
    <t>№ п/п</t>
  </si>
  <si>
    <t>Шифр расценки и коды ресурсов</t>
  </si>
  <si>
    <t>Наименование работ и затрат</t>
  </si>
  <si>
    <t>Ед. изм.</t>
  </si>
  <si>
    <t>Кол-во единиц</t>
  </si>
  <si>
    <t>Цена на ед. изм.</t>
  </si>
  <si>
    <t>Попра-вочные коэфф.</t>
  </si>
  <si>
    <t>Стоимость в ценах 2001г.</t>
  </si>
  <si>
    <t>Пункт коэфф. пересчета</t>
  </si>
  <si>
    <t>Коэфф. пересчета</t>
  </si>
  <si>
    <t>Стоимость в текущих ценах</t>
  </si>
  <si>
    <t>ЗТР всего чел.-час</t>
  </si>
  <si>
    <t>Составлена в ценах I квартал 2024 года</t>
  </si>
  <si>
    <t>Зарплата</t>
  </si>
  <si>
    <t>НР от ФОТ</t>
  </si>
  <si>
    <t>%</t>
  </si>
  <si>
    <t>СП от ФОТ</t>
  </si>
  <si>
    <t>Затраты труда</t>
  </si>
  <si>
    <t>чел-ч</t>
  </si>
  <si>
    <t>в т.ч. зарплата машинистов</t>
  </si>
  <si>
    <r>
      <t>Аренда строительного рукава (мусоропровода) Н=12м, 10 суток</t>
    </r>
    <r>
      <rPr>
        <i/>
        <sz val="10"/>
        <rFont val="Arial"/>
        <family val="2"/>
        <charset val="204"/>
      </rPr>
      <t xml:space="preserve">
551.54 = [5 500 / 1.2 /  8.31]</t>
    </r>
  </si>
  <si>
    <t>Материальные ресурсы</t>
  </si>
  <si>
    <r>
      <t>Раствор готовый кладочный тяжелый цементный М100</t>
    </r>
    <r>
      <rPr>
        <i/>
        <sz val="10"/>
        <rFont val="Arial"/>
        <family val="2"/>
        <charset val="204"/>
      </rPr>
      <t xml:space="preserve">
510.15 = [4 750 / 1.2 /  8.31] +  5% Трансп +  2% Заг.скл</t>
    </r>
  </si>
  <si>
    <r>
      <t>Праймер битумный ТЕХНОНИКОЛЬ № 01 (расход 0,3 кг/м2)</t>
    </r>
    <r>
      <rPr>
        <i/>
        <sz val="10"/>
        <rFont val="Arial"/>
        <family val="2"/>
        <charset val="204"/>
      </rPr>
      <t xml:space="preserve">
24.11 = [224.45 / 1.2 /  8.31] +  5% Трансп +  2% Заг.скл</t>
    </r>
  </si>
  <si>
    <r>
      <t>Материал кровельный Унифлекс Вент ЭПВ</t>
    </r>
    <r>
      <rPr>
        <i/>
        <sz val="10"/>
        <rFont val="Arial"/>
        <family val="2"/>
        <charset val="204"/>
      </rPr>
      <t xml:space="preserve">
34.11 = [317.65 / 1.2 /  8.31] +  5% Трансп +  2% Заг.скл</t>
    </r>
  </si>
  <si>
    <r>
      <t>Материал кровельный Техноэласт Пламя Стоп ЭКП</t>
    </r>
    <r>
      <rPr>
        <i/>
        <sz val="10"/>
        <rFont val="Arial"/>
        <family val="2"/>
        <charset val="204"/>
      </rPr>
      <t xml:space="preserve">
56.79 = [528.77 / 1.2 /  8.31] +  5% Трансп +  2% Заг.скл</t>
    </r>
  </si>
  <si>
    <r>
      <t>Сталь листовая оцинкованная 0,7мм</t>
    </r>
    <r>
      <rPr>
        <i/>
        <sz val="10"/>
        <rFont val="Arial"/>
        <family val="2"/>
        <charset val="204"/>
      </rPr>
      <t xml:space="preserve">
12 104.05 = [112 700 / 1.2 /  8.31] +  5% Трансп +  2% Заг.скл</t>
    </r>
  </si>
  <si>
    <t>Ремонт кровли здания компрессорной Инв. № ОС00001042</t>
  </si>
  <si>
    <t>Приложение №3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</si>
</sst>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#,##0.00############;[Red]\-\ #,##0.00############"/>
  </numFmts>
  <fonts count="20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0" fontId="11" fillId="0" borderId="0" xfId="0" applyFont="1" applyBorder="1"/>
    <xf numFmtId="0" fontId="11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4" fontId="0" fillId="0" borderId="0" xfId="0" applyNumberFormat="1"/>
    <xf numFmtId="0" fontId="9" fillId="0" borderId="0" xfId="0" applyFont="1" applyAlignment="1">
      <alignment vertical="top" wrapText="1"/>
    </xf>
    <xf numFmtId="0" fontId="0" fillId="0" borderId="2" xfId="0" applyBorder="1"/>
    <xf numFmtId="0" fontId="9" fillId="0" borderId="2" xfId="0" applyFont="1" applyBorder="1" applyAlignment="1">
      <alignment vertical="top" wrapText="1"/>
    </xf>
    <xf numFmtId="0" fontId="14" fillId="0" borderId="0" xfId="0" applyFont="1"/>
    <xf numFmtId="0" fontId="11" fillId="0" borderId="0" xfId="0" applyFont="1" applyAlignment="1">
      <alignment horizontal="left" wrapText="1"/>
    </xf>
    <xf numFmtId="0" fontId="17" fillId="0" borderId="0" xfId="0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17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164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164" fontId="10" fillId="0" borderId="2" xfId="0" applyNumberFormat="1" applyFont="1" applyBorder="1" applyAlignment="1">
      <alignment horizontal="right"/>
    </xf>
    <xf numFmtId="164" fontId="19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10" fillId="0" borderId="2" xfId="0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0" fontId="11" fillId="0" borderId="2" xfId="0" quotePrefix="1" applyFont="1" applyBorder="1" applyAlignment="1">
      <alignment horizontal="right" wrapText="1"/>
    </xf>
    <xf numFmtId="0" fontId="11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164" fontId="9" fillId="0" borderId="0" xfId="0" applyNumberFormat="1" applyFont="1" applyAlignment="1">
      <alignment horizontal="left"/>
    </xf>
    <xf numFmtId="0" fontId="1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/>
    </xf>
    <xf numFmtId="0" fontId="11" fillId="0" borderId="0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14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164" fontId="14" fillId="0" borderId="1" xfId="0" applyNumberFormat="1" applyFont="1" applyBorder="1" applyAlignment="1">
      <alignment horizontal="right"/>
    </xf>
    <xf numFmtId="0" fontId="14" fillId="0" borderId="0" xfId="0" applyFont="1" applyAlignment="1">
      <alignment horizontal="left" wrapText="1"/>
    </xf>
    <xf numFmtId="164" fontId="14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192"/>
  <sheetViews>
    <sheetView tabSelected="1" topLeftCell="A164" zoomScaleNormal="100" workbookViewId="0">
      <selection activeCell="H6" sqref="H6:L6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9.7109375" customWidth="1"/>
    <col min="15" max="31" width="0" hidden="1" customWidth="1"/>
    <col min="32" max="32" width="91.7109375" hidden="1" customWidth="1"/>
    <col min="33" max="36" width="0" hidden="1" customWidth="1"/>
  </cols>
  <sheetData>
    <row r="2" spans="1:12" x14ac:dyDescent="0.2">
      <c r="I2" s="76" t="s">
        <v>386</v>
      </c>
      <c r="J2" s="76"/>
      <c r="K2" s="76"/>
    </row>
    <row r="4" spans="1:12" x14ac:dyDescent="0.2">
      <c r="A4" s="9" t="str">
        <f>Source!B1</f>
        <v>Smeta.RU  (495) 974-1589</v>
      </c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</row>
    <row r="6" spans="1:12" ht="16.5" x14ac:dyDescent="0.25">
      <c r="A6" s="12"/>
      <c r="B6" s="56" t="s">
        <v>347</v>
      </c>
      <c r="C6" s="56"/>
      <c r="D6" s="56"/>
      <c r="E6" s="56"/>
      <c r="F6" s="11"/>
      <c r="G6" s="11"/>
      <c r="H6" s="56" t="s">
        <v>348</v>
      </c>
      <c r="I6" s="56"/>
      <c r="J6" s="56"/>
      <c r="K6" s="56"/>
      <c r="L6" s="56"/>
    </row>
    <row r="7" spans="1:12" ht="14.25" x14ac:dyDescent="0.2">
      <c r="A7" s="11"/>
      <c r="B7" s="57"/>
      <c r="C7" s="57"/>
      <c r="D7" s="57"/>
      <c r="E7" s="57"/>
      <c r="F7" s="11"/>
      <c r="G7" s="11"/>
      <c r="H7" s="57"/>
      <c r="I7" s="57"/>
      <c r="J7" s="57"/>
      <c r="K7" s="57"/>
      <c r="L7" s="57"/>
    </row>
    <row r="8" spans="1:12" ht="14.25" x14ac:dyDescent="0.2">
      <c r="A8" s="13"/>
      <c r="B8" s="13"/>
      <c r="C8" s="14"/>
      <c r="D8" s="14"/>
      <c r="E8" s="14"/>
      <c r="F8" s="11"/>
      <c r="G8" s="11"/>
      <c r="H8" s="15"/>
      <c r="I8" s="14"/>
      <c r="J8" s="14"/>
      <c r="K8" s="14"/>
      <c r="L8" s="15"/>
    </row>
    <row r="9" spans="1:12" ht="14.25" x14ac:dyDescent="0.2">
      <c r="A9" s="15"/>
      <c r="B9" s="57" t="str">
        <f>CONCATENATE("______________________ ", IF(Source!AL12&lt;&gt;"", Source!AL12, ""))</f>
        <v xml:space="preserve">______________________ </v>
      </c>
      <c r="C9" s="57"/>
      <c r="D9" s="57"/>
      <c r="E9" s="57"/>
      <c r="F9" s="11"/>
      <c r="G9" s="11"/>
      <c r="H9" s="57" t="str">
        <f>CONCATENATE("______________________ ", IF(Source!AH12&lt;&gt;"", Source!AH12, ""))</f>
        <v xml:space="preserve">______________________ </v>
      </c>
      <c r="I9" s="57"/>
      <c r="J9" s="57"/>
      <c r="K9" s="57"/>
      <c r="L9" s="57"/>
    </row>
    <row r="10" spans="1:12" ht="14.25" x14ac:dyDescent="0.2">
      <c r="A10" s="16"/>
      <c r="B10" s="64" t="s">
        <v>349</v>
      </c>
      <c r="C10" s="64"/>
      <c r="D10" s="64"/>
      <c r="E10" s="64"/>
      <c r="F10" s="11"/>
      <c r="G10" s="11"/>
      <c r="H10" s="64" t="s">
        <v>349</v>
      </c>
      <c r="I10" s="64"/>
      <c r="J10" s="64"/>
      <c r="K10" s="64"/>
      <c r="L10" s="64"/>
    </row>
    <row r="13" spans="1:12" ht="15.75" x14ac:dyDescent="0.25">
      <c r="A13" s="16"/>
      <c r="B13" s="58" t="s">
        <v>4</v>
      </c>
      <c r="C13" s="58"/>
      <c r="D13" s="58"/>
      <c r="E13" s="58"/>
      <c r="F13" s="58"/>
      <c r="G13" s="58"/>
      <c r="H13" s="58"/>
      <c r="I13" s="58"/>
      <c r="J13" s="58"/>
      <c r="K13" s="58"/>
      <c r="L13" s="16"/>
    </row>
    <row r="14" spans="1:12" ht="14.25" x14ac:dyDescent="0.2">
      <c r="A14" s="17"/>
      <c r="B14" s="65" t="s">
        <v>350</v>
      </c>
      <c r="C14" s="65"/>
      <c r="D14" s="65"/>
      <c r="E14" s="65"/>
      <c r="F14" s="65"/>
      <c r="G14" s="65"/>
      <c r="H14" s="65"/>
      <c r="I14" s="65"/>
      <c r="J14" s="65"/>
      <c r="K14" s="65"/>
      <c r="L14" s="16"/>
    </row>
    <row r="15" spans="1:12" ht="14.25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4.25" x14ac:dyDescent="0.2">
      <c r="A16" s="11"/>
      <c r="B16" s="11"/>
      <c r="C16" s="11"/>
      <c r="D16" s="11"/>
      <c r="E16" s="11"/>
      <c r="F16" s="66" t="s">
        <v>351</v>
      </c>
      <c r="G16" s="66"/>
      <c r="H16" s="62" t="str">
        <f>IF(Source!F12&lt;&gt;"Новый объект", Source!F12, "")</f>
        <v/>
      </c>
      <c r="I16" s="62"/>
      <c r="J16" s="62"/>
      <c r="K16" s="62"/>
      <c r="L16" s="18"/>
    </row>
    <row r="17" spans="1:12" ht="14.25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5.75" x14ac:dyDescent="0.25">
      <c r="A18" s="19"/>
      <c r="B18" s="58" t="str">
        <f>CONCATENATE( "ЛОКАЛЬНАЯ СМЕТА № 2 ",IF(Source!F12&lt;&gt;"Новый объект", Source!F12, ""))</f>
        <v xml:space="preserve">ЛОКАЛЬНАЯ СМЕТА № 2 </v>
      </c>
      <c r="C18" s="58"/>
      <c r="D18" s="58"/>
      <c r="E18" s="58"/>
      <c r="F18" s="58"/>
      <c r="G18" s="58"/>
      <c r="H18" s="58"/>
      <c r="I18" s="58"/>
      <c r="J18" s="58"/>
      <c r="K18" s="58"/>
      <c r="L18" s="19"/>
    </row>
    <row r="19" spans="1:12" ht="15.75" x14ac:dyDescent="0.25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19"/>
    </row>
    <row r="20" spans="1:12" ht="18" hidden="1" x14ac:dyDescent="0.25">
      <c r="A20" s="1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19"/>
    </row>
    <row r="21" spans="1:12" ht="14.25" hidden="1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ht="18" x14ac:dyDescent="0.25">
      <c r="A22" s="11"/>
      <c r="B22" s="60" t="str">
        <f>IF(Source!G12&lt;&gt;"Новый объект", Source!G12, "")</f>
        <v>Ремонт кровли здания компрессорной Инв. № ОС00001042</v>
      </c>
      <c r="C22" s="60"/>
      <c r="D22" s="60"/>
      <c r="E22" s="60"/>
      <c r="F22" s="60"/>
      <c r="G22" s="60"/>
      <c r="H22" s="60"/>
      <c r="I22" s="60"/>
      <c r="J22" s="60"/>
      <c r="K22" s="60"/>
      <c r="L22" s="21"/>
    </row>
    <row r="23" spans="1:12" ht="14.25" x14ac:dyDescent="0.2">
      <c r="A23" s="11"/>
      <c r="B23" s="61" t="s">
        <v>352</v>
      </c>
      <c r="C23" s="61"/>
      <c r="D23" s="61"/>
      <c r="E23" s="61"/>
      <c r="F23" s="61"/>
      <c r="G23" s="61"/>
      <c r="H23" s="61"/>
      <c r="I23" s="61"/>
      <c r="J23" s="61"/>
      <c r="K23" s="61"/>
      <c r="L23" s="16"/>
    </row>
    <row r="24" spans="1:12" ht="14.2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14.25" x14ac:dyDescent="0.2">
      <c r="A25" s="62" t="str">
        <f>CONCATENATE("Основание: ", Source!J12)</f>
        <v>Основание: Ведомость объемов работ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</row>
    <row r="26" spans="1:12" ht="14.2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2" ht="14.2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14.25" x14ac:dyDescent="0.2">
      <c r="A28" s="11"/>
      <c r="B28" s="11"/>
      <c r="C28" s="11"/>
      <c r="D28" s="11"/>
      <c r="E28" s="22"/>
      <c r="F28" s="22"/>
      <c r="G28" s="63"/>
      <c r="H28" s="63"/>
      <c r="I28" s="63" t="s">
        <v>353</v>
      </c>
      <c r="J28" s="63"/>
      <c r="K28" s="11"/>
      <c r="L28" s="11"/>
    </row>
    <row r="29" spans="1:12" ht="15" x14ac:dyDescent="0.25">
      <c r="A29" s="11"/>
      <c r="B29" s="11"/>
      <c r="C29" s="67" t="s">
        <v>354</v>
      </c>
      <c r="D29" s="67"/>
      <c r="E29" s="67"/>
      <c r="F29" s="67"/>
      <c r="G29" s="68"/>
      <c r="H29" s="68"/>
      <c r="I29" s="68">
        <f>J192/1000</f>
        <v>2815.9626600000001</v>
      </c>
      <c r="J29" s="68"/>
      <c r="K29" s="69" t="s">
        <v>355</v>
      </c>
      <c r="L29" s="69"/>
    </row>
    <row r="30" spans="1:12" ht="14.25" hidden="1" x14ac:dyDescent="0.2">
      <c r="A30" s="11"/>
      <c r="B30" s="11"/>
      <c r="C30" s="70" t="s">
        <v>180</v>
      </c>
      <c r="D30" s="70"/>
      <c r="E30" s="70"/>
      <c r="F30" s="70"/>
      <c r="G30" s="68"/>
      <c r="H30" s="68"/>
      <c r="I30" s="68"/>
      <c r="J30" s="68"/>
      <c r="K30" s="23" t="s">
        <v>355</v>
      </c>
      <c r="L30" s="11"/>
    </row>
    <row r="31" spans="1:12" ht="15" x14ac:dyDescent="0.25">
      <c r="A31" s="11"/>
      <c r="B31" s="11"/>
      <c r="C31" s="24"/>
      <c r="D31" s="24"/>
      <c r="E31" s="24"/>
      <c r="F31" s="15"/>
      <c r="G31" s="25"/>
      <c r="H31" s="25"/>
      <c r="I31" s="25"/>
      <c r="J31" s="25"/>
      <c r="K31" s="25"/>
      <c r="L31" s="25"/>
    </row>
    <row r="32" spans="1:12" ht="15" hidden="1" x14ac:dyDescent="0.2">
      <c r="A32" s="15" t="s">
        <v>356</v>
      </c>
      <c r="B32" s="11"/>
      <c r="C32" s="11"/>
      <c r="D32" s="13"/>
      <c r="E32" s="11"/>
      <c r="F32" s="11"/>
      <c r="G32" s="26"/>
      <c r="H32" s="26"/>
      <c r="I32" s="27"/>
      <c r="J32" s="26"/>
      <c r="K32" s="26"/>
      <c r="L32" s="26"/>
    </row>
    <row r="33" spans="1:26" ht="15" hidden="1" x14ac:dyDescent="0.2">
      <c r="A33" s="15" t="s">
        <v>357</v>
      </c>
      <c r="B33" s="11"/>
      <c r="C33" s="11"/>
      <c r="D33" s="13"/>
      <c r="E33" s="11"/>
      <c r="F33" s="11"/>
      <c r="G33" s="26"/>
      <c r="H33" s="26"/>
      <c r="I33" s="27"/>
      <c r="J33" s="26"/>
      <c r="K33" s="26"/>
      <c r="L33" s="26"/>
    </row>
    <row r="34" spans="1:26" ht="15" hidden="1" x14ac:dyDescent="0.2">
      <c r="A34" s="11"/>
      <c r="B34" s="11"/>
      <c r="C34" s="10"/>
      <c r="D34" s="10"/>
      <c r="E34" s="10"/>
      <c r="F34" s="10"/>
      <c r="G34" s="26"/>
      <c r="H34" s="26"/>
      <c r="I34" s="27"/>
      <c r="J34" s="26"/>
      <c r="K34" s="26"/>
      <c r="L34" s="26"/>
    </row>
    <row r="35" spans="1:26" ht="14.25" x14ac:dyDescent="0.2">
      <c r="A35" s="74" t="s">
        <v>370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</row>
    <row r="36" spans="1:26" ht="57" x14ac:dyDescent="0.2">
      <c r="A36" s="28" t="s">
        <v>358</v>
      </c>
      <c r="B36" s="28" t="s">
        <v>359</v>
      </c>
      <c r="C36" s="28" t="s">
        <v>360</v>
      </c>
      <c r="D36" s="28" t="s">
        <v>361</v>
      </c>
      <c r="E36" s="28" t="s">
        <v>362</v>
      </c>
      <c r="F36" s="28" t="s">
        <v>363</v>
      </c>
      <c r="G36" s="28" t="s">
        <v>364</v>
      </c>
      <c r="H36" s="28" t="s">
        <v>365</v>
      </c>
      <c r="I36" s="28" t="s">
        <v>366</v>
      </c>
      <c r="J36" s="28" t="s">
        <v>367</v>
      </c>
      <c r="K36" s="28" t="s">
        <v>368</v>
      </c>
      <c r="L36" s="28" t="s">
        <v>369</v>
      </c>
    </row>
    <row r="37" spans="1:26" ht="14.25" x14ac:dyDescent="0.2">
      <c r="A37" s="29">
        <v>1</v>
      </c>
      <c r="B37" s="29">
        <v>2</v>
      </c>
      <c r="C37" s="29">
        <v>3</v>
      </c>
      <c r="D37" s="29">
        <v>4</v>
      </c>
      <c r="E37" s="29">
        <v>5</v>
      </c>
      <c r="F37" s="29">
        <v>6</v>
      </c>
      <c r="G37" s="29">
        <v>7</v>
      </c>
      <c r="H37" s="29">
        <v>8</v>
      </c>
      <c r="I37" s="29">
        <v>9</v>
      </c>
      <c r="J37" s="29">
        <v>10</v>
      </c>
      <c r="K37" s="29">
        <v>11</v>
      </c>
      <c r="L37" s="30">
        <v>12</v>
      </c>
    </row>
    <row r="38" spans="1:26" ht="42.75" x14ac:dyDescent="0.2">
      <c r="A38" s="52">
        <v>1</v>
      </c>
      <c r="B38" s="52" t="str">
        <f>Source!F24</f>
        <v>46-04-008-01</v>
      </c>
      <c r="C38" s="52" t="str">
        <f>Source!G24</f>
        <v>Разборка покрытий кровель: из рулонных материалов // с учетом примыканий</v>
      </c>
      <c r="D38" s="37" t="str">
        <f>Source!H24</f>
        <v>100 м2</v>
      </c>
      <c r="E38" s="10">
        <f>Source!I24</f>
        <v>1.0680000000000001</v>
      </c>
      <c r="F38" s="38">
        <f>Source!AL24+Source!AM24+Source!AO24</f>
        <v>153.59</v>
      </c>
      <c r="G38" s="39"/>
      <c r="H38" s="38"/>
      <c r="I38" s="39" t="str">
        <f>Source!BO24</f>
        <v/>
      </c>
      <c r="J38" s="39"/>
      <c r="K38" s="38"/>
      <c r="L38" s="40"/>
      <c r="S38">
        <f>ROUND((Source!FX24/100)*((ROUND(Source!AF24*Source!I24, 2)+ROUND(Source!AE24*Source!I24, 2))), 2)</f>
        <v>109.01</v>
      </c>
      <c r="T38">
        <f>Source!X24</f>
        <v>4072.47</v>
      </c>
      <c r="U38">
        <f>ROUND((Source!FY24/100)*((ROUND(Source!AF24*Source!I24, 2)+ROUND(Source!AE24*Source!I24, 2))), 2)</f>
        <v>62.29</v>
      </c>
      <c r="V38">
        <f>Source!Y24</f>
        <v>2327.12</v>
      </c>
    </row>
    <row r="39" spans="1:26" ht="14.25" x14ac:dyDescent="0.2">
      <c r="A39" s="52"/>
      <c r="B39" s="52"/>
      <c r="C39" s="52" t="s">
        <v>371</v>
      </c>
      <c r="D39" s="37"/>
      <c r="E39" s="10"/>
      <c r="F39" s="38">
        <f>Source!AO24</f>
        <v>112.16</v>
      </c>
      <c r="G39" s="39" t="str">
        <f>Source!DG24</f>
        <v/>
      </c>
      <c r="H39" s="38">
        <f>ROUND(Source!AF24*Source!I24, 2)</f>
        <v>119.79</v>
      </c>
      <c r="I39" s="39"/>
      <c r="J39" s="39">
        <f>IF(Source!BA24&lt;&gt; 0, Source!BA24, 1)</f>
        <v>37.36</v>
      </c>
      <c r="K39" s="38">
        <f>Source!S24</f>
        <v>4475.24</v>
      </c>
      <c r="L39" s="40"/>
      <c r="R39">
        <f>H39</f>
        <v>119.79</v>
      </c>
    </row>
    <row r="40" spans="1:26" ht="14.25" x14ac:dyDescent="0.2">
      <c r="A40" s="52"/>
      <c r="B40" s="52"/>
      <c r="C40" s="52" t="s">
        <v>162</v>
      </c>
      <c r="D40" s="37"/>
      <c r="E40" s="10"/>
      <c r="F40" s="38">
        <f>Source!AM24</f>
        <v>41.43</v>
      </c>
      <c r="G40" s="39" t="str">
        <f>Source!DE24</f>
        <v/>
      </c>
      <c r="H40" s="38">
        <f>ROUND((((Source!ET24)-(Source!EU24))+Source!AE24)*Source!I24, 2)</f>
        <v>44.25</v>
      </c>
      <c r="I40" s="39"/>
      <c r="J40" s="39">
        <f>IF(Source!BB24&lt;&gt; 0, Source!BB24, 1)</f>
        <v>13.04</v>
      </c>
      <c r="K40" s="38">
        <f>Source!Q24</f>
        <v>576.98</v>
      </c>
      <c r="L40" s="40"/>
    </row>
    <row r="41" spans="1:26" ht="14.25" x14ac:dyDescent="0.2">
      <c r="A41" s="52"/>
      <c r="B41" s="52"/>
      <c r="C41" s="52" t="s">
        <v>372</v>
      </c>
      <c r="D41" s="37" t="s">
        <v>373</v>
      </c>
      <c r="E41" s="10">
        <f>Source!BZ24</f>
        <v>91</v>
      </c>
      <c r="F41" s="54"/>
      <c r="G41" s="39"/>
      <c r="H41" s="38">
        <f>SUM(S38:S43)</f>
        <v>109.01</v>
      </c>
      <c r="I41" s="41"/>
      <c r="J41" s="36">
        <f>Source!AT24</f>
        <v>91</v>
      </c>
      <c r="K41" s="38">
        <f>SUM(T38:T43)</f>
        <v>4072.47</v>
      </c>
      <c r="L41" s="40"/>
    </row>
    <row r="42" spans="1:26" ht="14.25" x14ac:dyDescent="0.2">
      <c r="A42" s="52"/>
      <c r="B42" s="52"/>
      <c r="C42" s="52" t="s">
        <v>374</v>
      </c>
      <c r="D42" s="37" t="s">
        <v>373</v>
      </c>
      <c r="E42" s="10">
        <f>Source!CA24</f>
        <v>52</v>
      </c>
      <c r="F42" s="54"/>
      <c r="G42" s="39"/>
      <c r="H42" s="38">
        <f>SUM(U38:U43)</f>
        <v>62.29</v>
      </c>
      <c r="I42" s="41"/>
      <c r="J42" s="36">
        <f>Source!AU24</f>
        <v>52</v>
      </c>
      <c r="K42" s="38">
        <f>SUM(V38:V43)</f>
        <v>2327.12</v>
      </c>
      <c r="L42" s="40"/>
    </row>
    <row r="43" spans="1:26" ht="14.25" x14ac:dyDescent="0.2">
      <c r="A43" s="53"/>
      <c r="B43" s="53"/>
      <c r="C43" s="53" t="s">
        <v>375</v>
      </c>
      <c r="D43" s="42" t="s">
        <v>376</v>
      </c>
      <c r="E43" s="43">
        <f>Source!AQ24</f>
        <v>14.38</v>
      </c>
      <c r="F43" s="44"/>
      <c r="G43" s="45" t="str">
        <f>Source!DI24</f>
        <v/>
      </c>
      <c r="H43" s="44"/>
      <c r="I43" s="45"/>
      <c r="J43" s="45"/>
      <c r="K43" s="44"/>
      <c r="L43" s="46">
        <f>Source!U24</f>
        <v>15.357840000000001</v>
      </c>
    </row>
    <row r="44" spans="1:26" ht="15" x14ac:dyDescent="0.25">
      <c r="G44" s="71">
        <f>H39+H40+H41+H42</f>
        <v>335.34000000000003</v>
      </c>
      <c r="H44" s="71"/>
      <c r="J44" s="71">
        <f>K39+K40+K41+K42</f>
        <v>11451.809999999998</v>
      </c>
      <c r="K44" s="71"/>
      <c r="L44" s="47">
        <f>Source!U24</f>
        <v>15.357840000000001</v>
      </c>
      <c r="O44" s="31">
        <f>G44</f>
        <v>335.34000000000003</v>
      </c>
      <c r="P44" s="31">
        <f>J44</f>
        <v>11451.809999999998</v>
      </c>
      <c r="Q44" s="31">
        <f>L44</f>
        <v>15.357840000000001</v>
      </c>
      <c r="W44">
        <f>IF(Source!BI24&lt;=1,H39+H40+H41+H42, 0)</f>
        <v>335.34000000000003</v>
      </c>
      <c r="X44">
        <f>IF(Source!BI24=2,H39+H40+H41+H42, 0)</f>
        <v>0</v>
      </c>
      <c r="Y44">
        <f>IF(Source!BI24=3,H39+H40+H41+H42, 0)</f>
        <v>0</v>
      </c>
      <c r="Z44">
        <f>IF(Source!BI24=4,H39+H40+H41+H42, 0)</f>
        <v>0</v>
      </c>
    </row>
    <row r="45" spans="1:26" ht="42.75" x14ac:dyDescent="0.2">
      <c r="A45" s="52">
        <v>2</v>
      </c>
      <c r="B45" s="52" t="str">
        <f>Source!F25</f>
        <v>12-01-017-01</v>
      </c>
      <c r="C45" s="52" t="str">
        <f>Source!G25</f>
        <v>Демонтаж // Устройство выравнивающих стяжек: цементно-песчаных толщиной 15 мм</v>
      </c>
      <c r="D45" s="37" t="str">
        <f>Source!H25</f>
        <v>100 м2</v>
      </c>
      <c r="E45" s="10">
        <f>Source!I25</f>
        <v>0.96</v>
      </c>
      <c r="F45" s="38">
        <f>Source!AL25+Source!AM25+Source!AO25</f>
        <v>436.55</v>
      </c>
      <c r="G45" s="39"/>
      <c r="H45" s="38"/>
      <c r="I45" s="39" t="str">
        <f>Source!BO25</f>
        <v/>
      </c>
      <c r="J45" s="39"/>
      <c r="K45" s="38"/>
      <c r="L45" s="40"/>
      <c r="S45">
        <f>ROUND((Source!FX25/100)*((ROUND(Source!AF25*Source!I25, 2)+ROUND(Source!AE25*Source!I25, 2))), 2)</f>
        <v>194.05</v>
      </c>
      <c r="T45">
        <f>Source!X25</f>
        <v>7249.9</v>
      </c>
      <c r="U45">
        <f>ROUND((Source!FY25/100)*((ROUND(Source!AF25*Source!I25, 2)+ROUND(Source!AE25*Source!I25, 2))), 2)</f>
        <v>101.48</v>
      </c>
      <c r="V45">
        <f>Source!Y25</f>
        <v>3791.23</v>
      </c>
    </row>
    <row r="46" spans="1:26" x14ac:dyDescent="0.2">
      <c r="C46" s="32" t="str">
        <f>"Объем: "&amp;Source!I25&amp;"=96/"&amp;"100"</f>
        <v>Объем: 0,96=96/100</v>
      </c>
    </row>
    <row r="47" spans="1:26" ht="14.25" x14ac:dyDescent="0.2">
      <c r="A47" s="52"/>
      <c r="B47" s="52"/>
      <c r="C47" s="52" t="s">
        <v>371</v>
      </c>
      <c r="D47" s="37"/>
      <c r="E47" s="10"/>
      <c r="F47" s="38">
        <f>Source!AO25</f>
        <v>209.95</v>
      </c>
      <c r="G47" s="39" t="str">
        <f>Source!DG25</f>
        <v>)*0,8</v>
      </c>
      <c r="H47" s="38">
        <f>ROUND(Source!AF25*Source!I25, 2)</f>
        <v>161.24</v>
      </c>
      <c r="I47" s="39"/>
      <c r="J47" s="39">
        <f>IF(Source!BA25&lt;&gt; 0, Source!BA25, 1)</f>
        <v>37.36</v>
      </c>
      <c r="K47" s="38">
        <f>Source!S25</f>
        <v>6023.99</v>
      </c>
      <c r="L47" s="40"/>
      <c r="R47">
        <f>H47</f>
        <v>161.24</v>
      </c>
    </row>
    <row r="48" spans="1:26" ht="14.25" x14ac:dyDescent="0.2">
      <c r="A48" s="52"/>
      <c r="B48" s="52"/>
      <c r="C48" s="52" t="s">
        <v>162</v>
      </c>
      <c r="D48" s="37"/>
      <c r="E48" s="10"/>
      <c r="F48" s="38">
        <f>Source!AM25</f>
        <v>189.93</v>
      </c>
      <c r="G48" s="39" t="str">
        <f>Source!DE25</f>
        <v>)*0,8</v>
      </c>
      <c r="H48" s="38">
        <f>ROUND(((((Source!ET25*0.8))-((Source!EU25*0.8)))+Source!AE25)*Source!I25, 2)</f>
        <v>145.87</v>
      </c>
      <c r="I48" s="39"/>
      <c r="J48" s="39">
        <f>IF(Source!BB25&lt;&gt; 0, Source!BB25, 1)</f>
        <v>13.04</v>
      </c>
      <c r="K48" s="38">
        <f>Source!Q25</f>
        <v>1902.17</v>
      </c>
      <c r="L48" s="40"/>
    </row>
    <row r="49" spans="1:26" ht="14.25" x14ac:dyDescent="0.2">
      <c r="A49" s="52"/>
      <c r="B49" s="52"/>
      <c r="C49" s="52" t="s">
        <v>377</v>
      </c>
      <c r="D49" s="37"/>
      <c r="E49" s="10"/>
      <c r="F49" s="38">
        <f>Source!AN25</f>
        <v>21.86</v>
      </c>
      <c r="G49" s="39" t="str">
        <f>Source!DF25</f>
        <v>)*0,8</v>
      </c>
      <c r="H49" s="48">
        <f>ROUND(Source!AE25*Source!I25, 2)</f>
        <v>16.79</v>
      </c>
      <c r="I49" s="39"/>
      <c r="J49" s="39">
        <f>IF(Source!BS25&lt;&gt; 0, Source!BS25, 1)</f>
        <v>37.36</v>
      </c>
      <c r="K49" s="48">
        <f>Source!R25</f>
        <v>627.29</v>
      </c>
      <c r="L49" s="40"/>
      <c r="R49">
        <f>H49</f>
        <v>16.79</v>
      </c>
    </row>
    <row r="50" spans="1:26" ht="14.25" x14ac:dyDescent="0.2">
      <c r="A50" s="52"/>
      <c r="B50" s="52"/>
      <c r="C50" s="52" t="s">
        <v>372</v>
      </c>
      <c r="D50" s="37" t="s">
        <v>373</v>
      </c>
      <c r="E50" s="10">
        <f>Source!BZ25</f>
        <v>109</v>
      </c>
      <c r="F50" s="54"/>
      <c r="G50" s="39"/>
      <c r="H50" s="38">
        <f>SUM(S45:S52)</f>
        <v>194.05</v>
      </c>
      <c r="I50" s="41"/>
      <c r="J50" s="36">
        <f>Source!AT25</f>
        <v>109</v>
      </c>
      <c r="K50" s="38">
        <f>SUM(T45:T52)</f>
        <v>7249.9</v>
      </c>
      <c r="L50" s="40"/>
    </row>
    <row r="51" spans="1:26" ht="14.25" x14ac:dyDescent="0.2">
      <c r="A51" s="52"/>
      <c r="B51" s="52"/>
      <c r="C51" s="52" t="s">
        <v>374</v>
      </c>
      <c r="D51" s="37" t="s">
        <v>373</v>
      </c>
      <c r="E51" s="10">
        <f>Source!CA25</f>
        <v>57</v>
      </c>
      <c r="F51" s="54"/>
      <c r="G51" s="39"/>
      <c r="H51" s="38">
        <f>SUM(U45:U52)</f>
        <v>101.48</v>
      </c>
      <c r="I51" s="41"/>
      <c r="J51" s="36">
        <f>Source!AU25</f>
        <v>57</v>
      </c>
      <c r="K51" s="38">
        <f>SUM(V45:V52)</f>
        <v>3791.23</v>
      </c>
      <c r="L51" s="40"/>
    </row>
    <row r="52" spans="1:26" ht="14.25" x14ac:dyDescent="0.2">
      <c r="A52" s="53"/>
      <c r="B52" s="53"/>
      <c r="C52" s="53" t="s">
        <v>375</v>
      </c>
      <c r="D52" s="42" t="s">
        <v>376</v>
      </c>
      <c r="E52" s="43">
        <f>Source!AQ25</f>
        <v>24.3</v>
      </c>
      <c r="F52" s="44"/>
      <c r="G52" s="45" t="str">
        <f>Source!DI25</f>
        <v>)*0,8</v>
      </c>
      <c r="H52" s="44"/>
      <c r="I52" s="45"/>
      <c r="J52" s="45"/>
      <c r="K52" s="44"/>
      <c r="L52" s="46">
        <f>Source!U25</f>
        <v>18.662400000000002</v>
      </c>
    </row>
    <row r="53" spans="1:26" ht="15" x14ac:dyDescent="0.25">
      <c r="G53" s="71">
        <f>H47+H48+H50+H51</f>
        <v>602.64</v>
      </c>
      <c r="H53" s="71"/>
      <c r="J53" s="71">
        <f>K47+K48+K50+K51</f>
        <v>18967.29</v>
      </c>
      <c r="K53" s="71"/>
      <c r="L53" s="47">
        <f>Source!U25</f>
        <v>18.662400000000002</v>
      </c>
      <c r="O53" s="31">
        <f>G53</f>
        <v>602.64</v>
      </c>
      <c r="P53" s="31">
        <f>J53</f>
        <v>18967.29</v>
      </c>
      <c r="Q53" s="31">
        <f>L53</f>
        <v>18.662400000000002</v>
      </c>
      <c r="W53">
        <f>IF(Source!BI25&lt;=1,H47+H48+H50+H51, 0)</f>
        <v>602.64</v>
      </c>
      <c r="X53">
        <f>IF(Source!BI25=2,H47+H48+H50+H51, 0)</f>
        <v>0</v>
      </c>
      <c r="Y53">
        <f>IF(Source!BI25=3,H47+H48+H50+H51, 0)</f>
        <v>0</v>
      </c>
      <c r="Z53">
        <f>IF(Source!BI25=4,H47+H48+H50+H51, 0)</f>
        <v>0</v>
      </c>
    </row>
    <row r="54" spans="1:26" ht="71.25" x14ac:dyDescent="0.2">
      <c r="A54" s="52">
        <v>3</v>
      </c>
      <c r="B54" s="52" t="str">
        <f>Source!F26</f>
        <v>12-01-017-02</v>
      </c>
      <c r="C54" s="52" t="str">
        <f>Source!G26</f>
        <v>Демонтаж - до толщ. 50мм // Устройство выравнивающих стяжек: на каждый 1 мм изменения толщины добавлять или исключать к расценке 12-01-017-01</v>
      </c>
      <c r="D54" s="37" t="str">
        <f>Source!H26</f>
        <v>100 м2</v>
      </c>
      <c r="E54" s="10">
        <f>Source!I26</f>
        <v>0.96</v>
      </c>
      <c r="F54" s="38">
        <f>Source!AL26+Source!AM26+Source!AO26</f>
        <v>11.3</v>
      </c>
      <c r="G54" s="39"/>
      <c r="H54" s="38"/>
      <c r="I54" s="39" t="str">
        <f>Source!BO26</f>
        <v/>
      </c>
      <c r="J54" s="39"/>
      <c r="K54" s="38"/>
      <c r="L54" s="40"/>
      <c r="S54">
        <f>ROUND((Source!FX26/100)*((ROUND(Source!AF26*Source!I26, 2)+ROUND(Source!AE26*Source!I26, 2))), 2)</f>
        <v>263.10000000000002</v>
      </c>
      <c r="T54">
        <f>Source!X26</f>
        <v>9829.67</v>
      </c>
      <c r="U54">
        <f>ROUND((Source!FY26/100)*((ROUND(Source!AF26*Source!I26, 2)+ROUND(Source!AE26*Source!I26, 2))), 2)</f>
        <v>137.59</v>
      </c>
      <c r="V54">
        <f>Source!Y26</f>
        <v>5140.29</v>
      </c>
    </row>
    <row r="55" spans="1:26" x14ac:dyDescent="0.2">
      <c r="C55" s="32" t="str">
        <f>"Объем: "&amp;Source!I26&amp;"=96/"&amp;"100"</f>
        <v>Объем: 0,96=96/100</v>
      </c>
    </row>
    <row r="56" spans="1:26" ht="14.25" x14ac:dyDescent="0.2">
      <c r="A56" s="52"/>
      <c r="B56" s="52"/>
      <c r="C56" s="52" t="s">
        <v>371</v>
      </c>
      <c r="D56" s="37"/>
      <c r="E56" s="10"/>
      <c r="F56" s="38">
        <f>Source!AO26</f>
        <v>8.64</v>
      </c>
      <c r="G56" s="39" t="str">
        <f>Source!DG26</f>
        <v>)*0,8)*35</v>
      </c>
      <c r="H56" s="38">
        <f>ROUND(Source!AF26*Source!I26, 2)</f>
        <v>232.24</v>
      </c>
      <c r="I56" s="39"/>
      <c r="J56" s="39">
        <f>IF(Source!BA26&lt;&gt; 0, Source!BA26, 1)</f>
        <v>37.36</v>
      </c>
      <c r="K56" s="38">
        <f>Source!S26</f>
        <v>8676.61</v>
      </c>
      <c r="L56" s="40"/>
      <c r="R56">
        <f>H56</f>
        <v>232.24</v>
      </c>
    </row>
    <row r="57" spans="1:26" ht="14.25" x14ac:dyDescent="0.2">
      <c r="A57" s="52"/>
      <c r="B57" s="52"/>
      <c r="C57" s="52" t="s">
        <v>162</v>
      </c>
      <c r="D57" s="37"/>
      <c r="E57" s="10"/>
      <c r="F57" s="38">
        <f>Source!AM26</f>
        <v>2.66</v>
      </c>
      <c r="G57" s="39" t="str">
        <f>Source!DE26</f>
        <v>)*0,8)*35</v>
      </c>
      <c r="H57" s="38">
        <f>ROUND((((((Source!ET26*0.8)*35))-(((Source!EU26*0.8)*35)))+Source!AE26)*Source!I26, 2)</f>
        <v>71.5</v>
      </c>
      <c r="I57" s="39"/>
      <c r="J57" s="39">
        <f>IF(Source!BB26&lt;&gt; 0, Source!BB26, 1)</f>
        <v>13.04</v>
      </c>
      <c r="K57" s="38">
        <f>Source!Q26</f>
        <v>932.37</v>
      </c>
      <c r="L57" s="40"/>
    </row>
    <row r="58" spans="1:26" ht="14.25" x14ac:dyDescent="0.2">
      <c r="A58" s="52"/>
      <c r="B58" s="52"/>
      <c r="C58" s="52" t="s">
        <v>377</v>
      </c>
      <c r="D58" s="37"/>
      <c r="E58" s="10"/>
      <c r="F58" s="38">
        <f>Source!AN26</f>
        <v>0.34</v>
      </c>
      <c r="G58" s="39" t="str">
        <f>Source!DF26</f>
        <v>)*0,8)*35</v>
      </c>
      <c r="H58" s="48">
        <f>ROUND(Source!AE26*Source!I26, 2)</f>
        <v>9.14</v>
      </c>
      <c r="I58" s="39"/>
      <c r="J58" s="39">
        <f>IF(Source!BS26&lt;&gt; 0, Source!BS26, 1)</f>
        <v>37.36</v>
      </c>
      <c r="K58" s="48">
        <f>Source!R26</f>
        <v>341.44</v>
      </c>
      <c r="L58" s="40"/>
      <c r="R58">
        <f>H58</f>
        <v>9.14</v>
      </c>
    </row>
    <row r="59" spans="1:26" ht="14.25" x14ac:dyDescent="0.2">
      <c r="A59" s="52"/>
      <c r="B59" s="52"/>
      <c r="C59" s="52" t="s">
        <v>372</v>
      </c>
      <c r="D59" s="37" t="s">
        <v>373</v>
      </c>
      <c r="E59" s="10">
        <f>Source!BZ26</f>
        <v>109</v>
      </c>
      <c r="F59" s="54"/>
      <c r="G59" s="39"/>
      <c r="H59" s="38">
        <f>SUM(S54:S61)</f>
        <v>263.10000000000002</v>
      </c>
      <c r="I59" s="41"/>
      <c r="J59" s="36">
        <f>Source!AT26</f>
        <v>109</v>
      </c>
      <c r="K59" s="38">
        <f>SUM(T54:T61)</f>
        <v>9829.67</v>
      </c>
      <c r="L59" s="40"/>
    </row>
    <row r="60" spans="1:26" ht="14.25" x14ac:dyDescent="0.2">
      <c r="A60" s="52"/>
      <c r="B60" s="52"/>
      <c r="C60" s="52" t="s">
        <v>374</v>
      </c>
      <c r="D60" s="37" t="s">
        <v>373</v>
      </c>
      <c r="E60" s="10">
        <f>Source!CA26</f>
        <v>57</v>
      </c>
      <c r="F60" s="54"/>
      <c r="G60" s="39"/>
      <c r="H60" s="38">
        <f>SUM(U54:U61)</f>
        <v>137.59</v>
      </c>
      <c r="I60" s="41"/>
      <c r="J60" s="36">
        <f>Source!AU26</f>
        <v>57</v>
      </c>
      <c r="K60" s="38">
        <f>SUM(V54:V61)</f>
        <v>5140.29</v>
      </c>
      <c r="L60" s="40"/>
    </row>
    <row r="61" spans="1:26" ht="14.25" x14ac:dyDescent="0.2">
      <c r="A61" s="53"/>
      <c r="B61" s="53"/>
      <c r="C61" s="53" t="s">
        <v>375</v>
      </c>
      <c r="D61" s="42" t="s">
        <v>376</v>
      </c>
      <c r="E61" s="43">
        <f>Source!AQ26</f>
        <v>1</v>
      </c>
      <c r="F61" s="44"/>
      <c r="G61" s="45" t="str">
        <f>Source!DI26</f>
        <v>)*0,8)*35</v>
      </c>
      <c r="H61" s="44"/>
      <c r="I61" s="45"/>
      <c r="J61" s="45"/>
      <c r="K61" s="44"/>
      <c r="L61" s="46">
        <f>Source!U26</f>
        <v>26.88</v>
      </c>
    </row>
    <row r="62" spans="1:26" ht="15" x14ac:dyDescent="0.25">
      <c r="G62" s="71">
        <f>H56+H57+H59+H60</f>
        <v>704.43000000000006</v>
      </c>
      <c r="H62" s="71"/>
      <c r="J62" s="71">
        <f>K56+K57+K59+K60</f>
        <v>24578.940000000002</v>
      </c>
      <c r="K62" s="71"/>
      <c r="L62" s="47">
        <f>Source!U26</f>
        <v>26.88</v>
      </c>
      <c r="O62" s="31">
        <f>G62</f>
        <v>704.43000000000006</v>
      </c>
      <c r="P62" s="31">
        <f>J62</f>
        <v>24578.940000000002</v>
      </c>
      <c r="Q62" s="31">
        <f>L62</f>
        <v>26.88</v>
      </c>
      <c r="W62">
        <f>IF(Source!BI26&lt;=1,H56+H57+H59+H60, 0)</f>
        <v>704.43000000000006</v>
      </c>
      <c r="X62">
        <f>IF(Source!BI26=2,H56+H57+H59+H60, 0)</f>
        <v>0</v>
      </c>
      <c r="Y62">
        <f>IF(Source!BI26=3,H56+H57+H59+H60, 0)</f>
        <v>0</v>
      </c>
      <c r="Z62">
        <f>IF(Source!BI26=4,H56+H57+H59+H60, 0)</f>
        <v>0</v>
      </c>
    </row>
    <row r="63" spans="1:26" ht="41.25" x14ac:dyDescent="0.2">
      <c r="A63" s="53">
        <v>4</v>
      </c>
      <c r="B63" s="53" t="str">
        <f>Source!F27</f>
        <v>Договорная цена</v>
      </c>
      <c r="C63" s="53" t="s">
        <v>378</v>
      </c>
      <c r="D63" s="42" t="str">
        <f>Source!H27</f>
        <v>КОМПЛЕКТ</v>
      </c>
      <c r="E63" s="43">
        <f>Source!I27</f>
        <v>1</v>
      </c>
      <c r="F63" s="44">
        <f>Source!AL27</f>
        <v>551.54</v>
      </c>
      <c r="G63" s="45" t="str">
        <f>Source!DD27</f>
        <v/>
      </c>
      <c r="H63" s="44">
        <f>ROUND(Source!AC27*Source!I27, 2)</f>
        <v>551.54</v>
      </c>
      <c r="I63" s="45" t="str">
        <f>Source!BO27</f>
        <v/>
      </c>
      <c r="J63" s="45">
        <f>IF(Source!BC27&lt;&gt; 0, Source!BC27, 1)</f>
        <v>8.31</v>
      </c>
      <c r="K63" s="44">
        <f>Source!P27</f>
        <v>4583.3</v>
      </c>
      <c r="L63" s="49"/>
      <c r="S63">
        <f>ROUND((Source!FX27/100)*((ROUND(Source!AF27*Source!I27, 2)+ROUND(Source!AE27*Source!I27, 2))), 2)</f>
        <v>0</v>
      </c>
      <c r="T63">
        <f>Source!X27</f>
        <v>0</v>
      </c>
      <c r="U63">
        <f>ROUND((Source!FY27/100)*((ROUND(Source!AF27*Source!I27, 2)+ROUND(Source!AE27*Source!I27, 2))), 2)</f>
        <v>0</v>
      </c>
      <c r="V63">
        <f>Source!Y27</f>
        <v>0</v>
      </c>
    </row>
    <row r="64" spans="1:26" ht="15" x14ac:dyDescent="0.25">
      <c r="G64" s="71">
        <f>H63</f>
        <v>551.54</v>
      </c>
      <c r="H64" s="71"/>
      <c r="J64" s="71">
        <f>K63</f>
        <v>4583.3</v>
      </c>
      <c r="K64" s="71"/>
      <c r="L64" s="47">
        <f>Source!U27</f>
        <v>0</v>
      </c>
      <c r="O64" s="31">
        <f>G64</f>
        <v>551.54</v>
      </c>
      <c r="P64" s="31">
        <f>J64</f>
        <v>4583.3</v>
      </c>
      <c r="Q64" s="31">
        <f>L64</f>
        <v>0</v>
      </c>
      <c r="W64">
        <f>IF(Source!BI27&lt;=1,H63, 0)</f>
        <v>551.54</v>
      </c>
      <c r="X64">
        <f>IF(Source!BI27=2,H63, 0)</f>
        <v>0</v>
      </c>
      <c r="Y64">
        <f>IF(Source!BI27=3,H63, 0)</f>
        <v>0</v>
      </c>
      <c r="Z64">
        <f>IF(Source!BI27=4,H63, 0)</f>
        <v>0</v>
      </c>
    </row>
    <row r="65" spans="1:26" ht="28.5" x14ac:dyDescent="0.2">
      <c r="A65" s="52">
        <v>5</v>
      </c>
      <c r="B65" s="52" t="str">
        <f>Source!F28</f>
        <v>12-01-017-01</v>
      </c>
      <c r="C65" s="52" t="str">
        <f>Source!G28</f>
        <v>Устройство выравнивающих стяжек: цементно-песчаных толщиной 15 мм</v>
      </c>
      <c r="D65" s="37" t="str">
        <f>Source!H28</f>
        <v>100 м2</v>
      </c>
      <c r="E65" s="10">
        <f>Source!I28</f>
        <v>0.96</v>
      </c>
      <c r="F65" s="38">
        <f>Source!AL28+Source!AM28+Source!AO28</f>
        <v>436.55</v>
      </c>
      <c r="G65" s="39"/>
      <c r="H65" s="38"/>
      <c r="I65" s="39" t="str">
        <f>Source!BO28</f>
        <v/>
      </c>
      <c r="J65" s="39"/>
      <c r="K65" s="38"/>
      <c r="L65" s="40"/>
      <c r="S65">
        <f>ROUND((Source!FX28/100)*((ROUND(Source!AF28*Source!I28, 2)+ROUND(Source!AE28*Source!I28, 2))), 2)</f>
        <v>281.24</v>
      </c>
      <c r="T65">
        <f>Source!X28</f>
        <v>10507.16</v>
      </c>
      <c r="U65">
        <f>ROUND((Source!FY28/100)*((ROUND(Source!AF28*Source!I28, 2)+ROUND(Source!AE28*Source!I28, 2))), 2)</f>
        <v>125.01</v>
      </c>
      <c r="V65">
        <f>Source!Y28</f>
        <v>4670.3900000000003</v>
      </c>
    </row>
    <row r="66" spans="1:26" x14ac:dyDescent="0.2">
      <c r="C66" s="32" t="str">
        <f>"Объем: "&amp;Source!I28&amp;"=96/"&amp;"100"</f>
        <v>Объем: 0,96=96/100</v>
      </c>
    </row>
    <row r="67" spans="1:26" ht="14.25" x14ac:dyDescent="0.2">
      <c r="A67" s="52"/>
      <c r="B67" s="52"/>
      <c r="C67" s="52" t="s">
        <v>371</v>
      </c>
      <c r="D67" s="37"/>
      <c r="E67" s="10"/>
      <c r="F67" s="38">
        <f>Source!AO28</f>
        <v>209.95</v>
      </c>
      <c r="G67" s="39" t="str">
        <f>Source!DG28</f>
        <v>)*1,15</v>
      </c>
      <c r="H67" s="38">
        <f>ROUND(Source!AF28*Source!I28, 2)</f>
        <v>231.78</v>
      </c>
      <c r="I67" s="39"/>
      <c r="J67" s="39">
        <f>IF(Source!BA28&lt;&gt; 0, Source!BA28, 1)</f>
        <v>37.36</v>
      </c>
      <c r="K67" s="38">
        <f>Source!S28</f>
        <v>8659.39</v>
      </c>
      <c r="L67" s="40"/>
      <c r="R67">
        <f>H67</f>
        <v>231.78</v>
      </c>
    </row>
    <row r="68" spans="1:26" ht="14.25" x14ac:dyDescent="0.2">
      <c r="A68" s="52"/>
      <c r="B68" s="52"/>
      <c r="C68" s="52" t="s">
        <v>162</v>
      </c>
      <c r="D68" s="37"/>
      <c r="E68" s="10"/>
      <c r="F68" s="38">
        <f>Source!AM28</f>
        <v>189.93</v>
      </c>
      <c r="G68" s="39" t="str">
        <f>Source!DE28</f>
        <v>)*1,25</v>
      </c>
      <c r="H68" s="38">
        <f>ROUND(((((Source!ET28*1.25))-((Source!EU28*1.25)))+Source!AE28)*Source!I28, 2)</f>
        <v>227.92</v>
      </c>
      <c r="I68" s="39"/>
      <c r="J68" s="39">
        <f>IF(Source!BB28&lt;&gt; 0, Source!BB28, 1)</f>
        <v>13.04</v>
      </c>
      <c r="K68" s="38">
        <f>Source!Q28</f>
        <v>2972.2</v>
      </c>
      <c r="L68" s="40"/>
    </row>
    <row r="69" spans="1:26" ht="14.25" x14ac:dyDescent="0.2">
      <c r="A69" s="52"/>
      <c r="B69" s="52"/>
      <c r="C69" s="52" t="s">
        <v>377</v>
      </c>
      <c r="D69" s="37"/>
      <c r="E69" s="10"/>
      <c r="F69" s="38">
        <f>Source!AN28</f>
        <v>21.86</v>
      </c>
      <c r="G69" s="39" t="str">
        <f>Source!DF28</f>
        <v>)*1,25</v>
      </c>
      <c r="H69" s="48">
        <f>ROUND(Source!AE28*Source!I28, 2)</f>
        <v>26.24</v>
      </c>
      <c r="I69" s="39"/>
      <c r="J69" s="39">
        <f>IF(Source!BS28&lt;&gt; 0, Source!BS28, 1)</f>
        <v>37.36</v>
      </c>
      <c r="K69" s="48">
        <f>Source!R28</f>
        <v>980.21</v>
      </c>
      <c r="L69" s="40"/>
      <c r="R69">
        <f>H69</f>
        <v>26.24</v>
      </c>
    </row>
    <row r="70" spans="1:26" ht="14.25" x14ac:dyDescent="0.2">
      <c r="A70" s="52"/>
      <c r="B70" s="52"/>
      <c r="C70" s="52" t="s">
        <v>379</v>
      </c>
      <c r="D70" s="37"/>
      <c r="E70" s="10"/>
      <c r="F70" s="38">
        <f>Source!AL28</f>
        <v>36.67</v>
      </c>
      <c r="G70" s="39" t="str">
        <f>Source!DD28</f>
        <v/>
      </c>
      <c r="H70" s="38">
        <f>ROUND(Source!AC28*Source!I28, 2)</f>
        <v>35.200000000000003</v>
      </c>
      <c r="I70" s="39"/>
      <c r="J70" s="39">
        <f>IF(Source!BC28&lt;&gt; 0, Source!BC28, 1)</f>
        <v>8.31</v>
      </c>
      <c r="K70" s="38">
        <f>Source!P28</f>
        <v>292.54000000000002</v>
      </c>
      <c r="L70" s="40"/>
    </row>
    <row r="71" spans="1:26" ht="14.25" x14ac:dyDescent="0.2">
      <c r="A71" s="52"/>
      <c r="B71" s="52"/>
      <c r="C71" s="52" t="s">
        <v>372</v>
      </c>
      <c r="D71" s="37" t="s">
        <v>373</v>
      </c>
      <c r="E71" s="10">
        <f>Source!BZ28</f>
        <v>109</v>
      </c>
      <c r="F71" s="54"/>
      <c r="G71" s="39"/>
      <c r="H71" s="38">
        <f>SUM(S65:S73)</f>
        <v>281.24</v>
      </c>
      <c r="I71" s="41"/>
      <c r="J71" s="36">
        <f>Source!AT28</f>
        <v>109</v>
      </c>
      <c r="K71" s="38">
        <f>SUM(T65:T73)</f>
        <v>10507.16</v>
      </c>
      <c r="L71" s="40"/>
    </row>
    <row r="72" spans="1:26" ht="14.25" x14ac:dyDescent="0.2">
      <c r="A72" s="52"/>
      <c r="B72" s="52"/>
      <c r="C72" s="52" t="s">
        <v>374</v>
      </c>
      <c r="D72" s="37" t="s">
        <v>373</v>
      </c>
      <c r="E72" s="10">
        <f>Source!CA28</f>
        <v>57</v>
      </c>
      <c r="F72" s="57" t="str">
        <f>CONCATENATE(" )", Source!DM28, Source!FU28, "=", Source!FY28)</f>
        <v xml:space="preserve"> ))*0,85=48,45</v>
      </c>
      <c r="G72" s="66"/>
      <c r="H72" s="38">
        <f>SUM(U65:U73)</f>
        <v>125.01</v>
      </c>
      <c r="I72" s="41"/>
      <c r="J72" s="36">
        <f>Source!AU28</f>
        <v>48.45</v>
      </c>
      <c r="K72" s="38">
        <f>SUM(V65:V73)</f>
        <v>4670.3900000000003</v>
      </c>
      <c r="L72" s="40"/>
    </row>
    <row r="73" spans="1:26" ht="14.25" x14ac:dyDescent="0.2">
      <c r="A73" s="53"/>
      <c r="B73" s="53"/>
      <c r="C73" s="53" t="s">
        <v>375</v>
      </c>
      <c r="D73" s="42" t="s">
        <v>376</v>
      </c>
      <c r="E73" s="43">
        <f>Source!AQ28</f>
        <v>24.3</v>
      </c>
      <c r="F73" s="44"/>
      <c r="G73" s="45" t="str">
        <f>Source!DI28</f>
        <v>)*1,15</v>
      </c>
      <c r="H73" s="44"/>
      <c r="I73" s="45"/>
      <c r="J73" s="45"/>
      <c r="K73" s="44"/>
      <c r="L73" s="46">
        <f>Source!U28</f>
        <v>26.827199999999998</v>
      </c>
    </row>
    <row r="74" spans="1:26" ht="15" x14ac:dyDescent="0.25">
      <c r="G74" s="71">
        <f>H67+H68+H70+H71+H72</f>
        <v>901.15</v>
      </c>
      <c r="H74" s="71"/>
      <c r="J74" s="71">
        <f>K67+K68+K70+K71+K72</f>
        <v>27101.68</v>
      </c>
      <c r="K74" s="71"/>
      <c r="L74" s="47">
        <f>Source!U28</f>
        <v>26.827199999999998</v>
      </c>
      <c r="O74" s="31">
        <f>G74</f>
        <v>901.15</v>
      </c>
      <c r="P74" s="31">
        <f>J74</f>
        <v>27101.68</v>
      </c>
      <c r="Q74" s="31">
        <f>L74</f>
        <v>26.827199999999998</v>
      </c>
      <c r="W74">
        <f>IF(Source!BI28&lt;=1,H67+H68+H70+H71+H72, 0)</f>
        <v>901.15</v>
      </c>
      <c r="X74">
        <f>IF(Source!BI28=2,H67+H68+H70+H71+H72, 0)</f>
        <v>0</v>
      </c>
      <c r="Y74">
        <f>IF(Source!BI28=3,H67+H68+H70+H71+H72, 0)</f>
        <v>0</v>
      </c>
      <c r="Z74">
        <f>IF(Source!BI28=4,H67+H68+H70+H71+H72, 0)</f>
        <v>0</v>
      </c>
    </row>
    <row r="75" spans="1:26" ht="57" x14ac:dyDescent="0.2">
      <c r="A75" s="52">
        <v>6</v>
      </c>
      <c r="B75" s="52" t="str">
        <f>Source!F29</f>
        <v>12-01-017-02</v>
      </c>
      <c r="C75" s="52" t="str">
        <f>Source!G29</f>
        <v>Толщ. 50мм // Устройство выравнивающих стяжек: на каждый 1 мм изменения толщины добавлять или исключать к расценке 12-01-017-01</v>
      </c>
      <c r="D75" s="37" t="str">
        <f>Source!H29</f>
        <v>100 м2</v>
      </c>
      <c r="E75" s="10">
        <f>Source!I29</f>
        <v>0.96</v>
      </c>
      <c r="F75" s="38">
        <f>Source!AL29+Source!AM29+Source!AO29</f>
        <v>11.3</v>
      </c>
      <c r="G75" s="39"/>
      <c r="H75" s="38"/>
      <c r="I75" s="39" t="str">
        <f>Source!BO29</f>
        <v/>
      </c>
      <c r="J75" s="39"/>
      <c r="K75" s="38"/>
      <c r="L75" s="40"/>
      <c r="S75">
        <f>ROUND((Source!FX29/100)*((ROUND(Source!AF29*Source!I29, 2)+ROUND(Source!AE29*Source!I29, 2))), 2)</f>
        <v>379.46</v>
      </c>
      <c r="T75">
        <f>Source!X29</f>
        <v>14176.87</v>
      </c>
      <c r="U75">
        <f>ROUND((Source!FY29/100)*((ROUND(Source!AF29*Source!I29, 2)+ROUND(Source!AE29*Source!I29, 2))), 2)</f>
        <v>168.67</v>
      </c>
      <c r="V75">
        <f>Source!Y29</f>
        <v>6301.55</v>
      </c>
    </row>
    <row r="76" spans="1:26" x14ac:dyDescent="0.2">
      <c r="C76" s="32" t="str">
        <f>"Объем: "&amp;Source!I29&amp;"=96/"&amp;"100"</f>
        <v>Объем: 0,96=96/100</v>
      </c>
    </row>
    <row r="77" spans="1:26" ht="14.25" x14ac:dyDescent="0.2">
      <c r="A77" s="52"/>
      <c r="B77" s="52"/>
      <c r="C77" s="52" t="s">
        <v>371</v>
      </c>
      <c r="D77" s="37"/>
      <c r="E77" s="10"/>
      <c r="F77" s="38">
        <f>Source!AO29</f>
        <v>8.64</v>
      </c>
      <c r="G77" s="39" t="str">
        <f>Source!DG29</f>
        <v>)*1,15)*35</v>
      </c>
      <c r="H77" s="38">
        <f>ROUND(Source!AF29*Source!I29, 2)</f>
        <v>333.85</v>
      </c>
      <c r="I77" s="39"/>
      <c r="J77" s="39">
        <f>IF(Source!BA29&lt;&gt; 0, Source!BA29, 1)</f>
        <v>37.36</v>
      </c>
      <c r="K77" s="38">
        <f>Source!S29</f>
        <v>12472.62</v>
      </c>
      <c r="L77" s="40"/>
      <c r="R77">
        <f>H77</f>
        <v>333.85</v>
      </c>
    </row>
    <row r="78" spans="1:26" ht="14.25" x14ac:dyDescent="0.2">
      <c r="A78" s="52"/>
      <c r="B78" s="52"/>
      <c r="C78" s="52" t="s">
        <v>162</v>
      </c>
      <c r="D78" s="37"/>
      <c r="E78" s="10"/>
      <c r="F78" s="38">
        <f>Source!AM29</f>
        <v>2.66</v>
      </c>
      <c r="G78" s="39" t="str">
        <f>Source!DE29</f>
        <v>)*1,25)*35</v>
      </c>
      <c r="H78" s="38">
        <f>ROUND((((((Source!ET29*1.25)*35))-(((Source!EU29*1.25)*35)))+Source!AE29)*Source!I29, 2)</f>
        <v>111.72</v>
      </c>
      <c r="I78" s="39"/>
      <c r="J78" s="39">
        <f>IF(Source!BB29&lt;&gt; 0, Source!BB29, 1)</f>
        <v>13.04</v>
      </c>
      <c r="K78" s="38">
        <f>Source!Q29</f>
        <v>1457.01</v>
      </c>
      <c r="L78" s="40"/>
    </row>
    <row r="79" spans="1:26" ht="14.25" x14ac:dyDescent="0.2">
      <c r="A79" s="52"/>
      <c r="B79" s="52"/>
      <c r="C79" s="52" t="s">
        <v>377</v>
      </c>
      <c r="D79" s="37"/>
      <c r="E79" s="10"/>
      <c r="F79" s="38">
        <f>Source!AN29</f>
        <v>0.34</v>
      </c>
      <c r="G79" s="39" t="str">
        <f>Source!DF29</f>
        <v>)*1,25)*35</v>
      </c>
      <c r="H79" s="48">
        <f>ROUND(Source!AE29*Source!I29, 2)</f>
        <v>14.28</v>
      </c>
      <c r="I79" s="39"/>
      <c r="J79" s="39">
        <f>IF(Source!BS29&lt;&gt; 0, Source!BS29, 1)</f>
        <v>37.36</v>
      </c>
      <c r="K79" s="48">
        <f>Source!R29</f>
        <v>533.67999999999995</v>
      </c>
      <c r="L79" s="40"/>
      <c r="R79">
        <f>H79</f>
        <v>14.28</v>
      </c>
    </row>
    <row r="80" spans="1:26" ht="14.25" x14ac:dyDescent="0.2">
      <c r="A80" s="52"/>
      <c r="B80" s="52"/>
      <c r="C80" s="52" t="s">
        <v>372</v>
      </c>
      <c r="D80" s="37" t="s">
        <v>373</v>
      </c>
      <c r="E80" s="10">
        <f>Source!BZ29</f>
        <v>109</v>
      </c>
      <c r="F80" s="54"/>
      <c r="G80" s="39"/>
      <c r="H80" s="38">
        <f>SUM(S75:S82)</f>
        <v>379.46</v>
      </c>
      <c r="I80" s="41"/>
      <c r="J80" s="36">
        <f>Source!AT29</f>
        <v>109</v>
      </c>
      <c r="K80" s="38">
        <f>SUM(T75:T82)</f>
        <v>14176.87</v>
      </c>
      <c r="L80" s="40"/>
    </row>
    <row r="81" spans="1:26" ht="14.25" x14ac:dyDescent="0.2">
      <c r="A81" s="52"/>
      <c r="B81" s="52"/>
      <c r="C81" s="52" t="s">
        <v>374</v>
      </c>
      <c r="D81" s="37" t="s">
        <v>373</v>
      </c>
      <c r="E81" s="10">
        <f>Source!CA29</f>
        <v>57</v>
      </c>
      <c r="F81" s="57" t="str">
        <f>CONCATENATE(" )", Source!DM29, Source!FU29, "=", Source!FY29)</f>
        <v xml:space="preserve"> ))*0,85=48,45</v>
      </c>
      <c r="G81" s="66"/>
      <c r="H81" s="38">
        <f>SUM(U75:U82)</f>
        <v>168.67</v>
      </c>
      <c r="I81" s="41"/>
      <c r="J81" s="36">
        <f>Source!AU29</f>
        <v>48.45</v>
      </c>
      <c r="K81" s="38">
        <f>SUM(V75:V82)</f>
        <v>6301.55</v>
      </c>
      <c r="L81" s="40"/>
    </row>
    <row r="82" spans="1:26" ht="14.25" x14ac:dyDescent="0.2">
      <c r="A82" s="53"/>
      <c r="B82" s="53"/>
      <c r="C82" s="53" t="s">
        <v>375</v>
      </c>
      <c r="D82" s="42" t="s">
        <v>376</v>
      </c>
      <c r="E82" s="43">
        <f>Source!AQ29</f>
        <v>1</v>
      </c>
      <c r="F82" s="44"/>
      <c r="G82" s="45" t="str">
        <f>Source!DI29</f>
        <v>)*1,15)*35</v>
      </c>
      <c r="H82" s="44"/>
      <c r="I82" s="45"/>
      <c r="J82" s="45"/>
      <c r="K82" s="44"/>
      <c r="L82" s="46">
        <f>Source!U29</f>
        <v>38.64</v>
      </c>
    </row>
    <row r="83" spans="1:26" ht="15" x14ac:dyDescent="0.25">
      <c r="G83" s="71">
        <f>H77+H78+H80+H81</f>
        <v>993.69999999999993</v>
      </c>
      <c r="H83" s="71"/>
      <c r="J83" s="71">
        <f>K77+K78+K80+K81</f>
        <v>34408.050000000003</v>
      </c>
      <c r="K83" s="71"/>
      <c r="L83" s="47">
        <f>Source!U29</f>
        <v>38.64</v>
      </c>
      <c r="O83" s="31">
        <f>G83</f>
        <v>993.69999999999993</v>
      </c>
      <c r="P83" s="31">
        <f>J83</f>
        <v>34408.050000000003</v>
      </c>
      <c r="Q83" s="31">
        <f>L83</f>
        <v>38.64</v>
      </c>
      <c r="W83">
        <f>IF(Source!BI29&lt;=1,H77+H78+H80+H81, 0)</f>
        <v>993.69999999999993</v>
      </c>
      <c r="X83">
        <f>IF(Source!BI29=2,H77+H78+H80+H81, 0)</f>
        <v>0</v>
      </c>
      <c r="Y83">
        <f>IF(Source!BI29=3,H77+H78+H80+H81, 0)</f>
        <v>0</v>
      </c>
      <c r="Z83">
        <f>IF(Source!BI29=4,H77+H78+H80+H81, 0)</f>
        <v>0</v>
      </c>
    </row>
    <row r="84" spans="1:26" ht="54" x14ac:dyDescent="0.2">
      <c r="A84" s="53">
        <v>7</v>
      </c>
      <c r="B84" s="53" t="str">
        <f>Source!F30</f>
        <v>Цена Поставщика</v>
      </c>
      <c r="C84" s="53" t="s">
        <v>380</v>
      </c>
      <c r="D84" s="42" t="str">
        <f>Source!H30</f>
        <v>м3</v>
      </c>
      <c r="E84" s="43">
        <f>Source!I30</f>
        <v>4.8959999999999999</v>
      </c>
      <c r="F84" s="44">
        <f>Source!AL30</f>
        <v>510.15</v>
      </c>
      <c r="G84" s="45" t="str">
        <f>Source!DD30</f>
        <v/>
      </c>
      <c r="H84" s="44">
        <f>ROUND(Source!AC30*Source!I30, 2)</f>
        <v>2497.69</v>
      </c>
      <c r="I84" s="45" t="str">
        <f>Source!BO30</f>
        <v/>
      </c>
      <c r="J84" s="45">
        <f>IF(Source!BC30&lt;&gt; 0, Source!BC30, 1)</f>
        <v>8.31</v>
      </c>
      <c r="K84" s="44">
        <f>Source!P30</f>
        <v>20755.84</v>
      </c>
      <c r="L84" s="49"/>
      <c r="S84">
        <f>ROUND((Source!FX30/100)*((ROUND(Source!AF30*Source!I30, 2)+ROUND(Source!AE30*Source!I30, 2))), 2)</f>
        <v>0</v>
      </c>
      <c r="T84">
        <f>Source!X30</f>
        <v>0</v>
      </c>
      <c r="U84">
        <f>ROUND((Source!FY30/100)*((ROUND(Source!AF30*Source!I30, 2)+ROUND(Source!AE30*Source!I30, 2))), 2)</f>
        <v>0</v>
      </c>
      <c r="V84">
        <f>Source!Y30</f>
        <v>0</v>
      </c>
    </row>
    <row r="85" spans="1:26" ht="15" x14ac:dyDescent="0.25">
      <c r="G85" s="71">
        <f>H84</f>
        <v>2497.69</v>
      </c>
      <c r="H85" s="71"/>
      <c r="J85" s="71">
        <f>K84</f>
        <v>20755.84</v>
      </c>
      <c r="K85" s="71"/>
      <c r="L85" s="47">
        <f>Source!U30</f>
        <v>0</v>
      </c>
      <c r="O85" s="31">
        <f>G85</f>
        <v>2497.69</v>
      </c>
      <c r="P85" s="31">
        <f>J85</f>
        <v>20755.84</v>
      </c>
      <c r="Q85" s="31">
        <f>L85</f>
        <v>0</v>
      </c>
      <c r="W85">
        <f>IF(Source!BI30&lt;=1,H84, 0)</f>
        <v>2497.69</v>
      </c>
      <c r="X85">
        <f>IF(Source!BI30=2,H84, 0)</f>
        <v>0</v>
      </c>
      <c r="Y85">
        <f>IF(Source!BI30=3,H84, 0)</f>
        <v>0</v>
      </c>
      <c r="Z85">
        <f>IF(Source!BI30=4,H84, 0)</f>
        <v>0</v>
      </c>
    </row>
    <row r="86" spans="1:26" ht="71.25" x14ac:dyDescent="0.2">
      <c r="A86" s="52">
        <v>8</v>
      </c>
      <c r="B86" s="52" t="str">
        <f>Source!F31</f>
        <v>58-28-1</v>
      </c>
      <c r="C86" s="52" t="str">
        <f>Source!G31</f>
        <v>Подготовка и проварка основания рулонной кровли с применением инфракрасного нагревателя для последующего устройства рулонной кровли</v>
      </c>
      <c r="D86" s="37" t="str">
        <f>Source!H31</f>
        <v>м2</v>
      </c>
      <c r="E86" s="10">
        <f>Source!I31</f>
        <v>864</v>
      </c>
      <c r="F86" s="38">
        <f>Source!AL31+Source!AM31+Source!AO31</f>
        <v>26.5</v>
      </c>
      <c r="G86" s="39"/>
      <c r="H86" s="38"/>
      <c r="I86" s="39" t="str">
        <f>Source!BO31</f>
        <v/>
      </c>
      <c r="J86" s="39"/>
      <c r="K86" s="38"/>
      <c r="L86" s="40"/>
      <c r="S86">
        <f>ROUND((Source!FX31/100)*((ROUND(Source!AF31*Source!I31, 2)+ROUND(Source!AE31*Source!I31, 2))), 2)</f>
        <v>8576.93</v>
      </c>
      <c r="T86">
        <f>Source!X31</f>
        <v>320434.03000000003</v>
      </c>
      <c r="U86">
        <f>ROUND((Source!FY31/100)*((ROUND(Source!AF31*Source!I31, 2)+ROUND(Source!AE31*Source!I31, 2))), 2)</f>
        <v>4383.76</v>
      </c>
      <c r="V86">
        <f>Source!Y31</f>
        <v>163777.39000000001</v>
      </c>
    </row>
    <row r="87" spans="1:26" x14ac:dyDescent="0.2">
      <c r="C87" s="32" t="str">
        <f>"Объем: "&amp;Source!I31&amp;"=960-"&amp;"96"</f>
        <v>Объем: 864=960-96</v>
      </c>
    </row>
    <row r="88" spans="1:26" ht="14.25" x14ac:dyDescent="0.2">
      <c r="A88" s="52"/>
      <c r="B88" s="52"/>
      <c r="C88" s="52" t="s">
        <v>371</v>
      </c>
      <c r="D88" s="37"/>
      <c r="E88" s="10"/>
      <c r="F88" s="38">
        <f>Source!AO31</f>
        <v>11.03</v>
      </c>
      <c r="G88" s="39" t="str">
        <f>Source!DG31</f>
        <v/>
      </c>
      <c r="H88" s="38">
        <f>ROUND(Source!AF31*Source!I31, 2)</f>
        <v>9529.92</v>
      </c>
      <c r="I88" s="39"/>
      <c r="J88" s="39">
        <f>IF(Source!BA31&lt;&gt; 0, Source!BA31, 1)</f>
        <v>37.36</v>
      </c>
      <c r="K88" s="38">
        <f>Source!S31</f>
        <v>356037.81</v>
      </c>
      <c r="L88" s="40"/>
      <c r="R88">
        <f>H88</f>
        <v>9529.92</v>
      </c>
    </row>
    <row r="89" spans="1:26" ht="14.25" x14ac:dyDescent="0.2">
      <c r="A89" s="52"/>
      <c r="B89" s="52"/>
      <c r="C89" s="52" t="s">
        <v>162</v>
      </c>
      <c r="D89" s="37"/>
      <c r="E89" s="10"/>
      <c r="F89" s="38">
        <f>Source!AM31</f>
        <v>1.64</v>
      </c>
      <c r="G89" s="39" t="str">
        <f>Source!DE31</f>
        <v/>
      </c>
      <c r="H89" s="38">
        <f>ROUND((((Source!ET31)-(Source!EU31))+Source!AE31)*Source!I31, 2)</f>
        <v>1416.96</v>
      </c>
      <c r="I89" s="39"/>
      <c r="J89" s="39">
        <f>IF(Source!BB31&lt;&gt; 0, Source!BB31, 1)</f>
        <v>13.04</v>
      </c>
      <c r="K89" s="38">
        <f>Source!Q31</f>
        <v>18477.16</v>
      </c>
      <c r="L89" s="40"/>
    </row>
    <row r="90" spans="1:26" ht="14.25" x14ac:dyDescent="0.2">
      <c r="A90" s="52"/>
      <c r="B90" s="52"/>
      <c r="C90" s="52" t="s">
        <v>379</v>
      </c>
      <c r="D90" s="37"/>
      <c r="E90" s="10"/>
      <c r="F90" s="38">
        <f>Source!AL31</f>
        <v>13.83</v>
      </c>
      <c r="G90" s="39" t="str">
        <f>Source!DD31</f>
        <v/>
      </c>
      <c r="H90" s="38">
        <f>ROUND(Source!AC31*Source!I31, 2)</f>
        <v>11949.12</v>
      </c>
      <c r="I90" s="39"/>
      <c r="J90" s="39">
        <f>IF(Source!BC31&lt;&gt; 0, Source!BC31, 1)</f>
        <v>8.31</v>
      </c>
      <c r="K90" s="38">
        <f>Source!P31</f>
        <v>99297.19</v>
      </c>
      <c r="L90" s="40"/>
    </row>
    <row r="91" spans="1:26" ht="14.25" x14ac:dyDescent="0.2">
      <c r="A91" s="52"/>
      <c r="B91" s="52"/>
      <c r="C91" s="52" t="s">
        <v>372</v>
      </c>
      <c r="D91" s="37" t="s">
        <v>373</v>
      </c>
      <c r="E91" s="10">
        <f>Source!BZ31</f>
        <v>90</v>
      </c>
      <c r="F91" s="54"/>
      <c r="G91" s="39"/>
      <c r="H91" s="38">
        <f>SUM(S86:S93)</f>
        <v>8576.93</v>
      </c>
      <c r="I91" s="41"/>
      <c r="J91" s="36">
        <f>Source!AT31</f>
        <v>90</v>
      </c>
      <c r="K91" s="38">
        <f>SUM(T86:T93)</f>
        <v>320434.03000000003</v>
      </c>
      <c r="L91" s="40"/>
    </row>
    <row r="92" spans="1:26" ht="14.25" x14ac:dyDescent="0.2">
      <c r="A92" s="52"/>
      <c r="B92" s="52"/>
      <c r="C92" s="52" t="s">
        <v>374</v>
      </c>
      <c r="D92" s="37" t="s">
        <v>373</v>
      </c>
      <c r="E92" s="10">
        <f>Source!CA31</f>
        <v>46</v>
      </c>
      <c r="F92" s="54"/>
      <c r="G92" s="39"/>
      <c r="H92" s="38">
        <f>SUM(U86:U93)</f>
        <v>4383.76</v>
      </c>
      <c r="I92" s="41"/>
      <c r="J92" s="36">
        <f>Source!AU31</f>
        <v>46</v>
      </c>
      <c r="K92" s="38">
        <f>SUM(V86:V93)</f>
        <v>163777.39000000001</v>
      </c>
      <c r="L92" s="40"/>
    </row>
    <row r="93" spans="1:26" ht="14.25" x14ac:dyDescent="0.2">
      <c r="A93" s="53"/>
      <c r="B93" s="53"/>
      <c r="C93" s="53" t="s">
        <v>375</v>
      </c>
      <c r="D93" s="42" t="s">
        <v>376</v>
      </c>
      <c r="E93" s="43">
        <f>Source!AQ31</f>
        <v>1.08</v>
      </c>
      <c r="F93" s="44"/>
      <c r="G93" s="45" t="str">
        <f>Source!DI31</f>
        <v/>
      </c>
      <c r="H93" s="44"/>
      <c r="I93" s="45"/>
      <c r="J93" s="45"/>
      <c r="K93" s="44"/>
      <c r="L93" s="46">
        <f>Source!U31</f>
        <v>933.12000000000012</v>
      </c>
    </row>
    <row r="94" spans="1:26" ht="15" x14ac:dyDescent="0.25">
      <c r="G94" s="71">
        <f>H88+H89+H90+H91+H92</f>
        <v>35856.69</v>
      </c>
      <c r="H94" s="71"/>
      <c r="J94" s="71">
        <f>K88+K89+K90+K91+K92</f>
        <v>958023.58</v>
      </c>
      <c r="K94" s="71"/>
      <c r="L94" s="47">
        <f>Source!U31</f>
        <v>933.12000000000012</v>
      </c>
      <c r="O94" s="31">
        <f>G94</f>
        <v>35856.69</v>
      </c>
      <c r="P94" s="31">
        <f>J94</f>
        <v>958023.58</v>
      </c>
      <c r="Q94" s="31">
        <f>L94</f>
        <v>933.12000000000012</v>
      </c>
      <c r="W94">
        <f>IF(Source!BI31&lt;=1,H88+H89+H90+H91+H92, 0)</f>
        <v>35856.69</v>
      </c>
      <c r="X94">
        <f>IF(Source!BI31=2,H88+H89+H90+H91+H92, 0)</f>
        <v>0</v>
      </c>
      <c r="Y94">
        <f>IF(Source!BI31=3,H88+H89+H90+H91+H92, 0)</f>
        <v>0</v>
      </c>
      <c r="Z94">
        <f>IF(Source!BI31=4,H88+H89+H90+H91+H92, 0)</f>
        <v>0</v>
      </c>
    </row>
    <row r="95" spans="1:26" ht="57" x14ac:dyDescent="0.2">
      <c r="A95" s="52">
        <v>9</v>
      </c>
      <c r="B95" s="52" t="str">
        <f>Source!F32</f>
        <v>12-01-016-02</v>
      </c>
      <c r="C95" s="52" t="str">
        <f>Source!G32</f>
        <v>Огрунтовка оснований из бетона или раствора под водоизоляционный кровельный ковер: готовой эмульсией битумной</v>
      </c>
      <c r="D95" s="37" t="str">
        <f>Source!H32</f>
        <v>100 м2</v>
      </c>
      <c r="E95" s="10">
        <f>Source!I32</f>
        <v>9.6</v>
      </c>
      <c r="F95" s="38">
        <f>Source!AL32+Source!AM32+Source!AO32</f>
        <v>117.1</v>
      </c>
      <c r="G95" s="39"/>
      <c r="H95" s="38"/>
      <c r="I95" s="39" t="str">
        <f>Source!BO32</f>
        <v/>
      </c>
      <c r="J95" s="39"/>
      <c r="K95" s="38"/>
      <c r="L95" s="40"/>
      <c r="S95">
        <f>ROUND((Source!FX32/100)*((ROUND(Source!AF32*Source!I32, 2)+ROUND(Source!AE32*Source!I32, 2))), 2)</f>
        <v>300.52</v>
      </c>
      <c r="T95">
        <f>Source!X32</f>
        <v>11227.65</v>
      </c>
      <c r="U95">
        <f>ROUND((Source!FY32/100)*((ROUND(Source!AF32*Source!I32, 2)+ROUND(Source!AE32*Source!I32, 2))), 2)</f>
        <v>133.58000000000001</v>
      </c>
      <c r="V95">
        <f>Source!Y32</f>
        <v>4990.6400000000003</v>
      </c>
    </row>
    <row r="96" spans="1:26" x14ac:dyDescent="0.2">
      <c r="C96" s="32" t="str">
        <f>"Объем: "&amp;Source!I32&amp;"=960/"&amp;"100"</f>
        <v>Объем: 9,6=960/100</v>
      </c>
    </row>
    <row r="97" spans="1:26" ht="14.25" x14ac:dyDescent="0.2">
      <c r="A97" s="52"/>
      <c r="B97" s="52"/>
      <c r="C97" s="52" t="s">
        <v>371</v>
      </c>
      <c r="D97" s="37"/>
      <c r="E97" s="10"/>
      <c r="F97" s="38">
        <f>Source!AO32</f>
        <v>24.47</v>
      </c>
      <c r="G97" s="39" t="str">
        <f>Source!DG32</f>
        <v>)*1,15</v>
      </c>
      <c r="H97" s="38">
        <f>ROUND(Source!AF32*Source!I32, 2)</f>
        <v>270.14</v>
      </c>
      <c r="I97" s="39"/>
      <c r="J97" s="39">
        <f>IF(Source!BA32&lt;&gt; 0, Source!BA32, 1)</f>
        <v>37.36</v>
      </c>
      <c r="K97" s="38">
        <f>Source!S32</f>
        <v>10092.58</v>
      </c>
      <c r="L97" s="40"/>
      <c r="R97">
        <f>H97</f>
        <v>270.14</v>
      </c>
    </row>
    <row r="98" spans="1:26" ht="14.25" x14ac:dyDescent="0.2">
      <c r="A98" s="52"/>
      <c r="B98" s="52"/>
      <c r="C98" s="52" t="s">
        <v>162</v>
      </c>
      <c r="D98" s="37"/>
      <c r="E98" s="10"/>
      <c r="F98" s="38">
        <f>Source!AM32</f>
        <v>2.63</v>
      </c>
      <c r="G98" s="39" t="str">
        <f>Source!DE32</f>
        <v>)*1,25</v>
      </c>
      <c r="H98" s="38">
        <f>ROUND(((((Source!ET32*1.25))-((Source!EU32*1.25)))+Source!AE32)*Source!I32, 2)</f>
        <v>31.61</v>
      </c>
      <c r="I98" s="39"/>
      <c r="J98" s="39">
        <f>IF(Source!BB32&lt;&gt; 0, Source!BB32, 1)</f>
        <v>13.04</v>
      </c>
      <c r="K98" s="38">
        <f>Source!Q32</f>
        <v>413.34</v>
      </c>
      <c r="L98" s="40"/>
    </row>
    <row r="99" spans="1:26" ht="14.25" x14ac:dyDescent="0.2">
      <c r="A99" s="52"/>
      <c r="B99" s="52"/>
      <c r="C99" s="52" t="s">
        <v>377</v>
      </c>
      <c r="D99" s="37"/>
      <c r="E99" s="10"/>
      <c r="F99" s="38">
        <f>Source!AN32</f>
        <v>0.46</v>
      </c>
      <c r="G99" s="39" t="str">
        <f>Source!DF32</f>
        <v>)*1,25</v>
      </c>
      <c r="H99" s="48">
        <f>ROUND(Source!AE32*Source!I32, 2)</f>
        <v>5.57</v>
      </c>
      <c r="I99" s="39"/>
      <c r="J99" s="39">
        <f>IF(Source!BS32&lt;&gt; 0, Source!BS32, 1)</f>
        <v>37.36</v>
      </c>
      <c r="K99" s="48">
        <f>Source!R32</f>
        <v>208.02</v>
      </c>
      <c r="L99" s="40"/>
      <c r="R99">
        <f>H99</f>
        <v>5.57</v>
      </c>
    </row>
    <row r="100" spans="1:26" ht="14.25" x14ac:dyDescent="0.2">
      <c r="A100" s="52"/>
      <c r="B100" s="52"/>
      <c r="C100" s="52" t="s">
        <v>379</v>
      </c>
      <c r="D100" s="37"/>
      <c r="E100" s="10"/>
      <c r="F100" s="38">
        <f>Source!AL32</f>
        <v>90</v>
      </c>
      <c r="G100" s="39" t="str">
        <f>Source!DD32</f>
        <v/>
      </c>
      <c r="H100" s="38">
        <f>ROUND(Source!AC32*Source!I32, 2)</f>
        <v>864</v>
      </c>
      <c r="I100" s="39"/>
      <c r="J100" s="39">
        <f>IF(Source!BC32&lt;&gt; 0, Source!BC32, 1)</f>
        <v>8.31</v>
      </c>
      <c r="K100" s="38">
        <f>Source!P32</f>
        <v>7179.84</v>
      </c>
      <c r="L100" s="40"/>
    </row>
    <row r="101" spans="1:26" ht="14.25" x14ac:dyDescent="0.2">
      <c r="A101" s="52"/>
      <c r="B101" s="52"/>
      <c r="C101" s="52" t="s">
        <v>372</v>
      </c>
      <c r="D101" s="37" t="s">
        <v>373</v>
      </c>
      <c r="E101" s="10">
        <f>Source!BZ32</f>
        <v>109</v>
      </c>
      <c r="F101" s="54"/>
      <c r="G101" s="39"/>
      <c r="H101" s="38">
        <f>SUM(S95:S104)</f>
        <v>300.52</v>
      </c>
      <c r="I101" s="41"/>
      <c r="J101" s="36">
        <f>Source!AT32</f>
        <v>109</v>
      </c>
      <c r="K101" s="38">
        <f>SUM(T95:T104)</f>
        <v>11227.65</v>
      </c>
      <c r="L101" s="40"/>
    </row>
    <row r="102" spans="1:26" ht="14.25" x14ac:dyDescent="0.2">
      <c r="A102" s="52"/>
      <c r="B102" s="52"/>
      <c r="C102" s="52" t="s">
        <v>374</v>
      </c>
      <c r="D102" s="37" t="s">
        <v>373</v>
      </c>
      <c r="E102" s="10">
        <f>Source!CA32</f>
        <v>57</v>
      </c>
      <c r="F102" s="57" t="str">
        <f>CONCATENATE(" )", Source!DM32, Source!FU32, "=", Source!FY32)</f>
        <v xml:space="preserve"> ))*0,85=48,45</v>
      </c>
      <c r="G102" s="66"/>
      <c r="H102" s="38">
        <f>SUM(U95:U104)</f>
        <v>133.58000000000001</v>
      </c>
      <c r="I102" s="41"/>
      <c r="J102" s="36">
        <f>Source!AU32</f>
        <v>48.45</v>
      </c>
      <c r="K102" s="38">
        <f>SUM(V95:V104)</f>
        <v>4990.6400000000003</v>
      </c>
      <c r="L102" s="40"/>
    </row>
    <row r="103" spans="1:26" ht="14.25" x14ac:dyDescent="0.2">
      <c r="A103" s="52"/>
      <c r="B103" s="52"/>
      <c r="C103" s="52" t="s">
        <v>375</v>
      </c>
      <c r="D103" s="37" t="s">
        <v>376</v>
      </c>
      <c r="E103" s="10">
        <f>Source!AQ32</f>
        <v>2.8</v>
      </c>
      <c r="F103" s="38"/>
      <c r="G103" s="39" t="str">
        <f>Source!DI32</f>
        <v>)*1,15</v>
      </c>
      <c r="H103" s="38"/>
      <c r="I103" s="39"/>
      <c r="J103" s="39"/>
      <c r="K103" s="38"/>
      <c r="L103" s="50">
        <f>Source!U32</f>
        <v>30.911999999999995</v>
      </c>
    </row>
    <row r="104" spans="1:26" ht="28.5" x14ac:dyDescent="0.2">
      <c r="A104" s="53">
        <v>9.1</v>
      </c>
      <c r="B104" s="53" t="str">
        <f>Source!F33</f>
        <v>01.2.03.07-0022</v>
      </c>
      <c r="C104" s="53" t="str">
        <f>Source!G33</f>
        <v>Эмульсия битумная гидроизоляционная</v>
      </c>
      <c r="D104" s="42" t="str">
        <f>Source!H33</f>
        <v>т</v>
      </c>
      <c r="E104" s="43">
        <f>Source!I33</f>
        <v>-0.432</v>
      </c>
      <c r="F104" s="44">
        <f>Source!AL33+Source!AM33+Source!AO33</f>
        <v>2000</v>
      </c>
      <c r="G104" s="51" t="s">
        <v>3</v>
      </c>
      <c r="H104" s="44">
        <f>ROUND(Source!AC33*Source!I33, 2)+ROUND((((Source!ET33)-(Source!EU33))+Source!AE33)*Source!I33, 2)+ROUND(Source!AF33*Source!I33, 2)</f>
        <v>-864</v>
      </c>
      <c r="I104" s="45"/>
      <c r="J104" s="45">
        <f>IF(Source!BC33&lt;&gt; 0, Source!BC33, 1)</f>
        <v>8.31</v>
      </c>
      <c r="K104" s="44">
        <f>Source!O33</f>
        <v>-7179.84</v>
      </c>
      <c r="L104" s="49"/>
      <c r="S104">
        <f>ROUND((Source!FX33/100)*((ROUND(Source!AF33*Source!I33, 2)+ROUND(Source!AE33*Source!I33, 2))), 2)</f>
        <v>0</v>
      </c>
      <c r="T104">
        <f>Source!X33</f>
        <v>0</v>
      </c>
      <c r="U104">
        <f>ROUND((Source!FY33/100)*((ROUND(Source!AF33*Source!I33, 2)+ROUND(Source!AE33*Source!I33, 2))), 2)</f>
        <v>0</v>
      </c>
      <c r="V104">
        <f>Source!Y33</f>
        <v>0</v>
      </c>
      <c r="W104">
        <f>IF(Source!BI33&lt;=1,H104, 0)</f>
        <v>-864</v>
      </c>
      <c r="X104">
        <f>IF(Source!BI33=2,H104, 0)</f>
        <v>0</v>
      </c>
      <c r="Y104">
        <f>IF(Source!BI33=3,H104, 0)</f>
        <v>0</v>
      </c>
      <c r="Z104">
        <f>IF(Source!BI33=4,H104, 0)</f>
        <v>0</v>
      </c>
    </row>
    <row r="105" spans="1:26" ht="15" x14ac:dyDescent="0.25">
      <c r="G105" s="71">
        <f>H97+H98+H100+H101+H102+SUM(H104:H104)</f>
        <v>735.84999999999991</v>
      </c>
      <c r="H105" s="71"/>
      <c r="J105" s="71">
        <f>K97+K98+K100+K101+K102+SUM(K104:K104)</f>
        <v>26724.210000000003</v>
      </c>
      <c r="K105" s="71"/>
      <c r="L105" s="47">
        <f>Source!U32</f>
        <v>30.911999999999995</v>
      </c>
      <c r="O105" s="31">
        <f>G105</f>
        <v>735.84999999999991</v>
      </c>
      <c r="P105" s="31">
        <f>J105</f>
        <v>26724.210000000003</v>
      </c>
      <c r="Q105" s="31">
        <f>L105</f>
        <v>30.911999999999995</v>
      </c>
      <c r="W105">
        <f>IF(Source!BI32&lt;=1,H97+H98+H100+H101+H102, 0)</f>
        <v>1599.85</v>
      </c>
      <c r="X105">
        <f>IF(Source!BI32=2,H97+H98+H100+H101+H102, 0)</f>
        <v>0</v>
      </c>
      <c r="Y105">
        <f>IF(Source!BI32=3,H97+H98+H100+H101+H102, 0)</f>
        <v>0</v>
      </c>
      <c r="Z105">
        <f>IF(Source!BI32=4,H97+H98+H100+H101+H102, 0)</f>
        <v>0</v>
      </c>
    </row>
    <row r="106" spans="1:26" ht="54" x14ac:dyDescent="0.2">
      <c r="A106" s="53">
        <v>10</v>
      </c>
      <c r="B106" s="53" t="str">
        <f>Source!F34</f>
        <v>Цена Поставщика</v>
      </c>
      <c r="C106" s="53" t="s">
        <v>381</v>
      </c>
      <c r="D106" s="42" t="str">
        <f>Source!H34</f>
        <v>кг</v>
      </c>
      <c r="E106" s="43">
        <f>Source!I34</f>
        <v>288</v>
      </c>
      <c r="F106" s="44">
        <f>Source!AL34</f>
        <v>24.11</v>
      </c>
      <c r="G106" s="45" t="str">
        <f>Source!DD34</f>
        <v/>
      </c>
      <c r="H106" s="44">
        <f>ROUND(Source!AC34*Source!I34, 2)</f>
        <v>6943.68</v>
      </c>
      <c r="I106" s="45" t="str">
        <f>Source!BO34</f>
        <v/>
      </c>
      <c r="J106" s="45">
        <f>IF(Source!BC34&lt;&gt; 0, Source!BC34, 1)</f>
        <v>8.31</v>
      </c>
      <c r="K106" s="44">
        <f>Source!P34</f>
        <v>57701.98</v>
      </c>
      <c r="L106" s="49"/>
      <c r="S106">
        <f>ROUND((Source!FX34/100)*((ROUND(Source!AF34*Source!I34, 2)+ROUND(Source!AE34*Source!I34, 2))), 2)</f>
        <v>0</v>
      </c>
      <c r="T106">
        <f>Source!X34</f>
        <v>0</v>
      </c>
      <c r="U106">
        <f>ROUND((Source!FY34/100)*((ROUND(Source!AF34*Source!I34, 2)+ROUND(Source!AE34*Source!I34, 2))), 2)</f>
        <v>0</v>
      </c>
      <c r="V106">
        <f>Source!Y34</f>
        <v>0</v>
      </c>
    </row>
    <row r="107" spans="1:26" ht="15" x14ac:dyDescent="0.25">
      <c r="G107" s="71">
        <f>H106</f>
        <v>6943.68</v>
      </c>
      <c r="H107" s="71"/>
      <c r="J107" s="71">
        <f>K106</f>
        <v>57701.98</v>
      </c>
      <c r="K107" s="71"/>
      <c r="L107" s="47">
        <f>Source!U34</f>
        <v>0</v>
      </c>
      <c r="O107" s="31">
        <f>G107</f>
        <v>6943.68</v>
      </c>
      <c r="P107" s="31">
        <f>J107</f>
        <v>57701.98</v>
      </c>
      <c r="Q107" s="31">
        <f>L107</f>
        <v>0</v>
      </c>
      <c r="W107">
        <f>IF(Source!BI34&lt;=1,H106, 0)</f>
        <v>6943.68</v>
      </c>
      <c r="X107">
        <f>IF(Source!BI34=2,H106, 0)</f>
        <v>0</v>
      </c>
      <c r="Y107">
        <f>IF(Source!BI34=3,H106, 0)</f>
        <v>0</v>
      </c>
      <c r="Z107">
        <f>IF(Source!BI34=4,H106, 0)</f>
        <v>0</v>
      </c>
    </row>
    <row r="108" spans="1:26" ht="28.5" x14ac:dyDescent="0.2">
      <c r="A108" s="52">
        <v>11</v>
      </c>
      <c r="B108" s="52" t="str">
        <f>Source!F35</f>
        <v>12-01-002-09</v>
      </c>
      <c r="C108" s="52" t="str">
        <f>Source!G35</f>
        <v>Устройство кровель плоских из наплавляемых материалов: в два слоя</v>
      </c>
      <c r="D108" s="37" t="str">
        <f>Source!H35</f>
        <v>100 м2</v>
      </c>
      <c r="E108" s="10">
        <f>Source!I35</f>
        <v>9.6</v>
      </c>
      <c r="F108" s="38">
        <f>Source!AL35+Source!AM35+Source!AO35</f>
        <v>341.95000000000005</v>
      </c>
      <c r="G108" s="39"/>
      <c r="H108" s="38"/>
      <c r="I108" s="39" t="str">
        <f>Source!BO35</f>
        <v/>
      </c>
      <c r="J108" s="39"/>
      <c r="K108" s="38"/>
      <c r="L108" s="40"/>
      <c r="S108">
        <f>ROUND((Source!FX35/100)*((ROUND(Source!AF35*Source!I35, 2)+ROUND(Source!AE35*Source!I35, 2))), 2)</f>
        <v>1673.4</v>
      </c>
      <c r="T108">
        <f>Source!X35</f>
        <v>62518.33</v>
      </c>
      <c r="U108">
        <f>ROUND((Source!FY35/100)*((ROUND(Source!AF35*Source!I35, 2)+ROUND(Source!AE35*Source!I35, 2))), 2)</f>
        <v>743.82</v>
      </c>
      <c r="V108">
        <f>Source!Y35</f>
        <v>27789.11</v>
      </c>
    </row>
    <row r="109" spans="1:26" x14ac:dyDescent="0.2">
      <c r="C109" s="32" t="str">
        <f>"Объем: "&amp;Source!I35&amp;"=960/"&amp;"100"</f>
        <v>Объем: 9,6=960/100</v>
      </c>
    </row>
    <row r="110" spans="1:26" ht="14.25" x14ac:dyDescent="0.2">
      <c r="A110" s="52"/>
      <c r="B110" s="52"/>
      <c r="C110" s="52" t="s">
        <v>371</v>
      </c>
      <c r="D110" s="37"/>
      <c r="E110" s="10"/>
      <c r="F110" s="38">
        <f>Source!AO35</f>
        <v>134.97999999999999</v>
      </c>
      <c r="G110" s="39" t="str">
        <f>Source!DG35</f>
        <v>)*1,15</v>
      </c>
      <c r="H110" s="38">
        <f>ROUND(Source!AF35*Source!I35, 2)</f>
        <v>1490.21</v>
      </c>
      <c r="I110" s="39"/>
      <c r="J110" s="39">
        <f>IF(Source!BA35&lt;&gt; 0, Source!BA35, 1)</f>
        <v>37.36</v>
      </c>
      <c r="K110" s="38">
        <f>Source!S35</f>
        <v>55674.17</v>
      </c>
      <c r="L110" s="40"/>
      <c r="R110">
        <f>H110</f>
        <v>1490.21</v>
      </c>
    </row>
    <row r="111" spans="1:26" ht="14.25" x14ac:dyDescent="0.2">
      <c r="A111" s="52"/>
      <c r="B111" s="52"/>
      <c r="C111" s="52" t="s">
        <v>162</v>
      </c>
      <c r="D111" s="37"/>
      <c r="E111" s="10"/>
      <c r="F111" s="38">
        <f>Source!AM35</f>
        <v>24.64</v>
      </c>
      <c r="G111" s="39" t="str">
        <f>Source!DE35</f>
        <v>)*1,25</v>
      </c>
      <c r="H111" s="38">
        <f>ROUND(((((Source!ET35*1.25))-((Source!EU35*1.25)))+Source!AE35)*Source!I35, 2)</f>
        <v>295.7</v>
      </c>
      <c r="I111" s="39"/>
      <c r="J111" s="39">
        <f>IF(Source!BB35&lt;&gt; 0, Source!BB35, 1)</f>
        <v>13.04</v>
      </c>
      <c r="K111" s="38">
        <f>Source!Q35</f>
        <v>3856.56</v>
      </c>
      <c r="L111" s="40"/>
    </row>
    <row r="112" spans="1:26" ht="14.25" x14ac:dyDescent="0.2">
      <c r="A112" s="52"/>
      <c r="B112" s="52"/>
      <c r="C112" s="52" t="s">
        <v>377</v>
      </c>
      <c r="D112" s="37"/>
      <c r="E112" s="10"/>
      <c r="F112" s="38">
        <f>Source!AN35</f>
        <v>3.75</v>
      </c>
      <c r="G112" s="39" t="str">
        <f>Source!DF35</f>
        <v>)*1,25</v>
      </c>
      <c r="H112" s="48">
        <f>ROUND(Source!AE35*Source!I35, 2)</f>
        <v>45.02</v>
      </c>
      <c r="I112" s="39"/>
      <c r="J112" s="39">
        <f>IF(Source!BS35&lt;&gt; 0, Source!BS35, 1)</f>
        <v>37.36</v>
      </c>
      <c r="K112" s="48">
        <f>Source!R35</f>
        <v>1682.1</v>
      </c>
      <c r="L112" s="40"/>
      <c r="R112">
        <f>H112</f>
        <v>45.02</v>
      </c>
    </row>
    <row r="113" spans="1:26" ht="14.25" x14ac:dyDescent="0.2">
      <c r="A113" s="52"/>
      <c r="B113" s="52"/>
      <c r="C113" s="52" t="s">
        <v>379</v>
      </c>
      <c r="D113" s="37"/>
      <c r="E113" s="10"/>
      <c r="F113" s="38">
        <f>Source!AL35</f>
        <v>182.33</v>
      </c>
      <c r="G113" s="39" t="str">
        <f>Source!DD35</f>
        <v/>
      </c>
      <c r="H113" s="38">
        <f>ROUND(Source!AC35*Source!I35, 2)</f>
        <v>1750.37</v>
      </c>
      <c r="I113" s="39"/>
      <c r="J113" s="39">
        <f>IF(Source!BC35&lt;&gt; 0, Source!BC35, 1)</f>
        <v>8.31</v>
      </c>
      <c r="K113" s="38">
        <f>Source!P35</f>
        <v>14545.56</v>
      </c>
      <c r="L113" s="40"/>
    </row>
    <row r="114" spans="1:26" ht="14.25" x14ac:dyDescent="0.2">
      <c r="A114" s="52"/>
      <c r="B114" s="52"/>
      <c r="C114" s="52" t="s">
        <v>372</v>
      </c>
      <c r="D114" s="37" t="s">
        <v>373</v>
      </c>
      <c r="E114" s="10">
        <f>Source!BZ35</f>
        <v>109</v>
      </c>
      <c r="F114" s="54"/>
      <c r="G114" s="39"/>
      <c r="H114" s="38">
        <f>SUM(S108:S116)</f>
        <v>1673.4</v>
      </c>
      <c r="I114" s="41"/>
      <c r="J114" s="36">
        <f>Source!AT35</f>
        <v>109</v>
      </c>
      <c r="K114" s="38">
        <f>SUM(T108:T116)</f>
        <v>62518.33</v>
      </c>
      <c r="L114" s="40"/>
    </row>
    <row r="115" spans="1:26" ht="14.25" x14ac:dyDescent="0.2">
      <c r="A115" s="52"/>
      <c r="B115" s="52"/>
      <c r="C115" s="52" t="s">
        <v>374</v>
      </c>
      <c r="D115" s="37" t="s">
        <v>373</v>
      </c>
      <c r="E115" s="10">
        <f>Source!CA35</f>
        <v>57</v>
      </c>
      <c r="F115" s="57" t="str">
        <f>CONCATENATE(" )", Source!DM35, Source!FU35, "=", Source!FY35)</f>
        <v xml:space="preserve"> ))*0,85=48,45</v>
      </c>
      <c r="G115" s="66"/>
      <c r="H115" s="38">
        <f>SUM(U108:U116)</f>
        <v>743.82</v>
      </c>
      <c r="I115" s="41"/>
      <c r="J115" s="36">
        <f>Source!AU35</f>
        <v>48.45</v>
      </c>
      <c r="K115" s="38">
        <f>SUM(V108:V116)</f>
        <v>27789.11</v>
      </c>
      <c r="L115" s="40"/>
    </row>
    <row r="116" spans="1:26" ht="14.25" x14ac:dyDescent="0.2">
      <c r="A116" s="53"/>
      <c r="B116" s="53"/>
      <c r="C116" s="53" t="s">
        <v>375</v>
      </c>
      <c r="D116" s="42" t="s">
        <v>376</v>
      </c>
      <c r="E116" s="43">
        <f>Source!AQ35</f>
        <v>14.36</v>
      </c>
      <c r="F116" s="44"/>
      <c r="G116" s="45" t="str">
        <f>Source!DI35</f>
        <v>)*1,15</v>
      </c>
      <c r="H116" s="44"/>
      <c r="I116" s="45"/>
      <c r="J116" s="45"/>
      <c r="K116" s="44"/>
      <c r="L116" s="46">
        <f>Source!U35</f>
        <v>158.53439999999998</v>
      </c>
    </row>
    <row r="117" spans="1:26" ht="15" x14ac:dyDescent="0.25">
      <c r="G117" s="71">
        <f>H110+H111+H113+H114+H115</f>
        <v>5953.5</v>
      </c>
      <c r="H117" s="71"/>
      <c r="J117" s="71">
        <f>K110+K111+K113+K114+K115</f>
        <v>164383.72999999998</v>
      </c>
      <c r="K117" s="71"/>
      <c r="L117" s="47">
        <f>Source!U35</f>
        <v>158.53439999999998</v>
      </c>
      <c r="O117" s="31">
        <f>G117</f>
        <v>5953.5</v>
      </c>
      <c r="P117" s="31">
        <f>J117</f>
        <v>164383.72999999998</v>
      </c>
      <c r="Q117" s="31">
        <f>L117</f>
        <v>158.53439999999998</v>
      </c>
      <c r="W117">
        <f>IF(Source!BI35&lt;=1,H110+H111+H113+H114+H115, 0)</f>
        <v>5953.5</v>
      </c>
      <c r="X117">
        <f>IF(Source!BI35=2,H110+H111+H113+H114+H115, 0)</f>
        <v>0</v>
      </c>
      <c r="Y117">
        <f>IF(Source!BI35=3,H110+H111+H113+H114+H115, 0)</f>
        <v>0</v>
      </c>
      <c r="Z117">
        <f>IF(Source!BI35=4,H110+H111+H113+H114+H115, 0)</f>
        <v>0</v>
      </c>
    </row>
    <row r="118" spans="1:26" ht="54" x14ac:dyDescent="0.2">
      <c r="A118" s="52">
        <v>12</v>
      </c>
      <c r="B118" s="52" t="str">
        <f>Source!F36</f>
        <v>Цена Поставщика</v>
      </c>
      <c r="C118" s="52" t="s">
        <v>382</v>
      </c>
      <c r="D118" s="37" t="str">
        <f>Source!H36</f>
        <v>м2</v>
      </c>
      <c r="E118" s="10">
        <f>Source!I36</f>
        <v>1113.5999999999999</v>
      </c>
      <c r="F118" s="38">
        <f>Source!AL36</f>
        <v>34.110000000000007</v>
      </c>
      <c r="G118" s="39" t="str">
        <f>Source!DD36</f>
        <v/>
      </c>
      <c r="H118" s="38">
        <f>ROUND(Source!AC36*Source!I36, 2)</f>
        <v>37984.9</v>
      </c>
      <c r="I118" s="39" t="str">
        <f>Source!BO36</f>
        <v/>
      </c>
      <c r="J118" s="39">
        <f>IF(Source!BC36&lt;&gt; 0, Source!BC36, 1)</f>
        <v>8.31</v>
      </c>
      <c r="K118" s="38">
        <f>Source!P36</f>
        <v>315654.49</v>
      </c>
      <c r="L118" s="40"/>
      <c r="S118">
        <f>ROUND((Source!FX36/100)*((ROUND(Source!AF36*Source!I36, 2)+ROUND(Source!AE36*Source!I36, 2))), 2)</f>
        <v>0</v>
      </c>
      <c r="T118">
        <f>Source!X36</f>
        <v>0</v>
      </c>
      <c r="U118">
        <f>ROUND((Source!FY36/100)*((ROUND(Source!AF36*Source!I36, 2)+ROUND(Source!AE36*Source!I36, 2))), 2)</f>
        <v>0</v>
      </c>
      <c r="V118">
        <f>Source!Y36</f>
        <v>0</v>
      </c>
    </row>
    <row r="119" spans="1:26" x14ac:dyDescent="0.2">
      <c r="A119" s="33"/>
      <c r="B119" s="33"/>
      <c r="C119" s="34" t="str">
        <f>"Объем: "&amp;Source!I36&amp;"="&amp;Source!I35&amp;"*"&amp;"116"</f>
        <v>Объем: 1113,6=9,6*116</v>
      </c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1:26" ht="15" x14ac:dyDescent="0.25">
      <c r="G120" s="71">
        <f>H118</f>
        <v>37984.9</v>
      </c>
      <c r="H120" s="71"/>
      <c r="J120" s="71">
        <f>K118</f>
        <v>315654.49</v>
      </c>
      <c r="K120" s="71"/>
      <c r="L120" s="47">
        <f>Source!U36</f>
        <v>0</v>
      </c>
      <c r="O120" s="31">
        <f>G120</f>
        <v>37984.9</v>
      </c>
      <c r="P120" s="31">
        <f>J120</f>
        <v>315654.49</v>
      </c>
      <c r="Q120" s="31">
        <f>L120</f>
        <v>0</v>
      </c>
      <c r="W120">
        <f>IF(Source!BI36&lt;=1,H118, 0)</f>
        <v>37984.9</v>
      </c>
      <c r="X120">
        <f>IF(Source!BI36=2,H118, 0)</f>
        <v>0</v>
      </c>
      <c r="Y120">
        <f>IF(Source!BI36=3,H118, 0)</f>
        <v>0</v>
      </c>
      <c r="Z120">
        <f>IF(Source!BI36=4,H118, 0)</f>
        <v>0</v>
      </c>
    </row>
    <row r="121" spans="1:26" ht="54" x14ac:dyDescent="0.2">
      <c r="A121" s="52">
        <v>13</v>
      </c>
      <c r="B121" s="52" t="str">
        <f>Source!F37</f>
        <v>Цена Поставщика</v>
      </c>
      <c r="C121" s="52" t="s">
        <v>383</v>
      </c>
      <c r="D121" s="37" t="str">
        <f>Source!H37</f>
        <v>м2</v>
      </c>
      <c r="E121" s="10">
        <f>Source!I37</f>
        <v>1094.4000000000001</v>
      </c>
      <c r="F121" s="38">
        <f>Source!AL37</f>
        <v>56.79</v>
      </c>
      <c r="G121" s="39" t="str">
        <f>Source!DD37</f>
        <v/>
      </c>
      <c r="H121" s="38">
        <f>ROUND(Source!AC37*Source!I37, 2)</f>
        <v>62150.98</v>
      </c>
      <c r="I121" s="39" t="str">
        <f>Source!BO37</f>
        <v/>
      </c>
      <c r="J121" s="39">
        <f>IF(Source!BC37&lt;&gt; 0, Source!BC37, 1)</f>
        <v>8.31</v>
      </c>
      <c r="K121" s="38">
        <f>Source!P37</f>
        <v>516474.61</v>
      </c>
      <c r="L121" s="40"/>
      <c r="S121">
        <f>ROUND((Source!FX37/100)*((ROUND(Source!AF37*Source!I37, 2)+ROUND(Source!AE37*Source!I37, 2))), 2)</f>
        <v>0</v>
      </c>
      <c r="T121">
        <f>Source!X37</f>
        <v>0</v>
      </c>
      <c r="U121">
        <f>ROUND((Source!FY37/100)*((ROUND(Source!AF37*Source!I37, 2)+ROUND(Source!AE37*Source!I37, 2))), 2)</f>
        <v>0</v>
      </c>
      <c r="V121">
        <f>Source!Y37</f>
        <v>0</v>
      </c>
    </row>
    <row r="122" spans="1:26" x14ac:dyDescent="0.2">
      <c r="A122" s="33"/>
      <c r="B122" s="33"/>
      <c r="C122" s="34" t="str">
        <f>"Объем: "&amp;Source!I37&amp;"="&amp;Source!I35&amp;"*"&amp;"114"</f>
        <v>Объем: 1094,4=9,6*114</v>
      </c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1:26" ht="15" x14ac:dyDescent="0.25">
      <c r="G123" s="71">
        <f>H121</f>
        <v>62150.98</v>
      </c>
      <c r="H123" s="71"/>
      <c r="J123" s="71">
        <f>K121</f>
        <v>516474.61</v>
      </c>
      <c r="K123" s="71"/>
      <c r="L123" s="47">
        <f>Source!U37</f>
        <v>0</v>
      </c>
      <c r="O123" s="31">
        <f>G123</f>
        <v>62150.98</v>
      </c>
      <c r="P123" s="31">
        <f>J123</f>
        <v>516474.61</v>
      </c>
      <c r="Q123" s="31">
        <f>L123</f>
        <v>0</v>
      </c>
      <c r="W123">
        <f>IF(Source!BI37&lt;=1,H121, 0)</f>
        <v>62150.98</v>
      </c>
      <c r="X123">
        <f>IF(Source!BI37=2,H121, 0)</f>
        <v>0</v>
      </c>
      <c r="Y123">
        <f>IF(Source!BI37=3,H121, 0)</f>
        <v>0</v>
      </c>
      <c r="Z123">
        <f>IF(Source!BI37=4,H121, 0)</f>
        <v>0</v>
      </c>
    </row>
    <row r="124" spans="1:26" ht="57" x14ac:dyDescent="0.2">
      <c r="A124" s="52">
        <v>14</v>
      </c>
      <c r="B124" s="52" t="str">
        <f>Source!F38</f>
        <v>12-01-004-04</v>
      </c>
      <c r="C124" s="52" t="str">
        <f>Source!G38</f>
        <v>Устройство примыканий кровель из наплавляемых материалов к стенам и парапетам высотой: до 600 мм без фартуков</v>
      </c>
      <c r="D124" s="37" t="str">
        <f>Source!H38</f>
        <v>100 м</v>
      </c>
      <c r="E124" s="10">
        <f>Source!I38</f>
        <v>0.36</v>
      </c>
      <c r="F124" s="38">
        <f>Source!AL38+Source!AM38+Source!AO38</f>
        <v>862.94999999999993</v>
      </c>
      <c r="G124" s="39"/>
      <c r="H124" s="38"/>
      <c r="I124" s="39" t="str">
        <f>Source!BO38</f>
        <v/>
      </c>
      <c r="J124" s="39"/>
      <c r="K124" s="38"/>
      <c r="L124" s="40"/>
      <c r="S124">
        <f>ROUND((Source!FX38/100)*((ROUND(Source!AF38*Source!I38, 2)+ROUND(Source!AE38*Source!I38, 2))), 2)</f>
        <v>152.62</v>
      </c>
      <c r="T124">
        <f>Source!X38</f>
        <v>5701.75</v>
      </c>
      <c r="U124">
        <f>ROUND((Source!FY38/100)*((ROUND(Source!AF38*Source!I38, 2)+ROUND(Source!AE38*Source!I38, 2))), 2)</f>
        <v>67.84</v>
      </c>
      <c r="V124">
        <f>Source!Y38</f>
        <v>2534.4</v>
      </c>
    </row>
    <row r="125" spans="1:26" x14ac:dyDescent="0.2">
      <c r="C125" s="32" t="str">
        <f>"Объем: "&amp;Source!I38&amp;"=36/"&amp;"100"</f>
        <v>Объем: 0,36=36/100</v>
      </c>
    </row>
    <row r="126" spans="1:26" ht="14.25" x14ac:dyDescent="0.2">
      <c r="A126" s="52"/>
      <c r="B126" s="52"/>
      <c r="C126" s="52" t="s">
        <v>371</v>
      </c>
      <c r="D126" s="37"/>
      <c r="E126" s="10"/>
      <c r="F126" s="38">
        <f>Source!AO38</f>
        <v>325.89</v>
      </c>
      <c r="G126" s="39" t="str">
        <f>Source!DG38</f>
        <v>)*1,15</v>
      </c>
      <c r="H126" s="38">
        <f>ROUND(Source!AF38*Source!I38, 2)</f>
        <v>134.91999999999999</v>
      </c>
      <c r="I126" s="39"/>
      <c r="J126" s="39">
        <f>IF(Source!BA38&lt;&gt; 0, Source!BA38, 1)</f>
        <v>37.36</v>
      </c>
      <c r="K126" s="38">
        <f>Source!S38</f>
        <v>5040.51</v>
      </c>
      <c r="L126" s="40"/>
      <c r="R126">
        <f>H126</f>
        <v>134.91999999999999</v>
      </c>
    </row>
    <row r="127" spans="1:26" ht="14.25" x14ac:dyDescent="0.2">
      <c r="A127" s="52"/>
      <c r="B127" s="52"/>
      <c r="C127" s="52" t="s">
        <v>162</v>
      </c>
      <c r="D127" s="37"/>
      <c r="E127" s="10"/>
      <c r="F127" s="38">
        <f>Source!AM38</f>
        <v>74.099999999999994</v>
      </c>
      <c r="G127" s="39" t="str">
        <f>Source!DE38</f>
        <v>)*1,25</v>
      </c>
      <c r="H127" s="38">
        <f>ROUND(((((Source!ET38*1.25))-((Source!EU38*1.25)))+Source!AE38)*Source!I38, 2)</f>
        <v>33.340000000000003</v>
      </c>
      <c r="I127" s="39"/>
      <c r="J127" s="39">
        <f>IF(Source!BB38&lt;&gt; 0, Source!BB38, 1)</f>
        <v>13.04</v>
      </c>
      <c r="K127" s="38">
        <f>Source!Q38</f>
        <v>434.79</v>
      </c>
      <c r="L127" s="40"/>
    </row>
    <row r="128" spans="1:26" ht="14.25" x14ac:dyDescent="0.2">
      <c r="A128" s="52"/>
      <c r="B128" s="52"/>
      <c r="C128" s="52" t="s">
        <v>377</v>
      </c>
      <c r="D128" s="37"/>
      <c r="E128" s="10"/>
      <c r="F128" s="38">
        <f>Source!AN38</f>
        <v>11.33</v>
      </c>
      <c r="G128" s="39" t="str">
        <f>Source!DF38</f>
        <v>)*1,25</v>
      </c>
      <c r="H128" s="48">
        <f>ROUND(Source!AE38*Source!I38, 2)</f>
        <v>5.0999999999999996</v>
      </c>
      <c r="I128" s="39"/>
      <c r="J128" s="39">
        <f>IF(Source!BS38&lt;&gt; 0, Source!BS38, 1)</f>
        <v>37.36</v>
      </c>
      <c r="K128" s="48">
        <f>Source!R38</f>
        <v>190.45</v>
      </c>
      <c r="L128" s="40"/>
      <c r="R128">
        <f>H128</f>
        <v>5.0999999999999996</v>
      </c>
    </row>
    <row r="129" spans="1:26" ht="14.25" x14ac:dyDescent="0.2">
      <c r="A129" s="52"/>
      <c r="B129" s="52"/>
      <c r="C129" s="52" t="s">
        <v>379</v>
      </c>
      <c r="D129" s="37"/>
      <c r="E129" s="10"/>
      <c r="F129" s="38">
        <f>Source!AL38</f>
        <v>462.96</v>
      </c>
      <c r="G129" s="39" t="str">
        <f>Source!DD38</f>
        <v/>
      </c>
      <c r="H129" s="38">
        <f>ROUND(Source!AC38*Source!I38, 2)</f>
        <v>166.67</v>
      </c>
      <c r="I129" s="39"/>
      <c r="J129" s="39">
        <f>IF(Source!BC38&lt;&gt; 0, Source!BC38, 1)</f>
        <v>8.31</v>
      </c>
      <c r="K129" s="38">
        <f>Source!P38</f>
        <v>1384.99</v>
      </c>
      <c r="L129" s="40"/>
    </row>
    <row r="130" spans="1:26" ht="14.25" x14ac:dyDescent="0.2">
      <c r="A130" s="52"/>
      <c r="B130" s="52"/>
      <c r="C130" s="52" t="s">
        <v>372</v>
      </c>
      <c r="D130" s="37" t="s">
        <v>373</v>
      </c>
      <c r="E130" s="10">
        <f>Source!BZ38</f>
        <v>109</v>
      </c>
      <c r="F130" s="54"/>
      <c r="G130" s="39"/>
      <c r="H130" s="38">
        <f>SUM(S124:S132)</f>
        <v>152.62</v>
      </c>
      <c r="I130" s="41"/>
      <c r="J130" s="36">
        <f>Source!AT38</f>
        <v>109</v>
      </c>
      <c r="K130" s="38">
        <f>SUM(T124:T132)</f>
        <v>5701.75</v>
      </c>
      <c r="L130" s="40"/>
    </row>
    <row r="131" spans="1:26" ht="14.25" x14ac:dyDescent="0.2">
      <c r="A131" s="52"/>
      <c r="B131" s="52"/>
      <c r="C131" s="52" t="s">
        <v>374</v>
      </c>
      <c r="D131" s="37" t="s">
        <v>373</v>
      </c>
      <c r="E131" s="10">
        <f>Source!CA38</f>
        <v>57</v>
      </c>
      <c r="F131" s="57" t="str">
        <f>CONCATENATE(" )", Source!DM38, Source!FU38, "=", Source!FY38)</f>
        <v xml:space="preserve"> ))*0,85=48,45</v>
      </c>
      <c r="G131" s="66"/>
      <c r="H131" s="38">
        <f>SUM(U124:U132)</f>
        <v>67.84</v>
      </c>
      <c r="I131" s="41"/>
      <c r="J131" s="36">
        <f>Source!AU38</f>
        <v>48.45</v>
      </c>
      <c r="K131" s="38">
        <f>SUM(V124:V132)</f>
        <v>2534.4</v>
      </c>
      <c r="L131" s="40"/>
    </row>
    <row r="132" spans="1:26" ht="14.25" x14ac:dyDescent="0.2">
      <c r="A132" s="53"/>
      <c r="B132" s="53"/>
      <c r="C132" s="53" t="s">
        <v>375</v>
      </c>
      <c r="D132" s="42" t="s">
        <v>376</v>
      </c>
      <c r="E132" s="43">
        <f>Source!AQ38</f>
        <v>35.5</v>
      </c>
      <c r="F132" s="44"/>
      <c r="G132" s="45" t="str">
        <f>Source!DI38</f>
        <v>)*1,15</v>
      </c>
      <c r="H132" s="44"/>
      <c r="I132" s="45"/>
      <c r="J132" s="45"/>
      <c r="K132" s="44"/>
      <c r="L132" s="46">
        <f>Source!U38</f>
        <v>14.696999999999997</v>
      </c>
    </row>
    <row r="133" spans="1:26" ht="15" x14ac:dyDescent="0.25">
      <c r="G133" s="71">
        <f>H126+H127+H129+H130+H131</f>
        <v>555.39</v>
      </c>
      <c r="H133" s="71"/>
      <c r="J133" s="71">
        <f>K126+K127+K129+K130+K131</f>
        <v>15096.44</v>
      </c>
      <c r="K133" s="71"/>
      <c r="L133" s="47">
        <f>Source!U38</f>
        <v>14.696999999999997</v>
      </c>
      <c r="O133" s="31">
        <f>G133</f>
        <v>555.39</v>
      </c>
      <c r="P133" s="31">
        <f>J133</f>
        <v>15096.44</v>
      </c>
      <c r="Q133" s="31">
        <f>L133</f>
        <v>14.696999999999997</v>
      </c>
      <c r="W133">
        <f>IF(Source!BI38&lt;=1,H126+H127+H129+H130+H131, 0)</f>
        <v>555.39</v>
      </c>
      <c r="X133">
        <f>IF(Source!BI38=2,H126+H127+H129+H130+H131, 0)</f>
        <v>0</v>
      </c>
      <c r="Y133">
        <f>IF(Source!BI38=3,H126+H127+H129+H130+H131, 0)</f>
        <v>0</v>
      </c>
      <c r="Z133">
        <f>IF(Source!BI38=4,H126+H127+H129+H130+H131, 0)</f>
        <v>0</v>
      </c>
    </row>
    <row r="134" spans="1:26" ht="54" x14ac:dyDescent="0.2">
      <c r="A134" s="52">
        <v>15</v>
      </c>
      <c r="B134" s="52" t="str">
        <f>Source!F39</f>
        <v>Цена Поставщика</v>
      </c>
      <c r="C134" s="52" t="s">
        <v>382</v>
      </c>
      <c r="D134" s="37" t="str">
        <f>Source!H39</f>
        <v>м2</v>
      </c>
      <c r="E134" s="10">
        <f>Source!I39</f>
        <v>45.36</v>
      </c>
      <c r="F134" s="38">
        <f>Source!AL39</f>
        <v>34.110000000000007</v>
      </c>
      <c r="G134" s="39" t="str">
        <f>Source!DD39</f>
        <v/>
      </c>
      <c r="H134" s="38">
        <f>ROUND(Source!AC39*Source!I39, 2)</f>
        <v>1547.23</v>
      </c>
      <c r="I134" s="39" t="str">
        <f>Source!BO39</f>
        <v/>
      </c>
      <c r="J134" s="39">
        <f>IF(Source!BC39&lt;&gt; 0, Source!BC39, 1)</f>
        <v>8.31</v>
      </c>
      <c r="K134" s="38">
        <f>Source!P39</f>
        <v>12857.48</v>
      </c>
      <c r="L134" s="40"/>
      <c r="S134">
        <f>ROUND((Source!FX39/100)*((ROUND(Source!AF39*Source!I39, 2)+ROUND(Source!AE39*Source!I39, 2))), 2)</f>
        <v>0</v>
      </c>
      <c r="T134">
        <f>Source!X39</f>
        <v>0</v>
      </c>
      <c r="U134">
        <f>ROUND((Source!FY39/100)*((ROUND(Source!AF39*Source!I39, 2)+ROUND(Source!AE39*Source!I39, 2))), 2)</f>
        <v>0</v>
      </c>
      <c r="V134">
        <f>Source!Y39</f>
        <v>0</v>
      </c>
    </row>
    <row r="135" spans="1:26" x14ac:dyDescent="0.2">
      <c r="A135" s="33"/>
      <c r="B135" s="33"/>
      <c r="C135" s="34" t="str">
        <f>"Объем: "&amp;Source!I39&amp;"="&amp;Source!I38&amp;"*"&amp;"252/"&amp;"2"</f>
        <v>Объем: 45,36=0,36*252/2</v>
      </c>
      <c r="D135" s="33"/>
      <c r="E135" s="33"/>
      <c r="F135" s="33"/>
      <c r="G135" s="33"/>
      <c r="H135" s="33"/>
      <c r="I135" s="33"/>
      <c r="J135" s="33"/>
      <c r="K135" s="33"/>
      <c r="L135" s="33"/>
    </row>
    <row r="136" spans="1:26" ht="15" x14ac:dyDescent="0.25">
      <c r="G136" s="71">
        <f>H134</f>
        <v>1547.23</v>
      </c>
      <c r="H136" s="71"/>
      <c r="J136" s="71">
        <f>K134</f>
        <v>12857.48</v>
      </c>
      <c r="K136" s="71"/>
      <c r="L136" s="47">
        <f>Source!U39</f>
        <v>0</v>
      </c>
      <c r="O136" s="31">
        <f>G136</f>
        <v>1547.23</v>
      </c>
      <c r="P136" s="31">
        <f>J136</f>
        <v>12857.48</v>
      </c>
      <c r="Q136" s="31">
        <f>L136</f>
        <v>0</v>
      </c>
      <c r="W136">
        <f>IF(Source!BI39&lt;=1,H134, 0)</f>
        <v>1547.23</v>
      </c>
      <c r="X136">
        <f>IF(Source!BI39=2,H134, 0)</f>
        <v>0</v>
      </c>
      <c r="Y136">
        <f>IF(Source!BI39=3,H134, 0)</f>
        <v>0</v>
      </c>
      <c r="Z136">
        <f>IF(Source!BI39=4,H134, 0)</f>
        <v>0</v>
      </c>
    </row>
    <row r="137" spans="1:26" ht="54" x14ac:dyDescent="0.2">
      <c r="A137" s="52">
        <v>16</v>
      </c>
      <c r="B137" s="52" t="str">
        <f>Source!F40</f>
        <v>Цена Поставщика</v>
      </c>
      <c r="C137" s="52" t="s">
        <v>383</v>
      </c>
      <c r="D137" s="37" t="str">
        <f>Source!H40</f>
        <v>м2</v>
      </c>
      <c r="E137" s="10">
        <f>Source!I40</f>
        <v>45.36</v>
      </c>
      <c r="F137" s="38">
        <f>Source!AL40</f>
        <v>56.79</v>
      </c>
      <c r="G137" s="39" t="str">
        <f>Source!DD40</f>
        <v/>
      </c>
      <c r="H137" s="38">
        <f>ROUND(Source!AC40*Source!I40, 2)</f>
        <v>2575.9899999999998</v>
      </c>
      <c r="I137" s="39" t="str">
        <f>Source!BO40</f>
        <v/>
      </c>
      <c r="J137" s="39">
        <f>IF(Source!BC40&lt;&gt; 0, Source!BC40, 1)</f>
        <v>8.31</v>
      </c>
      <c r="K137" s="38">
        <f>Source!P40</f>
        <v>21406.51</v>
      </c>
      <c r="L137" s="40"/>
      <c r="S137">
        <f>ROUND((Source!FX40/100)*((ROUND(Source!AF40*Source!I40, 2)+ROUND(Source!AE40*Source!I40, 2))), 2)</f>
        <v>0</v>
      </c>
      <c r="T137">
        <f>Source!X40</f>
        <v>0</v>
      </c>
      <c r="U137">
        <f>ROUND((Source!FY40/100)*((ROUND(Source!AF40*Source!I40, 2)+ROUND(Source!AE40*Source!I40, 2))), 2)</f>
        <v>0</v>
      </c>
      <c r="V137">
        <f>Source!Y40</f>
        <v>0</v>
      </c>
    </row>
    <row r="138" spans="1:26" x14ac:dyDescent="0.2">
      <c r="A138" s="33"/>
      <c r="B138" s="33"/>
      <c r="C138" s="34" t="str">
        <f>"Объем: "&amp;Source!I40&amp;"="&amp;Source!I38&amp;"*"&amp;"252/"&amp;"2"</f>
        <v>Объем: 45,36=0,36*252/2</v>
      </c>
      <c r="D138" s="33"/>
      <c r="E138" s="33"/>
      <c r="F138" s="33"/>
      <c r="G138" s="33"/>
      <c r="H138" s="33"/>
      <c r="I138" s="33"/>
      <c r="J138" s="33"/>
      <c r="K138" s="33"/>
      <c r="L138" s="33"/>
    </row>
    <row r="139" spans="1:26" ht="15" x14ac:dyDescent="0.25">
      <c r="G139" s="71">
        <f>H137</f>
        <v>2575.9899999999998</v>
      </c>
      <c r="H139" s="71"/>
      <c r="J139" s="71">
        <f>K137</f>
        <v>21406.51</v>
      </c>
      <c r="K139" s="71"/>
      <c r="L139" s="47">
        <f>Source!U40</f>
        <v>0</v>
      </c>
      <c r="O139" s="31">
        <f>G139</f>
        <v>2575.9899999999998</v>
      </c>
      <c r="P139" s="31">
        <f>J139</f>
        <v>21406.51</v>
      </c>
      <c r="Q139" s="31">
        <f>L139</f>
        <v>0</v>
      </c>
      <c r="W139">
        <f>IF(Source!BI40&lt;=1,H137, 0)</f>
        <v>2575.9899999999998</v>
      </c>
      <c r="X139">
        <f>IF(Source!BI40=2,H137, 0)</f>
        <v>0</v>
      </c>
      <c r="Y139">
        <f>IF(Source!BI40=3,H137, 0)</f>
        <v>0</v>
      </c>
      <c r="Z139">
        <f>IF(Source!BI40=4,H137, 0)</f>
        <v>0</v>
      </c>
    </row>
    <row r="140" spans="1:26" ht="57" x14ac:dyDescent="0.2">
      <c r="A140" s="52">
        <v>17</v>
      </c>
      <c r="B140" s="52" t="str">
        <f>Source!F41</f>
        <v>58-20-3</v>
      </c>
      <c r="C140" s="52" t="str">
        <f>Source!G41</f>
        <v>Смена обделок из листовой стали (брандмауэров и парапетов без обделки боковых стенок) шириной: до 1 м</v>
      </c>
      <c r="D140" s="37" t="str">
        <f>Source!H41</f>
        <v>100 м</v>
      </c>
      <c r="E140" s="10">
        <f>Source!I41</f>
        <v>0.36</v>
      </c>
      <c r="F140" s="38">
        <f>Source!AL41+Source!AM41+Source!AO41</f>
        <v>753.65</v>
      </c>
      <c r="G140" s="39"/>
      <c r="H140" s="38"/>
      <c r="I140" s="39" t="str">
        <f>Source!BO41</f>
        <v/>
      </c>
      <c r="J140" s="39"/>
      <c r="K140" s="38"/>
      <c r="L140" s="40"/>
      <c r="S140">
        <f>ROUND((Source!FX41/100)*((ROUND(Source!AF41*Source!I41, 2)+ROUND(Source!AE41*Source!I41, 2))), 2)</f>
        <v>195.2</v>
      </c>
      <c r="T140">
        <f>Source!X41</f>
        <v>7292.68</v>
      </c>
      <c r="U140">
        <f>ROUND((Source!FY41/100)*((ROUND(Source!AF41*Source!I41, 2)+ROUND(Source!AE41*Source!I41, 2))), 2)</f>
        <v>99.77</v>
      </c>
      <c r="V140">
        <f>Source!Y41</f>
        <v>3727.37</v>
      </c>
    </row>
    <row r="141" spans="1:26" x14ac:dyDescent="0.2">
      <c r="C141" s="32" t="str">
        <f>"Объем: "&amp;Source!I41&amp;"=18*"&amp;"2/"&amp;"100"</f>
        <v>Объем: 0,36=18*2/100</v>
      </c>
    </row>
    <row r="142" spans="1:26" ht="14.25" x14ac:dyDescent="0.2">
      <c r="A142" s="52"/>
      <c r="B142" s="52"/>
      <c r="C142" s="52" t="s">
        <v>371</v>
      </c>
      <c r="D142" s="37"/>
      <c r="E142" s="10"/>
      <c r="F142" s="38">
        <f>Source!AO41</f>
        <v>599.23</v>
      </c>
      <c r="G142" s="39" t="str">
        <f>Source!DG41</f>
        <v/>
      </c>
      <c r="H142" s="38">
        <f>ROUND(Source!AF41*Source!I41, 2)</f>
        <v>215.72</v>
      </c>
      <c r="I142" s="39"/>
      <c r="J142" s="39">
        <f>IF(Source!BA41&lt;&gt; 0, Source!BA41, 1)</f>
        <v>37.36</v>
      </c>
      <c r="K142" s="38">
        <f>Source!S41</f>
        <v>8059.4</v>
      </c>
      <c r="L142" s="40"/>
      <c r="R142">
        <f>H142</f>
        <v>215.72</v>
      </c>
    </row>
    <row r="143" spans="1:26" ht="14.25" x14ac:dyDescent="0.2">
      <c r="A143" s="52"/>
      <c r="B143" s="52"/>
      <c r="C143" s="52" t="s">
        <v>162</v>
      </c>
      <c r="D143" s="37"/>
      <c r="E143" s="10"/>
      <c r="F143" s="38">
        <f>Source!AM41</f>
        <v>10.23</v>
      </c>
      <c r="G143" s="39" t="str">
        <f>Source!DE41</f>
        <v/>
      </c>
      <c r="H143" s="38">
        <f>ROUND((((Source!ET41)-(Source!EU41))+Source!AE41)*Source!I41, 2)</f>
        <v>3.68</v>
      </c>
      <c r="I143" s="39"/>
      <c r="J143" s="39">
        <f>IF(Source!BB41&lt;&gt; 0, Source!BB41, 1)</f>
        <v>13.04</v>
      </c>
      <c r="K143" s="38">
        <f>Source!Q41</f>
        <v>48.02</v>
      </c>
      <c r="L143" s="40"/>
    </row>
    <row r="144" spans="1:26" ht="14.25" x14ac:dyDescent="0.2">
      <c r="A144" s="52"/>
      <c r="B144" s="52"/>
      <c r="C144" s="52" t="s">
        <v>377</v>
      </c>
      <c r="D144" s="37"/>
      <c r="E144" s="10"/>
      <c r="F144" s="38">
        <f>Source!AN41</f>
        <v>3.24</v>
      </c>
      <c r="G144" s="39" t="str">
        <f>Source!DF41</f>
        <v/>
      </c>
      <c r="H144" s="48">
        <f>ROUND(Source!AE41*Source!I41, 2)</f>
        <v>1.17</v>
      </c>
      <c r="I144" s="39"/>
      <c r="J144" s="39">
        <f>IF(Source!BS41&lt;&gt; 0, Source!BS41, 1)</f>
        <v>37.36</v>
      </c>
      <c r="K144" s="48">
        <f>Source!R41</f>
        <v>43.58</v>
      </c>
      <c r="L144" s="40"/>
      <c r="R144">
        <f>H144</f>
        <v>1.17</v>
      </c>
    </row>
    <row r="145" spans="1:26" ht="14.25" x14ac:dyDescent="0.2">
      <c r="A145" s="52"/>
      <c r="B145" s="52"/>
      <c r="C145" s="52" t="s">
        <v>379</v>
      </c>
      <c r="D145" s="37"/>
      <c r="E145" s="10"/>
      <c r="F145" s="38">
        <f>Source!AL41</f>
        <v>144.19</v>
      </c>
      <c r="G145" s="39" t="str">
        <f>Source!DD41</f>
        <v/>
      </c>
      <c r="H145" s="38">
        <f>ROUND(Source!AC41*Source!I41, 2)</f>
        <v>51.91</v>
      </c>
      <c r="I145" s="39"/>
      <c r="J145" s="39">
        <f>IF(Source!BC41&lt;&gt; 0, Source!BC41, 1)</f>
        <v>8.31</v>
      </c>
      <c r="K145" s="38">
        <f>Source!P41</f>
        <v>431.36</v>
      </c>
      <c r="L145" s="40"/>
    </row>
    <row r="146" spans="1:26" ht="14.25" x14ac:dyDescent="0.2">
      <c r="A146" s="52"/>
      <c r="B146" s="52"/>
      <c r="C146" s="52" t="s">
        <v>372</v>
      </c>
      <c r="D146" s="37" t="s">
        <v>373</v>
      </c>
      <c r="E146" s="10">
        <f>Source!BZ41</f>
        <v>90</v>
      </c>
      <c r="F146" s="54"/>
      <c r="G146" s="39"/>
      <c r="H146" s="38">
        <f>SUM(S140:S148)</f>
        <v>195.2</v>
      </c>
      <c r="I146" s="41"/>
      <c r="J146" s="36">
        <f>Source!AT41</f>
        <v>90</v>
      </c>
      <c r="K146" s="38">
        <f>SUM(T140:T148)</f>
        <v>7292.68</v>
      </c>
      <c r="L146" s="40"/>
    </row>
    <row r="147" spans="1:26" ht="14.25" x14ac:dyDescent="0.2">
      <c r="A147" s="52"/>
      <c r="B147" s="52"/>
      <c r="C147" s="52" t="s">
        <v>374</v>
      </c>
      <c r="D147" s="37" t="s">
        <v>373</v>
      </c>
      <c r="E147" s="10">
        <f>Source!CA41</f>
        <v>46</v>
      </c>
      <c r="F147" s="54"/>
      <c r="G147" s="39"/>
      <c r="H147" s="38">
        <f>SUM(U140:U148)</f>
        <v>99.77</v>
      </c>
      <c r="I147" s="41"/>
      <c r="J147" s="36">
        <f>Source!AU41</f>
        <v>46</v>
      </c>
      <c r="K147" s="38">
        <f>SUM(V140:V148)</f>
        <v>3727.37</v>
      </c>
      <c r="L147" s="40"/>
    </row>
    <row r="148" spans="1:26" ht="14.25" x14ac:dyDescent="0.2">
      <c r="A148" s="53"/>
      <c r="B148" s="53"/>
      <c r="C148" s="53" t="s">
        <v>375</v>
      </c>
      <c r="D148" s="42" t="s">
        <v>376</v>
      </c>
      <c r="E148" s="43">
        <f>Source!AQ41</f>
        <v>70.25</v>
      </c>
      <c r="F148" s="44"/>
      <c r="G148" s="45" t="str">
        <f>Source!DI41</f>
        <v/>
      </c>
      <c r="H148" s="44"/>
      <c r="I148" s="45"/>
      <c r="J148" s="45"/>
      <c r="K148" s="44"/>
      <c r="L148" s="46">
        <f>Source!U41</f>
        <v>25.29</v>
      </c>
    </row>
    <row r="149" spans="1:26" ht="15" x14ac:dyDescent="0.25">
      <c r="G149" s="71">
        <f>H142+H143+H145+H146+H147</f>
        <v>566.28</v>
      </c>
      <c r="H149" s="71"/>
      <c r="J149" s="71">
        <f>K142+K143+K145+K146+K147</f>
        <v>19558.830000000002</v>
      </c>
      <c r="K149" s="71"/>
      <c r="L149" s="47">
        <f>Source!U41</f>
        <v>25.29</v>
      </c>
      <c r="O149" s="31">
        <f>G149</f>
        <v>566.28</v>
      </c>
      <c r="P149" s="31">
        <f>J149</f>
        <v>19558.830000000002</v>
      </c>
      <c r="Q149" s="31">
        <f>L149</f>
        <v>25.29</v>
      </c>
      <c r="W149">
        <f>IF(Source!BI41&lt;=1,H142+H143+H145+H146+H147, 0)</f>
        <v>566.28</v>
      </c>
      <c r="X149">
        <f>IF(Source!BI41=2,H142+H143+H145+H146+H147, 0)</f>
        <v>0</v>
      </c>
      <c r="Y149">
        <f>IF(Source!BI41=3,H142+H143+H145+H146+H147, 0)</f>
        <v>0</v>
      </c>
      <c r="Z149">
        <f>IF(Source!BI41=4,H142+H143+H145+H146+H147, 0)</f>
        <v>0</v>
      </c>
    </row>
    <row r="150" spans="1:26" ht="42.75" x14ac:dyDescent="0.2">
      <c r="A150" s="52">
        <v>18</v>
      </c>
      <c r="B150" s="52" t="str">
        <f>Source!F42</f>
        <v>58-20-2</v>
      </c>
      <c r="C150" s="52" t="str">
        <f>Source!G42</f>
        <v>Смена обделок из листовой стали (поясков, сандриков, отливов, карнизов) шириной: до 0,7 м</v>
      </c>
      <c r="D150" s="37" t="str">
        <f>Source!H42</f>
        <v>100 м</v>
      </c>
      <c r="E150" s="10">
        <f>Source!I42</f>
        <v>0.96</v>
      </c>
      <c r="F150" s="38">
        <f>Source!AL42+Source!AM42+Source!AO42</f>
        <v>643.64</v>
      </c>
      <c r="G150" s="39"/>
      <c r="H150" s="38"/>
      <c r="I150" s="39" t="str">
        <f>Source!BO42</f>
        <v/>
      </c>
      <c r="J150" s="39"/>
      <c r="K150" s="38"/>
      <c r="L150" s="40"/>
      <c r="S150">
        <f>ROUND((Source!FX42/100)*((ROUND(Source!AF42*Source!I42, 2)+ROUND(Source!AE42*Source!I42, 2))), 2)</f>
        <v>468.17</v>
      </c>
      <c r="T150">
        <f>Source!X42</f>
        <v>17490.72</v>
      </c>
      <c r="U150">
        <f>ROUND((Source!FY42/100)*((ROUND(Source!AF42*Source!I42, 2)+ROUND(Source!AE42*Source!I42, 2))), 2)</f>
        <v>239.29</v>
      </c>
      <c r="V150">
        <f>Source!Y42</f>
        <v>8939.7000000000007</v>
      </c>
    </row>
    <row r="151" spans="1:26" x14ac:dyDescent="0.2">
      <c r="C151" s="32" t="str">
        <f>"Объем: "&amp;Source!I42&amp;"=(48*"&amp;"2)/"&amp;"100"</f>
        <v>Объем: 0,96=(48*2)/100</v>
      </c>
    </row>
    <row r="152" spans="1:26" ht="14.25" x14ac:dyDescent="0.2">
      <c r="A152" s="52"/>
      <c r="B152" s="52"/>
      <c r="C152" s="52" t="s">
        <v>371</v>
      </c>
      <c r="D152" s="37"/>
      <c r="E152" s="10"/>
      <c r="F152" s="38">
        <f>Source!AO42</f>
        <v>539.27</v>
      </c>
      <c r="G152" s="39" t="str">
        <f>Source!DG42</f>
        <v/>
      </c>
      <c r="H152" s="38">
        <f>ROUND(Source!AF42*Source!I42, 2)</f>
        <v>517.70000000000005</v>
      </c>
      <c r="I152" s="39"/>
      <c r="J152" s="39">
        <f>IF(Source!BA42&lt;&gt; 0, Source!BA42, 1)</f>
        <v>37.36</v>
      </c>
      <c r="K152" s="38">
        <f>Source!S42</f>
        <v>19341.240000000002</v>
      </c>
      <c r="L152" s="40"/>
      <c r="R152">
        <f>H152</f>
        <v>517.70000000000005</v>
      </c>
    </row>
    <row r="153" spans="1:26" ht="14.25" x14ac:dyDescent="0.2">
      <c r="A153" s="52"/>
      <c r="B153" s="52"/>
      <c r="C153" s="52" t="s">
        <v>162</v>
      </c>
      <c r="D153" s="37"/>
      <c r="E153" s="10"/>
      <c r="F153" s="38">
        <f>Source!AM42</f>
        <v>8.32</v>
      </c>
      <c r="G153" s="39" t="str">
        <f>Source!DE42</f>
        <v/>
      </c>
      <c r="H153" s="38">
        <f>ROUND((((Source!ET42)-(Source!EU42))+Source!AE42)*Source!I42, 2)</f>
        <v>7.99</v>
      </c>
      <c r="I153" s="39"/>
      <c r="J153" s="39">
        <f>IF(Source!BB42&lt;&gt; 0, Source!BB42, 1)</f>
        <v>13.04</v>
      </c>
      <c r="K153" s="38">
        <f>Source!Q42</f>
        <v>104.15</v>
      </c>
      <c r="L153" s="40"/>
    </row>
    <row r="154" spans="1:26" ht="14.25" x14ac:dyDescent="0.2">
      <c r="A154" s="52"/>
      <c r="B154" s="52"/>
      <c r="C154" s="52" t="s">
        <v>377</v>
      </c>
      <c r="D154" s="37"/>
      <c r="E154" s="10"/>
      <c r="F154" s="38">
        <f>Source!AN42</f>
        <v>2.59</v>
      </c>
      <c r="G154" s="39" t="str">
        <f>Source!DF42</f>
        <v/>
      </c>
      <c r="H154" s="48">
        <f>ROUND(Source!AE42*Source!I42, 2)</f>
        <v>2.4900000000000002</v>
      </c>
      <c r="I154" s="39"/>
      <c r="J154" s="39">
        <f>IF(Source!BS42&lt;&gt; 0, Source!BS42, 1)</f>
        <v>37.36</v>
      </c>
      <c r="K154" s="48">
        <f>Source!R42</f>
        <v>92.89</v>
      </c>
      <c r="L154" s="40"/>
      <c r="R154">
        <f>H154</f>
        <v>2.4900000000000002</v>
      </c>
    </row>
    <row r="155" spans="1:26" ht="14.25" x14ac:dyDescent="0.2">
      <c r="A155" s="52"/>
      <c r="B155" s="52"/>
      <c r="C155" s="52" t="s">
        <v>379</v>
      </c>
      <c r="D155" s="37"/>
      <c r="E155" s="10"/>
      <c r="F155" s="38">
        <f>Source!AL42</f>
        <v>96.05</v>
      </c>
      <c r="G155" s="39" t="str">
        <f>Source!DD42</f>
        <v/>
      </c>
      <c r="H155" s="38">
        <f>ROUND(Source!AC42*Source!I42, 2)</f>
        <v>92.21</v>
      </c>
      <c r="I155" s="39"/>
      <c r="J155" s="39">
        <f>IF(Source!BC42&lt;&gt; 0, Source!BC42, 1)</f>
        <v>8.31</v>
      </c>
      <c r="K155" s="38">
        <f>Source!P42</f>
        <v>766.25</v>
      </c>
      <c r="L155" s="40"/>
    </row>
    <row r="156" spans="1:26" ht="14.25" x14ac:dyDescent="0.2">
      <c r="A156" s="52"/>
      <c r="B156" s="52"/>
      <c r="C156" s="52" t="s">
        <v>372</v>
      </c>
      <c r="D156" s="37" t="s">
        <v>373</v>
      </c>
      <c r="E156" s="10">
        <f>Source!BZ42</f>
        <v>90</v>
      </c>
      <c r="F156" s="54"/>
      <c r="G156" s="39"/>
      <c r="H156" s="38">
        <f>SUM(S150:S158)</f>
        <v>468.17</v>
      </c>
      <c r="I156" s="41"/>
      <c r="J156" s="36">
        <f>Source!AT42</f>
        <v>90</v>
      </c>
      <c r="K156" s="38">
        <f>SUM(T150:T158)</f>
        <v>17490.72</v>
      </c>
      <c r="L156" s="40"/>
    </row>
    <row r="157" spans="1:26" ht="14.25" x14ac:dyDescent="0.2">
      <c r="A157" s="52"/>
      <c r="B157" s="52"/>
      <c r="C157" s="52" t="s">
        <v>374</v>
      </c>
      <c r="D157" s="37" t="s">
        <v>373</v>
      </c>
      <c r="E157" s="10">
        <f>Source!CA42</f>
        <v>46</v>
      </c>
      <c r="F157" s="54"/>
      <c r="G157" s="39"/>
      <c r="H157" s="38">
        <f>SUM(U150:U158)</f>
        <v>239.29</v>
      </c>
      <c r="I157" s="41"/>
      <c r="J157" s="36">
        <f>Source!AU42</f>
        <v>46</v>
      </c>
      <c r="K157" s="38">
        <f>SUM(V150:V158)</f>
        <v>8939.7000000000007</v>
      </c>
      <c r="L157" s="40"/>
    </row>
    <row r="158" spans="1:26" ht="14.25" x14ac:dyDescent="0.2">
      <c r="A158" s="53"/>
      <c r="B158" s="53"/>
      <c r="C158" s="53" t="s">
        <v>375</v>
      </c>
      <c r="D158" s="42" t="s">
        <v>376</v>
      </c>
      <c r="E158" s="43">
        <f>Source!AQ42</f>
        <v>63.22</v>
      </c>
      <c r="F158" s="44"/>
      <c r="G158" s="45" t="str">
        <f>Source!DI42</f>
        <v/>
      </c>
      <c r="H158" s="44"/>
      <c r="I158" s="45"/>
      <c r="J158" s="45"/>
      <c r="K158" s="44"/>
      <c r="L158" s="46">
        <f>Source!U42</f>
        <v>60.691199999999995</v>
      </c>
    </row>
    <row r="159" spans="1:26" ht="15" x14ac:dyDescent="0.25">
      <c r="G159" s="71">
        <f>H152+H153+H155+H156+H157</f>
        <v>1325.3600000000001</v>
      </c>
      <c r="H159" s="71"/>
      <c r="J159" s="71">
        <f>K152+K153+K155+K156+K157</f>
        <v>46642.06</v>
      </c>
      <c r="K159" s="71"/>
      <c r="L159" s="47">
        <f>Source!U42</f>
        <v>60.691199999999995</v>
      </c>
      <c r="O159" s="31">
        <f>G159</f>
        <v>1325.3600000000001</v>
      </c>
      <c r="P159" s="31">
        <f>J159</f>
        <v>46642.06</v>
      </c>
      <c r="Q159" s="31">
        <f>L159</f>
        <v>60.691199999999995</v>
      </c>
      <c r="W159">
        <f>IF(Source!BI42&lt;=1,H152+H153+H155+H156+H157, 0)</f>
        <v>1325.3600000000001</v>
      </c>
      <c r="X159">
        <f>IF(Source!BI42=2,H152+H153+H155+H156+H157, 0)</f>
        <v>0</v>
      </c>
      <c r="Y159">
        <f>IF(Source!BI42=3,H152+H153+H155+H156+H157, 0)</f>
        <v>0</v>
      </c>
      <c r="Z159">
        <f>IF(Source!BI42=4,H152+H153+H155+H156+H157, 0)</f>
        <v>0</v>
      </c>
    </row>
    <row r="160" spans="1:26" ht="42.75" x14ac:dyDescent="0.2">
      <c r="A160" s="53">
        <v>19</v>
      </c>
      <c r="B160" s="53" t="str">
        <f>Source!F43</f>
        <v>Цена Поставщика</v>
      </c>
      <c r="C160" s="53" t="s">
        <v>384</v>
      </c>
      <c r="D160" s="42" t="str">
        <f>Source!H43</f>
        <v>т</v>
      </c>
      <c r="E160" s="43">
        <f>Source!I43</f>
        <v>0.48220000000000002</v>
      </c>
      <c r="F160" s="44">
        <f>Source!AL43</f>
        <v>12104.05</v>
      </c>
      <c r="G160" s="45" t="str">
        <f>Source!DD43</f>
        <v/>
      </c>
      <c r="H160" s="44">
        <f>ROUND(Source!AC43*Source!I43, 2)</f>
        <v>5836.57</v>
      </c>
      <c r="I160" s="45" t="str">
        <f>Source!BO43</f>
        <v/>
      </c>
      <c r="J160" s="45">
        <f>IF(Source!BC43&lt;&gt; 0, Source!BC43, 1)</f>
        <v>8.31</v>
      </c>
      <c r="K160" s="44">
        <f>Source!P43</f>
        <v>48501.919999999998</v>
      </c>
      <c r="L160" s="49"/>
      <c r="S160">
        <f>ROUND((Source!FX43/100)*((ROUND(Source!AF43*Source!I43, 2)+ROUND(Source!AE43*Source!I43, 2))), 2)</f>
        <v>0</v>
      </c>
      <c r="T160">
        <f>Source!X43</f>
        <v>0</v>
      </c>
      <c r="U160">
        <f>ROUND((Source!FY43/100)*((ROUND(Source!AF43*Source!I43, 2)+ROUND(Source!AE43*Source!I43, 2))), 2)</f>
        <v>0</v>
      </c>
      <c r="V160">
        <f>Source!Y43</f>
        <v>0</v>
      </c>
    </row>
    <row r="161" spans="1:32" ht="15" x14ac:dyDescent="0.25">
      <c r="G161" s="71">
        <f>H160</f>
        <v>5836.57</v>
      </c>
      <c r="H161" s="71"/>
      <c r="J161" s="71">
        <f>K160</f>
        <v>48501.919999999998</v>
      </c>
      <c r="K161" s="71"/>
      <c r="L161" s="47">
        <f>Source!U43</f>
        <v>0</v>
      </c>
      <c r="O161" s="31">
        <f>G161</f>
        <v>5836.57</v>
      </c>
      <c r="P161" s="31">
        <f>J161</f>
        <v>48501.919999999998</v>
      </c>
      <c r="Q161" s="31">
        <f>L161</f>
        <v>0</v>
      </c>
      <c r="W161">
        <f>IF(Source!BI43&lt;=1,H160, 0)</f>
        <v>5836.57</v>
      </c>
      <c r="X161">
        <f>IF(Source!BI43=2,H160, 0)</f>
        <v>0</v>
      </c>
      <c r="Y161">
        <f>IF(Source!BI43=3,H160, 0)</f>
        <v>0</v>
      </c>
      <c r="Z161">
        <f>IF(Source!BI43=4,H160, 0)</f>
        <v>0</v>
      </c>
    </row>
    <row r="162" spans="1:32" ht="42.75" x14ac:dyDescent="0.2">
      <c r="A162" s="53">
        <v>20</v>
      </c>
      <c r="B162" s="53" t="str">
        <f>Source!F44</f>
        <v>т01-01-01-041</v>
      </c>
      <c r="C162" s="53" t="str">
        <f>Source!G44</f>
        <v>Погрузка при автомобильных перевозках мусора строительного с погрузкой вручную</v>
      </c>
      <c r="D162" s="42" t="str">
        <f>Source!H44</f>
        <v>1 т груза</v>
      </c>
      <c r="E162" s="43">
        <f>Source!I44</f>
        <v>1.1832</v>
      </c>
      <c r="F162" s="44">
        <f>Source!AK44</f>
        <v>42.98</v>
      </c>
      <c r="G162" s="45" t="str">
        <f>Source!DC44</f>
        <v/>
      </c>
      <c r="H162" s="44">
        <f>ROUND(Source!AB44*Source!I44, 2)</f>
        <v>50.85</v>
      </c>
      <c r="I162" s="45" t="str">
        <f>Source!BO44</f>
        <v/>
      </c>
      <c r="J162" s="45">
        <f>Source!AZ44</f>
        <v>13.41</v>
      </c>
      <c r="K162" s="44">
        <f>Source!GM44</f>
        <v>681.95</v>
      </c>
      <c r="L162" s="49"/>
      <c r="S162">
        <f>ROUND((Source!FX44/100)*((ROUND(0*Source!I44, 2)+ROUND(0*Source!I44, 2))), 2)</f>
        <v>0</v>
      </c>
      <c r="T162">
        <f>Source!X44</f>
        <v>0</v>
      </c>
      <c r="U162">
        <f>ROUND((Source!FY44/100)*((ROUND(0*Source!I44, 2)+ROUND(0*Source!I44, 2))), 2)</f>
        <v>0</v>
      </c>
      <c r="V162">
        <f>Source!Y44</f>
        <v>0</v>
      </c>
    </row>
    <row r="163" spans="1:32" ht="15" x14ac:dyDescent="0.25">
      <c r="G163" s="71">
        <f>H162</f>
        <v>50.85</v>
      </c>
      <c r="H163" s="71"/>
      <c r="J163" s="71">
        <f>K162</f>
        <v>681.95</v>
      </c>
      <c r="K163" s="71"/>
      <c r="L163" s="47">
        <f>Source!U44</f>
        <v>0</v>
      </c>
      <c r="O163" s="31">
        <f>G163</f>
        <v>50.85</v>
      </c>
      <c r="P163" s="31">
        <f>J163</f>
        <v>681.95</v>
      </c>
      <c r="Q163" s="31">
        <f>L163</f>
        <v>0</v>
      </c>
      <c r="W163">
        <f>IF(Source!BI44&lt;=1,H162, 0)</f>
        <v>50.85</v>
      </c>
      <c r="X163">
        <f>IF(Source!BI44=2,H162, 0)</f>
        <v>0</v>
      </c>
      <c r="Y163">
        <f>IF(Source!BI44=3,H162, 0)</f>
        <v>0</v>
      </c>
      <c r="Z163">
        <f>IF(Source!BI44=4,H162, 0)</f>
        <v>0</v>
      </c>
    </row>
    <row r="164" spans="1:32" ht="57" x14ac:dyDescent="0.2">
      <c r="A164" s="53">
        <v>21</v>
      </c>
      <c r="B164" s="53" t="str">
        <f>Source!F45</f>
        <v>т01-01-01-043</v>
      </c>
      <c r="C164" s="53" t="str">
        <f>Source!G45</f>
        <v>Погрузка при автомобильных перевозках мусора строительного с погрузкой экскаваторами емкостью ковша до 0,5 м3</v>
      </c>
      <c r="D164" s="42" t="str">
        <f>Source!H45</f>
        <v>1 т груза</v>
      </c>
      <c r="E164" s="43">
        <f>Source!I45</f>
        <v>10.6488</v>
      </c>
      <c r="F164" s="44">
        <f>Source!AK45</f>
        <v>3.28</v>
      </c>
      <c r="G164" s="45" t="str">
        <f>Source!DC45</f>
        <v/>
      </c>
      <c r="H164" s="44">
        <f>ROUND(Source!AB45*Source!I45, 2)</f>
        <v>34.93</v>
      </c>
      <c r="I164" s="45" t="str">
        <f>Source!BO45</f>
        <v/>
      </c>
      <c r="J164" s="45">
        <f>Source!AZ45</f>
        <v>13.41</v>
      </c>
      <c r="K164" s="44">
        <f>Source!GM45</f>
        <v>468.39</v>
      </c>
      <c r="L164" s="49"/>
      <c r="S164">
        <f>ROUND((Source!FX45/100)*((ROUND(0*Source!I45, 2)+ROUND(0*Source!I45, 2))), 2)</f>
        <v>0</v>
      </c>
      <c r="T164">
        <f>Source!X45</f>
        <v>0</v>
      </c>
      <c r="U164">
        <f>ROUND((Source!FY45/100)*((ROUND(0*Source!I45, 2)+ROUND(0*Source!I45, 2))), 2)</f>
        <v>0</v>
      </c>
      <c r="V164">
        <f>Source!Y45</f>
        <v>0</v>
      </c>
    </row>
    <row r="165" spans="1:32" ht="15" x14ac:dyDescent="0.25">
      <c r="G165" s="71">
        <f>H164</f>
        <v>34.93</v>
      </c>
      <c r="H165" s="71"/>
      <c r="J165" s="71">
        <f>K164</f>
        <v>468.39</v>
      </c>
      <c r="K165" s="71"/>
      <c r="L165" s="47">
        <f>Source!U45</f>
        <v>0</v>
      </c>
      <c r="O165" s="31">
        <f>G165</f>
        <v>34.93</v>
      </c>
      <c r="P165" s="31">
        <f>J165</f>
        <v>468.39</v>
      </c>
      <c r="Q165" s="31">
        <f>L165</f>
        <v>0</v>
      </c>
      <c r="W165">
        <f>IF(Source!BI45&lt;=1,H164, 0)</f>
        <v>34.93</v>
      </c>
      <c r="X165">
        <f>IF(Source!BI45=2,H164, 0)</f>
        <v>0</v>
      </c>
      <c r="Y165">
        <f>IF(Source!BI45=3,H164, 0)</f>
        <v>0</v>
      </c>
      <c r="Z165">
        <f>IF(Source!BI45=4,H164, 0)</f>
        <v>0</v>
      </c>
    </row>
    <row r="166" spans="1:32" ht="57" x14ac:dyDescent="0.2">
      <c r="A166" s="52">
        <v>22</v>
      </c>
      <c r="B166" s="52" t="str">
        <f>Source!F46</f>
        <v>т03-21-01-002</v>
      </c>
      <c r="C166" s="52" t="str">
        <f>Source!G46</f>
        <v>Перевозка грузов I класса автомобилями-самосвалами грузоподъемностью 10 т работающих вне карьера на расстояние до 2 км</v>
      </c>
      <c r="D166" s="37" t="str">
        <f>Source!H46</f>
        <v>1 т груза</v>
      </c>
      <c r="E166" s="10">
        <f>Source!I46</f>
        <v>11.832000000000001</v>
      </c>
      <c r="F166" s="38">
        <f>Source!AK46</f>
        <v>3.86</v>
      </c>
      <c r="G166" s="39" t="str">
        <f>Source!DC46</f>
        <v/>
      </c>
      <c r="H166" s="38">
        <f>ROUND(Source!AB46*Source!I46, 2)</f>
        <v>45.67</v>
      </c>
      <c r="I166" s="39" t="str">
        <f>Source!BO46</f>
        <v/>
      </c>
      <c r="J166" s="39">
        <f>Source!AZ46</f>
        <v>13.41</v>
      </c>
      <c r="K166" s="38">
        <f>Source!GM46</f>
        <v>612.46</v>
      </c>
      <c r="L166" s="40"/>
      <c r="S166">
        <f>ROUND((Source!FX46/100)*((ROUND(0*Source!I46, 2)+ROUND(0*Source!I46, 2))), 2)</f>
        <v>0</v>
      </c>
      <c r="T166">
        <f>Source!X46</f>
        <v>0</v>
      </c>
      <c r="U166">
        <f>ROUND((Source!FY46/100)*((ROUND(0*Source!I46, 2)+ROUND(0*Source!I46, 2))), 2)</f>
        <v>0</v>
      </c>
      <c r="V166">
        <f>Source!Y46</f>
        <v>0</v>
      </c>
    </row>
    <row r="167" spans="1:32" x14ac:dyDescent="0.2">
      <c r="A167" s="33"/>
      <c r="B167" s="33"/>
      <c r="C167" s="34" t="str">
        <f>"Объем: "&amp;Source!I46&amp;"="&amp;Source!I45&amp;"+"&amp;""&amp;Source!I44&amp;""</f>
        <v>Объем: 11,832=10,6488+1,1832</v>
      </c>
      <c r="D167" s="33"/>
      <c r="E167" s="33"/>
      <c r="F167" s="33"/>
      <c r="G167" s="33"/>
      <c r="H167" s="33"/>
      <c r="I167" s="33"/>
      <c r="J167" s="33"/>
      <c r="K167" s="33"/>
      <c r="L167" s="33"/>
    </row>
    <row r="168" spans="1:32" ht="15" x14ac:dyDescent="0.25">
      <c r="G168" s="71">
        <f>H166</f>
        <v>45.67</v>
      </c>
      <c r="H168" s="71"/>
      <c r="J168" s="71">
        <f>K166</f>
        <v>612.46</v>
      </c>
      <c r="K168" s="71"/>
      <c r="L168" s="47">
        <f>Source!U46</f>
        <v>0</v>
      </c>
      <c r="O168" s="31">
        <f>G168</f>
        <v>45.67</v>
      </c>
      <c r="P168" s="31">
        <f>J168</f>
        <v>612.46</v>
      </c>
      <c r="Q168" s="31">
        <f>L168</f>
        <v>0</v>
      </c>
      <c r="W168">
        <f>IF(Source!BI46&lt;=1,H166, 0)</f>
        <v>45.67</v>
      </c>
      <c r="X168">
        <f>IF(Source!BI46=2,H166, 0)</f>
        <v>0</v>
      </c>
      <c r="Y168">
        <f>IF(Source!BI46=3,H166, 0)</f>
        <v>0</v>
      </c>
      <c r="Z168">
        <f>IF(Source!BI46=4,H166, 0)</f>
        <v>0</v>
      </c>
    </row>
    <row r="170" spans="1:32" ht="15" x14ac:dyDescent="0.25">
      <c r="A170" s="72" t="str">
        <f>CONCATENATE("Итого по локальной смете: ",IF(Source!G48&lt;&gt;"Новая локальная смета", Source!G48, ""))</f>
        <v xml:space="preserve">Итого по локальной смете: </v>
      </c>
      <c r="B170" s="72"/>
      <c r="C170" s="72"/>
      <c r="D170" s="72"/>
      <c r="E170" s="72"/>
      <c r="F170" s="72"/>
      <c r="G170" s="73">
        <f>SUM(O38:O169)</f>
        <v>168750.36000000002</v>
      </c>
      <c r="H170" s="73"/>
      <c r="I170" s="35"/>
      <c r="J170" s="73">
        <f>SUM(P38:P169)</f>
        <v>2346635.5499999998</v>
      </c>
      <c r="K170" s="73"/>
      <c r="L170" s="47">
        <f>SUM(Q38:Q169)</f>
        <v>1349.61204</v>
      </c>
    </row>
    <row r="174" spans="1:32" ht="15" x14ac:dyDescent="0.25">
      <c r="A174" s="72" t="str">
        <f>CONCATENATE("Итого по смете: ",IF(Source!G78&lt;&gt;"Новый объект", Source!G78, ""))</f>
        <v>Итого по смете: Ремонт кровли здания компрессорной Инв. № ОС00001042</v>
      </c>
      <c r="B174" s="72"/>
      <c r="C174" s="72"/>
      <c r="D174" s="72"/>
      <c r="E174" s="72"/>
      <c r="F174" s="72"/>
      <c r="G174" s="73">
        <f>SUM(O4:O173)</f>
        <v>168750.36000000002</v>
      </c>
      <c r="H174" s="73"/>
      <c r="I174" s="35"/>
      <c r="J174" s="73">
        <f>SUM(P4:P173)</f>
        <v>2346635.5499999998</v>
      </c>
      <c r="K174" s="73"/>
      <c r="L174" s="47">
        <f>SUM(Q4:Q173)</f>
        <v>1349.61204</v>
      </c>
      <c r="AF174" s="55" t="str">
        <f>CONCATENATE("Итого по смете: ",IF(Source!G78&lt;&gt;"Новый объект", Source!G78, ""))</f>
        <v>Итого по смете: Ремонт кровли здания компрессорной Инв. № ОС00001042</v>
      </c>
    </row>
    <row r="176" spans="1:32" ht="14.25" x14ac:dyDescent="0.2">
      <c r="C176" s="62" t="str">
        <f>Source!H80</f>
        <v>Прямые затраты</v>
      </c>
      <c r="D176" s="62"/>
      <c r="E176" s="62"/>
      <c r="F176" s="62"/>
      <c r="G176" s="62"/>
      <c r="H176" s="62"/>
      <c r="I176" s="62"/>
      <c r="J176" s="68">
        <f>IF(Source!F80=0, "", Source!F80)</f>
        <v>1640382.33</v>
      </c>
      <c r="K176" s="68"/>
    </row>
    <row r="177" spans="3:11" ht="14.25" x14ac:dyDescent="0.2">
      <c r="C177" s="62" t="str">
        <f>Source!H81</f>
        <v>Стоимость материальных ресурсов (всего)</v>
      </c>
      <c r="D177" s="62"/>
      <c r="E177" s="62"/>
      <c r="F177" s="62"/>
      <c r="G177" s="62"/>
      <c r="H177" s="62"/>
      <c r="I177" s="62"/>
      <c r="J177" s="68">
        <f>IF(Source!F81=0, "", Source!F81)</f>
        <v>1114654.02</v>
      </c>
      <c r="K177" s="68"/>
    </row>
    <row r="178" spans="3:11" ht="14.25" x14ac:dyDescent="0.2">
      <c r="C178" s="62" t="str">
        <f>Source!H83</f>
        <v>Стоимость материалов и оборудования подрядчика</v>
      </c>
      <c r="D178" s="62"/>
      <c r="E178" s="62"/>
      <c r="F178" s="62"/>
      <c r="G178" s="62"/>
      <c r="H178" s="62"/>
      <c r="I178" s="62"/>
      <c r="J178" s="68">
        <f>IF(Source!F83=0, "", Source!F83)</f>
        <v>1114654.02</v>
      </c>
      <c r="K178" s="68"/>
    </row>
    <row r="179" spans="3:11" ht="14.25" x14ac:dyDescent="0.2">
      <c r="C179" s="62" t="str">
        <f>Source!H84</f>
        <v>Стоимость материалов (всего)</v>
      </c>
      <c r="D179" s="62"/>
      <c r="E179" s="62"/>
      <c r="F179" s="62"/>
      <c r="G179" s="62"/>
      <c r="H179" s="62"/>
      <c r="I179" s="62"/>
      <c r="J179" s="68">
        <f>IF(Source!F84=0, "", Source!F84)</f>
        <v>1114654.02</v>
      </c>
      <c r="K179" s="68"/>
    </row>
    <row r="180" spans="3:11" ht="14.25" x14ac:dyDescent="0.2">
      <c r="C180" s="62" t="str">
        <f>Source!H86</f>
        <v>Стоимость материалов подрядчика</v>
      </c>
      <c r="D180" s="62"/>
      <c r="E180" s="62"/>
      <c r="F180" s="62"/>
      <c r="G180" s="62"/>
      <c r="H180" s="62"/>
      <c r="I180" s="62"/>
      <c r="J180" s="68">
        <f>IF(Source!F86=0, "", Source!F86)</f>
        <v>1114654.02</v>
      </c>
      <c r="K180" s="68"/>
    </row>
    <row r="181" spans="3:11" ht="14.25" x14ac:dyDescent="0.2">
      <c r="C181" s="62" t="str">
        <f>Source!H90</f>
        <v>Эксплуатация машин</v>
      </c>
      <c r="D181" s="62"/>
      <c r="E181" s="62"/>
      <c r="F181" s="62"/>
      <c r="G181" s="62"/>
      <c r="H181" s="62"/>
      <c r="I181" s="62"/>
      <c r="J181" s="68">
        <f>IF(Source!F90=0, "", Source!F90)</f>
        <v>31174.75</v>
      </c>
      <c r="K181" s="68"/>
    </row>
    <row r="182" spans="3:11" ht="14.25" x14ac:dyDescent="0.2">
      <c r="C182" s="62" t="str">
        <f>Source!H92</f>
        <v>ЗП машинистов</v>
      </c>
      <c r="D182" s="62"/>
      <c r="E182" s="62"/>
      <c r="F182" s="62"/>
      <c r="G182" s="62"/>
      <c r="H182" s="62"/>
      <c r="I182" s="62"/>
      <c r="J182" s="68">
        <f>IF(Source!F92=0, "", Source!F92)</f>
        <v>4699.66</v>
      </c>
      <c r="K182" s="68"/>
    </row>
    <row r="183" spans="3:11" ht="14.25" x14ac:dyDescent="0.2">
      <c r="C183" s="62" t="str">
        <f>Source!H93</f>
        <v>Основная ЗП рабочих</v>
      </c>
      <c r="D183" s="62"/>
      <c r="E183" s="62"/>
      <c r="F183" s="62"/>
      <c r="G183" s="62"/>
      <c r="H183" s="62"/>
      <c r="I183" s="62"/>
      <c r="J183" s="68">
        <f>IF(Source!F93=0, "", Source!F93)</f>
        <v>494553.56</v>
      </c>
      <c r="K183" s="68"/>
    </row>
    <row r="184" spans="3:11" ht="14.25" x14ac:dyDescent="0.2">
      <c r="C184" s="62" t="str">
        <f>Source!H95</f>
        <v>Строительные работы с НР и СП</v>
      </c>
      <c r="D184" s="62"/>
      <c r="E184" s="62"/>
      <c r="F184" s="62"/>
      <c r="G184" s="62"/>
      <c r="H184" s="62"/>
      <c r="I184" s="62"/>
      <c r="J184" s="68">
        <f>IF(Source!F95=0, "", Source!F95)</f>
        <v>2346635.5499999998</v>
      </c>
      <c r="K184" s="68"/>
    </row>
    <row r="185" spans="3:11" ht="14.25" x14ac:dyDescent="0.2">
      <c r="C185" s="62" t="str">
        <f>Source!H100</f>
        <v>Трудозатраты строителей</v>
      </c>
      <c r="D185" s="62"/>
      <c r="E185" s="62"/>
      <c r="F185" s="62"/>
      <c r="G185" s="62"/>
      <c r="H185" s="62"/>
      <c r="I185" s="62"/>
      <c r="J185" s="75">
        <f>IF(Source!F100=0, "", Source!F100)</f>
        <v>1349.61204</v>
      </c>
      <c r="K185" s="75"/>
    </row>
    <row r="186" spans="3:11" ht="14.25" x14ac:dyDescent="0.2">
      <c r="C186" s="62" t="str">
        <f>Source!H101</f>
        <v>Трудозатраты машинистов</v>
      </c>
      <c r="D186" s="62"/>
      <c r="E186" s="62"/>
      <c r="F186" s="62"/>
      <c r="G186" s="62"/>
      <c r="H186" s="62"/>
      <c r="I186" s="62"/>
      <c r="J186" s="75">
        <f>IF(Source!F101=0, "", Source!F101)</f>
        <v>10.51332</v>
      </c>
      <c r="K186" s="75"/>
    </row>
    <row r="187" spans="3:11" ht="14.25" x14ac:dyDescent="0.2">
      <c r="C187" s="62" t="str">
        <f>Source!H103</f>
        <v>Перевозка грузов</v>
      </c>
      <c r="D187" s="62"/>
      <c r="E187" s="62"/>
      <c r="F187" s="62"/>
      <c r="G187" s="62"/>
      <c r="H187" s="62"/>
      <c r="I187" s="62"/>
      <c r="J187" s="68">
        <f>IF(Source!F103=0, "", Source!F103)</f>
        <v>1762.8</v>
      </c>
      <c r="K187" s="68"/>
    </row>
    <row r="188" spans="3:11" ht="14.25" x14ac:dyDescent="0.2">
      <c r="C188" s="62" t="str">
        <f>Source!H104</f>
        <v>Накладные расходы</v>
      </c>
      <c r="D188" s="62"/>
      <c r="E188" s="62"/>
      <c r="F188" s="62"/>
      <c r="G188" s="62"/>
      <c r="H188" s="62"/>
      <c r="I188" s="62"/>
      <c r="J188" s="68">
        <f>IF(Source!F104=0, "", Source!F104)</f>
        <v>470501.23</v>
      </c>
      <c r="K188" s="68"/>
    </row>
    <row r="189" spans="3:11" ht="14.25" x14ac:dyDescent="0.2">
      <c r="C189" s="62" t="str">
        <f>Source!H105</f>
        <v>Сметная прибыль</v>
      </c>
      <c r="D189" s="62"/>
      <c r="E189" s="62"/>
      <c r="F189" s="62"/>
      <c r="G189" s="62"/>
      <c r="H189" s="62"/>
      <c r="I189" s="62"/>
      <c r="J189" s="68">
        <f>IF(Source!F105=0, "", Source!F105)</f>
        <v>233989.19</v>
      </c>
      <c r="K189" s="68"/>
    </row>
    <row r="190" spans="3:11" ht="14.25" x14ac:dyDescent="0.2">
      <c r="C190" s="62" t="str">
        <f>Source!H106</f>
        <v>Всего с НР и СП</v>
      </c>
      <c r="D190" s="62"/>
      <c r="E190" s="62"/>
      <c r="F190" s="62"/>
      <c r="G190" s="62"/>
      <c r="H190" s="62"/>
      <c r="I190" s="62"/>
      <c r="J190" s="68">
        <f>IF(Source!F106=0, "", Source!F106)</f>
        <v>2346635.5499999998</v>
      </c>
      <c r="K190" s="68"/>
    </row>
    <row r="191" spans="3:11" ht="14.25" x14ac:dyDescent="0.2">
      <c r="C191" s="62" t="str">
        <f>Source!H107</f>
        <v>НДС 20%</v>
      </c>
      <c r="D191" s="62"/>
      <c r="E191" s="62"/>
      <c r="F191" s="62"/>
      <c r="G191" s="62"/>
      <c r="H191" s="62"/>
      <c r="I191" s="62"/>
      <c r="J191" s="68">
        <f>IF(Source!F107=0, "", Source!F107)</f>
        <v>469327.11</v>
      </c>
      <c r="K191" s="68"/>
    </row>
    <row r="192" spans="3:11" ht="14.25" x14ac:dyDescent="0.2">
      <c r="C192" s="62" t="str">
        <f>Source!H108</f>
        <v>Всего с НДС 20%</v>
      </c>
      <c r="D192" s="62"/>
      <c r="E192" s="62"/>
      <c r="F192" s="62"/>
      <c r="G192" s="62"/>
      <c r="H192" s="62"/>
      <c r="I192" s="62"/>
      <c r="J192" s="68">
        <f>IF(Source!F108=0, "", Source!F108)</f>
        <v>2815962.66</v>
      </c>
      <c r="K192" s="68"/>
    </row>
  </sheetData>
  <mergeCells count="117">
    <mergeCell ref="I2:K2"/>
    <mergeCell ref="G174:H174"/>
    <mergeCell ref="J174:K174"/>
    <mergeCell ref="J170:K170"/>
    <mergeCell ref="A170:F170"/>
    <mergeCell ref="G123:H123"/>
    <mergeCell ref="J120:K120"/>
    <mergeCell ref="G120:H120"/>
    <mergeCell ref="J117:K117"/>
    <mergeCell ref="G117:H117"/>
    <mergeCell ref="J161:K161"/>
    <mergeCell ref="J168:K168"/>
    <mergeCell ref="G168:H168"/>
    <mergeCell ref="J165:K165"/>
    <mergeCell ref="G165:H165"/>
    <mergeCell ref="J163:K163"/>
    <mergeCell ref="G163:H163"/>
    <mergeCell ref="C191:I191"/>
    <mergeCell ref="J191:K191"/>
    <mergeCell ref="C192:I192"/>
    <mergeCell ref="J192:K192"/>
    <mergeCell ref="J107:K107"/>
    <mergeCell ref="G107:H107"/>
    <mergeCell ref="J133:K133"/>
    <mergeCell ref="G133:H133"/>
    <mergeCell ref="F131:G131"/>
    <mergeCell ref="J123:K123"/>
    <mergeCell ref="C188:I188"/>
    <mergeCell ref="J188:K188"/>
    <mergeCell ref="C189:I189"/>
    <mergeCell ref="J189:K189"/>
    <mergeCell ref="C190:I190"/>
    <mergeCell ref="J190:K190"/>
    <mergeCell ref="C185:I185"/>
    <mergeCell ref="J185:K185"/>
    <mergeCell ref="C186:I186"/>
    <mergeCell ref="F115:G115"/>
    <mergeCell ref="G161:H161"/>
    <mergeCell ref="J159:K159"/>
    <mergeCell ref="G159:H159"/>
    <mergeCell ref="J149:K149"/>
    <mergeCell ref="J186:K186"/>
    <mergeCell ref="C187:I187"/>
    <mergeCell ref="J187:K187"/>
    <mergeCell ref="C182:I182"/>
    <mergeCell ref="J182:K182"/>
    <mergeCell ref="C183:I183"/>
    <mergeCell ref="J183:K183"/>
    <mergeCell ref="C184:I184"/>
    <mergeCell ref="J184:K184"/>
    <mergeCell ref="C180:I180"/>
    <mergeCell ref="J180:K180"/>
    <mergeCell ref="C181:I181"/>
    <mergeCell ref="J181:K181"/>
    <mergeCell ref="A35:L35"/>
    <mergeCell ref="C176:I176"/>
    <mergeCell ref="J176:K176"/>
    <mergeCell ref="C177:I177"/>
    <mergeCell ref="J177:K177"/>
    <mergeCell ref="C178:I178"/>
    <mergeCell ref="J178:K178"/>
    <mergeCell ref="J105:K105"/>
    <mergeCell ref="G105:H105"/>
    <mergeCell ref="F102:G102"/>
    <mergeCell ref="G94:H94"/>
    <mergeCell ref="J85:K85"/>
    <mergeCell ref="G85:H85"/>
    <mergeCell ref="J83:K83"/>
    <mergeCell ref="G83:H83"/>
    <mergeCell ref="G149:H149"/>
    <mergeCell ref="J139:K139"/>
    <mergeCell ref="G139:H139"/>
    <mergeCell ref="J136:K136"/>
    <mergeCell ref="G136:H136"/>
    <mergeCell ref="C29:F29"/>
    <mergeCell ref="G29:H29"/>
    <mergeCell ref="I29:J29"/>
    <mergeCell ref="K29:L29"/>
    <mergeCell ref="C30:F30"/>
    <mergeCell ref="G30:H30"/>
    <mergeCell ref="I30:J30"/>
    <mergeCell ref="C179:I179"/>
    <mergeCell ref="J179:K179"/>
    <mergeCell ref="J62:K62"/>
    <mergeCell ref="G62:H62"/>
    <mergeCell ref="J53:K53"/>
    <mergeCell ref="G53:H53"/>
    <mergeCell ref="J44:K44"/>
    <mergeCell ref="G44:H44"/>
    <mergeCell ref="F81:G81"/>
    <mergeCell ref="J74:K74"/>
    <mergeCell ref="G74:H74"/>
    <mergeCell ref="F72:G72"/>
    <mergeCell ref="J64:K64"/>
    <mergeCell ref="G64:H64"/>
    <mergeCell ref="J94:K94"/>
    <mergeCell ref="A174:F174"/>
    <mergeCell ref="G170:H170"/>
    <mergeCell ref="B23:K23"/>
    <mergeCell ref="A25:L25"/>
    <mergeCell ref="G28:H28"/>
    <mergeCell ref="I28:J28"/>
    <mergeCell ref="B10:E10"/>
    <mergeCell ref="H10:L10"/>
    <mergeCell ref="B13:K13"/>
    <mergeCell ref="B14:K14"/>
    <mergeCell ref="F16:G16"/>
    <mergeCell ref="H16:K16"/>
    <mergeCell ref="B6:E6"/>
    <mergeCell ref="H6:L6"/>
    <mergeCell ref="B7:E7"/>
    <mergeCell ref="H7:L7"/>
    <mergeCell ref="B9:E9"/>
    <mergeCell ref="H9:L9"/>
    <mergeCell ref="B18:K18"/>
    <mergeCell ref="B20:K20"/>
    <mergeCell ref="B22:K22"/>
  </mergeCells>
  <pageMargins left="0.4" right="0.2" top="0.2" bottom="0.4" header="0.2" footer="0.2"/>
  <pageSetup paperSize="9" scale="59" fitToHeight="0" orientation="portrait" horizontalDpi="4294967292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145"/>
  <sheetViews>
    <sheetView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31883</v>
      </c>
      <c r="M1">
        <v>18266318</v>
      </c>
      <c r="N1">
        <v>11</v>
      </c>
      <c r="O1">
        <v>6</v>
      </c>
      <c r="P1">
        <v>5</v>
      </c>
      <c r="Q1">
        <v>6</v>
      </c>
    </row>
    <row r="4" spans="1:133" x14ac:dyDescent="0.2">
      <c r="A4" s="1">
        <v>8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140</v>
      </c>
      <c r="C12" s="1">
        <v>0</v>
      </c>
      <c r="D12" s="1">
        <f>ROW(A78)</f>
        <v>78</v>
      </c>
      <c r="E12" s="1">
        <v>0</v>
      </c>
      <c r="F12" s="1" t="s">
        <v>5</v>
      </c>
      <c r="G12" s="1" t="s">
        <v>385</v>
      </c>
      <c r="H12" s="1" t="s">
        <v>3</v>
      </c>
      <c r="I12" s="1">
        <v>0</v>
      </c>
      <c r="J12" s="1" t="s">
        <v>7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17301512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345</v>
      </c>
      <c r="CR12" s="1" t="s">
        <v>14</v>
      </c>
      <c r="CS12" s="1">
        <v>44551</v>
      </c>
      <c r="CT12" s="1">
        <v>395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B78</f>
        <v>140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Ремонт кровли здания компрессорной Инв. № ОС00001042</v>
      </c>
      <c r="H18" s="2"/>
      <c r="I18" s="2"/>
      <c r="J18" s="2"/>
      <c r="K18" s="2"/>
      <c r="L18" s="2"/>
      <c r="M18" s="2"/>
      <c r="N18" s="2"/>
      <c r="O18" s="2">
        <f t="shared" ref="O18:AT18" si="1">O78</f>
        <v>1640382.33</v>
      </c>
      <c r="P18" s="2">
        <f t="shared" si="1"/>
        <v>1114654.02</v>
      </c>
      <c r="Q18" s="2">
        <f t="shared" si="1"/>
        <v>31174.75</v>
      </c>
      <c r="R18" s="2">
        <f t="shared" si="1"/>
        <v>4699.66</v>
      </c>
      <c r="S18" s="2">
        <f t="shared" si="1"/>
        <v>494553.56</v>
      </c>
      <c r="T18" s="2">
        <f t="shared" si="1"/>
        <v>0</v>
      </c>
      <c r="U18" s="2">
        <f t="shared" si="1"/>
        <v>1349.61204</v>
      </c>
      <c r="V18" s="2">
        <f t="shared" si="1"/>
        <v>10.51332</v>
      </c>
      <c r="W18" s="2">
        <f t="shared" si="1"/>
        <v>0</v>
      </c>
      <c r="X18" s="2">
        <f t="shared" si="1"/>
        <v>470501.23</v>
      </c>
      <c r="Y18" s="2">
        <f t="shared" si="1"/>
        <v>233989.19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2346635.5499999998</v>
      </c>
      <c r="AS18" s="2">
        <f t="shared" si="1"/>
        <v>2346635.5499999998</v>
      </c>
      <c r="AT18" s="2">
        <f t="shared" si="1"/>
        <v>0</v>
      </c>
      <c r="AU18" s="2">
        <f t="shared" ref="AU18:BZ18" si="2">AU78</f>
        <v>0</v>
      </c>
      <c r="AV18" s="2">
        <f t="shared" si="2"/>
        <v>1114654.02</v>
      </c>
      <c r="AW18" s="2">
        <f t="shared" si="2"/>
        <v>1114654.02</v>
      </c>
      <c r="AX18" s="2">
        <f t="shared" si="2"/>
        <v>0</v>
      </c>
      <c r="AY18" s="2">
        <f t="shared" si="2"/>
        <v>1114654.02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1762.8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ROW(A48)</f>
        <v>48</v>
      </c>
      <c r="E20" s="1"/>
      <c r="F20" s="1" t="s">
        <v>15</v>
      </c>
      <c r="G20" s="1" t="s">
        <v>15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B48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O48</f>
        <v>1640382.33</v>
      </c>
      <c r="P22" s="2">
        <f t="shared" si="8"/>
        <v>1114654.02</v>
      </c>
      <c r="Q22" s="2">
        <f t="shared" si="8"/>
        <v>31174.75</v>
      </c>
      <c r="R22" s="2">
        <f t="shared" si="8"/>
        <v>4699.66</v>
      </c>
      <c r="S22" s="2">
        <f t="shared" si="8"/>
        <v>494553.56</v>
      </c>
      <c r="T22" s="2">
        <f t="shared" si="8"/>
        <v>0</v>
      </c>
      <c r="U22" s="2">
        <f t="shared" si="8"/>
        <v>1349.61204</v>
      </c>
      <c r="V22" s="2">
        <f t="shared" si="8"/>
        <v>10.51332</v>
      </c>
      <c r="W22" s="2">
        <f t="shared" si="8"/>
        <v>0</v>
      </c>
      <c r="X22" s="2">
        <f t="shared" si="8"/>
        <v>470501.23</v>
      </c>
      <c r="Y22" s="2">
        <f t="shared" si="8"/>
        <v>233989.19</v>
      </c>
      <c r="Z22" s="2">
        <f t="shared" si="8"/>
        <v>0</v>
      </c>
      <c r="AA22" s="2">
        <f t="shared" si="8"/>
        <v>0</v>
      </c>
      <c r="AB22" s="2">
        <f t="shared" si="8"/>
        <v>1640382.33</v>
      </c>
      <c r="AC22" s="2">
        <f t="shared" si="8"/>
        <v>1114654.02</v>
      </c>
      <c r="AD22" s="2">
        <f t="shared" si="8"/>
        <v>31174.75</v>
      </c>
      <c r="AE22" s="2">
        <f t="shared" si="8"/>
        <v>4699.66</v>
      </c>
      <c r="AF22" s="2">
        <f t="shared" si="8"/>
        <v>494553.56</v>
      </c>
      <c r="AG22" s="2">
        <f t="shared" si="8"/>
        <v>0</v>
      </c>
      <c r="AH22" s="2">
        <f t="shared" si="8"/>
        <v>1349.61204</v>
      </c>
      <c r="AI22" s="2">
        <f t="shared" si="8"/>
        <v>10.51332</v>
      </c>
      <c r="AJ22" s="2">
        <f t="shared" si="8"/>
        <v>0</v>
      </c>
      <c r="AK22" s="2">
        <f t="shared" si="8"/>
        <v>470501.23</v>
      </c>
      <c r="AL22" s="2">
        <f t="shared" si="8"/>
        <v>233989.19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2346635.5499999998</v>
      </c>
      <c r="AS22" s="2">
        <f t="shared" si="8"/>
        <v>2346635.5499999998</v>
      </c>
      <c r="AT22" s="2">
        <f t="shared" si="8"/>
        <v>0</v>
      </c>
      <c r="AU22" s="2">
        <f t="shared" ref="AU22:BZ22" si="9">AU48</f>
        <v>0</v>
      </c>
      <c r="AV22" s="2">
        <f t="shared" si="9"/>
        <v>1114654.02</v>
      </c>
      <c r="AW22" s="2">
        <f t="shared" si="9"/>
        <v>1114654.02</v>
      </c>
      <c r="AX22" s="2">
        <f t="shared" si="9"/>
        <v>0</v>
      </c>
      <c r="AY22" s="2">
        <f t="shared" si="9"/>
        <v>1114654.02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1762.8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CA48</f>
        <v>2346635.5499999998</v>
      </c>
      <c r="CB22" s="2">
        <f t="shared" si="10"/>
        <v>2346635.5499999998</v>
      </c>
      <c r="CC22" s="2">
        <f t="shared" si="10"/>
        <v>0</v>
      </c>
      <c r="CD22" s="2">
        <f t="shared" si="10"/>
        <v>0</v>
      </c>
      <c r="CE22" s="2">
        <f t="shared" si="10"/>
        <v>1114654.02</v>
      </c>
      <c r="CF22" s="2">
        <f t="shared" si="10"/>
        <v>1114654.02</v>
      </c>
      <c r="CG22" s="2">
        <f t="shared" si="10"/>
        <v>0</v>
      </c>
      <c r="CH22" s="2">
        <f t="shared" si="10"/>
        <v>1114654.02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1762.8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17</v>
      </c>
      <c r="B24">
        <v>1</v>
      </c>
      <c r="C24">
        <f>ROW(SmtRes!A2)</f>
        <v>2</v>
      </c>
      <c r="D24">
        <f>ROW(EtalonRes!A2)</f>
        <v>2</v>
      </c>
      <c r="E24" t="s">
        <v>16</v>
      </c>
      <c r="F24" t="s">
        <v>17</v>
      </c>
      <c r="G24" t="s">
        <v>18</v>
      </c>
      <c r="H24" t="s">
        <v>19</v>
      </c>
      <c r="I24">
        <f>ROUND((96+36*0.3)/100,9)</f>
        <v>1.0680000000000001</v>
      </c>
      <c r="J24">
        <v>0</v>
      </c>
      <c r="K24">
        <f>ROUND((96+36*0.3)/100,9)</f>
        <v>1.0680000000000001</v>
      </c>
      <c r="O24">
        <f t="shared" ref="O24:O43" si="14">ROUND(CP24,2)</f>
        <v>5052.22</v>
      </c>
      <c r="P24">
        <f t="shared" ref="P24:P43" si="15">ROUND(CQ24*I24,2)</f>
        <v>0</v>
      </c>
      <c r="Q24">
        <f t="shared" ref="Q24:Q43" si="16">ROUND(CR24*I24,2)</f>
        <v>576.98</v>
      </c>
      <c r="R24">
        <f t="shared" ref="R24:R43" si="17">ROUND(CS24*I24,2)</f>
        <v>0</v>
      </c>
      <c r="S24">
        <f t="shared" ref="S24:S43" si="18">ROUND(CT24*I24,2)</f>
        <v>4475.24</v>
      </c>
      <c r="T24">
        <f t="shared" ref="T24:T43" si="19">ROUND(CU24*I24,2)</f>
        <v>0</v>
      </c>
      <c r="U24">
        <f t="shared" ref="U24:U43" si="20">CV24*I24</f>
        <v>15.357840000000001</v>
      </c>
      <c r="V24">
        <f t="shared" ref="V24:V43" si="21">CW24*I24</f>
        <v>0</v>
      </c>
      <c r="W24">
        <f t="shared" ref="W24:W43" si="22">ROUND(CX24*I24,2)</f>
        <v>0</v>
      </c>
      <c r="X24">
        <f t="shared" ref="X24:X43" si="23">ROUND(CY24,2)</f>
        <v>4072.47</v>
      </c>
      <c r="Y24">
        <f t="shared" ref="Y24:Y43" si="24">ROUND(CZ24,2)</f>
        <v>2327.12</v>
      </c>
      <c r="AA24">
        <v>145184733</v>
      </c>
      <c r="AB24">
        <f t="shared" ref="AB24:AB43" si="25">ROUND((AC24+AD24+AF24),2)</f>
        <v>153.59</v>
      </c>
      <c r="AC24">
        <f>ROUND((ES24),2)</f>
        <v>0</v>
      </c>
      <c r="AD24">
        <f>ROUND((((ET24)-(EU24))+AE24),2)</f>
        <v>41.43</v>
      </c>
      <c r="AE24">
        <f>ROUND((EU24),2)</f>
        <v>0</v>
      </c>
      <c r="AF24">
        <f>ROUND((EV24),2)</f>
        <v>112.16</v>
      </c>
      <c r="AG24">
        <f t="shared" ref="AG24:AG43" si="26">ROUND((AP24),2)</f>
        <v>0</v>
      </c>
      <c r="AH24">
        <f>(EW24)</f>
        <v>14.38</v>
      </c>
      <c r="AI24">
        <f>(EX24)</f>
        <v>0</v>
      </c>
      <c r="AJ24">
        <f t="shared" ref="AJ24:AJ43" si="27">(AS24)</f>
        <v>0</v>
      </c>
      <c r="AK24">
        <v>153.59</v>
      </c>
      <c r="AL24">
        <v>0</v>
      </c>
      <c r="AM24">
        <v>41.43</v>
      </c>
      <c r="AN24">
        <v>0</v>
      </c>
      <c r="AO24">
        <v>112.16</v>
      </c>
      <c r="AP24">
        <v>0</v>
      </c>
      <c r="AQ24">
        <v>14.38</v>
      </c>
      <c r="AR24">
        <v>0</v>
      </c>
      <c r="AS24">
        <v>0</v>
      </c>
      <c r="AT24">
        <v>91</v>
      </c>
      <c r="AU24">
        <v>52</v>
      </c>
      <c r="AV24">
        <v>1</v>
      </c>
      <c r="AW24">
        <v>1</v>
      </c>
      <c r="AZ24">
        <v>1</v>
      </c>
      <c r="BA24">
        <v>37.36</v>
      </c>
      <c r="BB24">
        <v>13.04</v>
      </c>
      <c r="BC24">
        <v>8.31</v>
      </c>
      <c r="BD24" t="s">
        <v>3</v>
      </c>
      <c r="BE24" t="s">
        <v>3</v>
      </c>
      <c r="BF24" t="s">
        <v>3</v>
      </c>
      <c r="BG24" t="s">
        <v>3</v>
      </c>
      <c r="BH24">
        <v>0</v>
      </c>
      <c r="BI24">
        <v>1</v>
      </c>
      <c r="BJ24" t="s">
        <v>20</v>
      </c>
      <c r="BM24">
        <v>46003</v>
      </c>
      <c r="BN24">
        <v>0</v>
      </c>
      <c r="BO24" t="s">
        <v>3</v>
      </c>
      <c r="BP24">
        <v>0</v>
      </c>
      <c r="BQ24">
        <v>2</v>
      </c>
      <c r="BR24">
        <v>0</v>
      </c>
      <c r="BS24">
        <v>37.36</v>
      </c>
      <c r="BT24">
        <v>1</v>
      </c>
      <c r="BU24">
        <v>1</v>
      </c>
      <c r="BV24">
        <v>1</v>
      </c>
      <c r="BW24">
        <v>1</v>
      </c>
      <c r="BX24">
        <v>1</v>
      </c>
      <c r="BY24" t="s">
        <v>3</v>
      </c>
      <c r="BZ24">
        <v>91</v>
      </c>
      <c r="CA24">
        <v>52</v>
      </c>
      <c r="CB24" t="s">
        <v>3</v>
      </c>
      <c r="CE24">
        <v>0</v>
      </c>
      <c r="CF24">
        <v>0</v>
      </c>
      <c r="CG24">
        <v>0</v>
      </c>
      <c r="CM24">
        <v>0</v>
      </c>
      <c r="CN24" t="s">
        <v>3</v>
      </c>
      <c r="CO24">
        <v>0</v>
      </c>
      <c r="CP24">
        <f t="shared" ref="CP24:CP43" si="28">(P24+Q24+S24)</f>
        <v>5052.2199999999993</v>
      </c>
      <c r="CQ24">
        <f t="shared" ref="CQ24:CQ43" si="29">AC24*BC24</f>
        <v>0</v>
      </c>
      <c r="CR24">
        <f>(((ET24)*BB24-(EU24)*BS24)+AE24*BS24)</f>
        <v>540.24719999999991</v>
      </c>
      <c r="CS24">
        <f t="shared" ref="CS24:CS43" si="30">AE24*BS24</f>
        <v>0</v>
      </c>
      <c r="CT24">
        <f t="shared" ref="CT24:CT43" si="31">AF24*BA24</f>
        <v>4190.2975999999999</v>
      </c>
      <c r="CU24">
        <f t="shared" ref="CU24:CU43" si="32">AG24</f>
        <v>0</v>
      </c>
      <c r="CV24">
        <f t="shared" ref="CV24:CV43" si="33">AH24</f>
        <v>14.38</v>
      </c>
      <c r="CW24">
        <f t="shared" ref="CW24:CW43" si="34">AI24</f>
        <v>0</v>
      </c>
      <c r="CX24">
        <f t="shared" ref="CX24:CX43" si="35">AJ24</f>
        <v>0</v>
      </c>
      <c r="CY24">
        <f t="shared" ref="CY24:CY43" si="36">(((S24+R24)*AT24)/100)</f>
        <v>4072.4683999999997</v>
      </c>
      <c r="CZ24">
        <f t="shared" ref="CZ24:CZ43" si="37">(((S24+R24)*AU24)/100)</f>
        <v>2327.1247999999996</v>
      </c>
      <c r="DC24" t="s">
        <v>3</v>
      </c>
      <c r="DD24" t="s">
        <v>3</v>
      </c>
      <c r="DE24" t="s">
        <v>3</v>
      </c>
      <c r="DF24" t="s">
        <v>3</v>
      </c>
      <c r="DG24" t="s">
        <v>3</v>
      </c>
      <c r="DH24" t="s">
        <v>3</v>
      </c>
      <c r="DI24" t="s">
        <v>3</v>
      </c>
      <c r="DJ24" t="s">
        <v>3</v>
      </c>
      <c r="DK24" t="s">
        <v>3</v>
      </c>
      <c r="DL24" t="s">
        <v>3</v>
      </c>
      <c r="DM24" t="s">
        <v>3</v>
      </c>
      <c r="DN24">
        <v>0</v>
      </c>
      <c r="DO24">
        <v>0</v>
      </c>
      <c r="DP24">
        <v>1</v>
      </c>
      <c r="DQ24">
        <v>1</v>
      </c>
      <c r="DU24">
        <v>1005</v>
      </c>
      <c r="DV24" t="s">
        <v>19</v>
      </c>
      <c r="DW24" t="s">
        <v>19</v>
      </c>
      <c r="DX24">
        <v>100</v>
      </c>
      <c r="DZ24" t="s">
        <v>3</v>
      </c>
      <c r="EA24" t="s">
        <v>3</v>
      </c>
      <c r="EB24" t="s">
        <v>3</v>
      </c>
      <c r="EC24" t="s">
        <v>3</v>
      </c>
      <c r="EE24">
        <v>140625347</v>
      </c>
      <c r="EF24">
        <v>2</v>
      </c>
      <c r="EG24" t="s">
        <v>21</v>
      </c>
      <c r="EH24">
        <v>40</v>
      </c>
      <c r="EI24" t="s">
        <v>22</v>
      </c>
      <c r="EJ24">
        <v>1</v>
      </c>
      <c r="EK24">
        <v>46003</v>
      </c>
      <c r="EL24" t="s">
        <v>23</v>
      </c>
      <c r="EM24" t="s">
        <v>24</v>
      </c>
      <c r="EO24" t="s">
        <v>3</v>
      </c>
      <c r="EQ24">
        <v>0</v>
      </c>
      <c r="ER24">
        <v>153.59</v>
      </c>
      <c r="ES24">
        <v>0</v>
      </c>
      <c r="ET24">
        <v>41.43</v>
      </c>
      <c r="EU24">
        <v>0</v>
      </c>
      <c r="EV24">
        <v>112.16</v>
      </c>
      <c r="EW24">
        <v>14.38</v>
      </c>
      <c r="EX24">
        <v>0</v>
      </c>
      <c r="EY24">
        <v>0</v>
      </c>
      <c r="FQ24">
        <v>0</v>
      </c>
      <c r="FR24">
        <f t="shared" ref="FR24:FR46" si="38">ROUND(IF(BI24=3,GM24,0),2)</f>
        <v>0</v>
      </c>
      <c r="FS24">
        <v>0</v>
      </c>
      <c r="FX24">
        <v>91</v>
      </c>
      <c r="FY24">
        <v>52</v>
      </c>
      <c r="GA24" t="s">
        <v>3</v>
      </c>
      <c r="GD24">
        <v>1</v>
      </c>
      <c r="GF24">
        <v>162871619</v>
      </c>
      <c r="GG24">
        <v>2</v>
      </c>
      <c r="GH24">
        <v>1</v>
      </c>
      <c r="GI24">
        <v>4</v>
      </c>
      <c r="GJ24">
        <v>0</v>
      </c>
      <c r="GK24">
        <v>0</v>
      </c>
      <c r="GL24">
        <f t="shared" ref="GL24:GL46" si="39">ROUND(IF(AND(BH24=3,BI24=3,FS24&lt;&gt;0),P24,0),2)</f>
        <v>0</v>
      </c>
      <c r="GM24">
        <f t="shared" ref="GM24:GM43" si="40">ROUND(O24+X24+Y24,2)+GX24</f>
        <v>11451.81</v>
      </c>
      <c r="GN24">
        <f t="shared" ref="GN24:GN43" si="41">IF(OR(BI24=0,BI24=1),ROUND(O24+X24+Y24,2),0)</f>
        <v>11451.81</v>
      </c>
      <c r="GO24">
        <f t="shared" ref="GO24:GO43" si="42">IF(BI24=2,ROUND(O24+X24+Y24,2),0)</f>
        <v>0</v>
      </c>
      <c r="GP24">
        <f t="shared" ref="GP24:GP43" si="43">IF(BI24=4,ROUND(O24+X24+Y24,2)+GX24,0)</f>
        <v>0</v>
      </c>
      <c r="GR24">
        <v>0</v>
      </c>
      <c r="GS24">
        <v>3</v>
      </c>
      <c r="GT24">
        <v>0</v>
      </c>
      <c r="GU24" t="s">
        <v>3</v>
      </c>
      <c r="GV24">
        <f>ROUND((GT24),2)</f>
        <v>0</v>
      </c>
      <c r="GW24">
        <v>1</v>
      </c>
      <c r="GX24">
        <f t="shared" ref="GX24:GX43" si="44">ROUND(HC24*I24,2)</f>
        <v>0</v>
      </c>
      <c r="HA24">
        <v>0</v>
      </c>
      <c r="HB24">
        <v>0</v>
      </c>
      <c r="HC24">
        <f t="shared" ref="HC24:HC43" si="45">GV24*GW24</f>
        <v>0</v>
      </c>
      <c r="HE24" t="s">
        <v>3</v>
      </c>
      <c r="HF24" t="s">
        <v>3</v>
      </c>
      <c r="HM24" t="s">
        <v>3</v>
      </c>
      <c r="HN24" t="s">
        <v>25</v>
      </c>
      <c r="HO24" t="s">
        <v>26</v>
      </c>
      <c r="HP24" t="s">
        <v>23</v>
      </c>
      <c r="HQ24" t="s">
        <v>23</v>
      </c>
      <c r="IK24">
        <v>0</v>
      </c>
    </row>
    <row r="25" spans="1:245" x14ac:dyDescent="0.2">
      <c r="A25">
        <v>17</v>
      </c>
      <c r="B25">
        <v>1</v>
      </c>
      <c r="C25">
        <f>ROW(SmtRes!A10)</f>
        <v>10</v>
      </c>
      <c r="D25">
        <f>ROW(EtalonRes!A10)</f>
        <v>10</v>
      </c>
      <c r="E25" t="s">
        <v>27</v>
      </c>
      <c r="F25" t="s">
        <v>28</v>
      </c>
      <c r="G25" t="s">
        <v>29</v>
      </c>
      <c r="H25" t="s">
        <v>19</v>
      </c>
      <c r="I25">
        <f>ROUND(96/100,9)</f>
        <v>0.96</v>
      </c>
      <c r="J25">
        <v>0</v>
      </c>
      <c r="K25">
        <f>ROUND(96/100,9)</f>
        <v>0.96</v>
      </c>
      <c r="O25">
        <f t="shared" si="14"/>
        <v>7926.16</v>
      </c>
      <c r="P25">
        <f t="shared" si="15"/>
        <v>0</v>
      </c>
      <c r="Q25">
        <f t="shared" si="16"/>
        <v>1902.17</v>
      </c>
      <c r="R25">
        <f t="shared" si="17"/>
        <v>627.29</v>
      </c>
      <c r="S25">
        <f t="shared" si="18"/>
        <v>6023.99</v>
      </c>
      <c r="T25">
        <f t="shared" si="19"/>
        <v>0</v>
      </c>
      <c r="U25">
        <f t="shared" si="20"/>
        <v>18.662400000000002</v>
      </c>
      <c r="V25">
        <f t="shared" si="21"/>
        <v>1.4899199999999999</v>
      </c>
      <c r="W25">
        <f t="shared" si="22"/>
        <v>0</v>
      </c>
      <c r="X25">
        <f t="shared" si="23"/>
        <v>7249.9</v>
      </c>
      <c r="Y25">
        <f t="shared" si="24"/>
        <v>3791.23</v>
      </c>
      <c r="AA25">
        <v>145184733</v>
      </c>
      <c r="AB25">
        <f t="shared" si="25"/>
        <v>319.91000000000003</v>
      </c>
      <c r="AC25">
        <f>ROUND(((ES25*0)),2)</f>
        <v>0</v>
      </c>
      <c r="AD25">
        <f>ROUND(((((ET25*0.8))-((EU25*0.8)))+AE25),2)</f>
        <v>151.94999999999999</v>
      </c>
      <c r="AE25">
        <f>ROUND(((EU25*0.8)),2)</f>
        <v>17.489999999999998</v>
      </c>
      <c r="AF25">
        <f>ROUND(((EV25*0.8)),2)</f>
        <v>167.96</v>
      </c>
      <c r="AG25">
        <f t="shared" si="26"/>
        <v>0</v>
      </c>
      <c r="AH25">
        <f>((EW25*0.8))</f>
        <v>19.440000000000001</v>
      </c>
      <c r="AI25">
        <f>((EX25*0.8))</f>
        <v>1.552</v>
      </c>
      <c r="AJ25">
        <f t="shared" si="27"/>
        <v>0</v>
      </c>
      <c r="AK25">
        <v>436.55</v>
      </c>
      <c r="AL25">
        <v>36.67</v>
      </c>
      <c r="AM25">
        <v>189.93</v>
      </c>
      <c r="AN25">
        <v>21.86</v>
      </c>
      <c r="AO25">
        <v>209.95</v>
      </c>
      <c r="AP25">
        <v>0</v>
      </c>
      <c r="AQ25">
        <v>24.3</v>
      </c>
      <c r="AR25">
        <v>1.94</v>
      </c>
      <c r="AS25">
        <v>0</v>
      </c>
      <c r="AT25">
        <v>109</v>
      </c>
      <c r="AU25">
        <v>57</v>
      </c>
      <c r="AV25">
        <v>1</v>
      </c>
      <c r="AW25">
        <v>1</v>
      </c>
      <c r="AZ25">
        <v>1</v>
      </c>
      <c r="BA25">
        <v>37.36</v>
      </c>
      <c r="BB25">
        <v>13.04</v>
      </c>
      <c r="BC25">
        <v>8.31</v>
      </c>
      <c r="BD25" t="s">
        <v>3</v>
      </c>
      <c r="BE25" t="s">
        <v>3</v>
      </c>
      <c r="BF25" t="s">
        <v>3</v>
      </c>
      <c r="BG25" t="s">
        <v>3</v>
      </c>
      <c r="BH25">
        <v>0</v>
      </c>
      <c r="BI25">
        <v>1</v>
      </c>
      <c r="BJ25" t="s">
        <v>30</v>
      </c>
      <c r="BM25">
        <v>12001</v>
      </c>
      <c r="BN25">
        <v>0</v>
      </c>
      <c r="BO25" t="s">
        <v>3</v>
      </c>
      <c r="BP25">
        <v>0</v>
      </c>
      <c r="BQ25">
        <v>2</v>
      </c>
      <c r="BR25">
        <v>0</v>
      </c>
      <c r="BS25">
        <v>37.36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3</v>
      </c>
      <c r="BZ25">
        <v>109</v>
      </c>
      <c r="CA25">
        <v>57</v>
      </c>
      <c r="CB25" t="s">
        <v>3</v>
      </c>
      <c r="CE25">
        <v>0</v>
      </c>
      <c r="CF25">
        <v>0</v>
      </c>
      <c r="CG25">
        <v>0</v>
      </c>
      <c r="CM25">
        <v>0</v>
      </c>
      <c r="CN25" t="s">
        <v>31</v>
      </c>
      <c r="CO25">
        <v>0</v>
      </c>
      <c r="CP25">
        <f t="shared" si="28"/>
        <v>7926.16</v>
      </c>
      <c r="CQ25">
        <f t="shared" si="29"/>
        <v>0</v>
      </c>
      <c r="CR25">
        <f>((((ET25*0.8))*BB25-((EU25*0.8))*BS25)+AE25*BS25)</f>
        <v>1981.4244800000001</v>
      </c>
      <c r="CS25">
        <f t="shared" si="30"/>
        <v>653.42639999999994</v>
      </c>
      <c r="CT25">
        <f t="shared" si="31"/>
        <v>6274.9856</v>
      </c>
      <c r="CU25">
        <f t="shared" si="32"/>
        <v>0</v>
      </c>
      <c r="CV25">
        <f t="shared" si="33"/>
        <v>19.440000000000001</v>
      </c>
      <c r="CW25">
        <f t="shared" si="34"/>
        <v>1.552</v>
      </c>
      <c r="CX25">
        <f t="shared" si="35"/>
        <v>0</v>
      </c>
      <c r="CY25">
        <f t="shared" si="36"/>
        <v>7249.8951999999999</v>
      </c>
      <c r="CZ25">
        <f t="shared" si="37"/>
        <v>3791.2295999999997</v>
      </c>
      <c r="DC25" t="s">
        <v>3</v>
      </c>
      <c r="DD25" t="s">
        <v>32</v>
      </c>
      <c r="DE25" t="s">
        <v>33</v>
      </c>
      <c r="DF25" t="s">
        <v>33</v>
      </c>
      <c r="DG25" t="s">
        <v>33</v>
      </c>
      <c r="DH25" t="s">
        <v>3</v>
      </c>
      <c r="DI25" t="s">
        <v>33</v>
      </c>
      <c r="DJ25" t="s">
        <v>33</v>
      </c>
      <c r="DK25" t="s">
        <v>3</v>
      </c>
      <c r="DL25" t="s">
        <v>3</v>
      </c>
      <c r="DM25" t="s">
        <v>3</v>
      </c>
      <c r="DN25">
        <v>0</v>
      </c>
      <c r="DO25">
        <v>0</v>
      </c>
      <c r="DP25">
        <v>1</v>
      </c>
      <c r="DQ25">
        <v>1</v>
      </c>
      <c r="DU25">
        <v>1005</v>
      </c>
      <c r="DV25" t="s">
        <v>19</v>
      </c>
      <c r="DW25" t="s">
        <v>19</v>
      </c>
      <c r="DX25">
        <v>100</v>
      </c>
      <c r="DZ25" t="s">
        <v>3</v>
      </c>
      <c r="EA25" t="s">
        <v>3</v>
      </c>
      <c r="EB25" t="s">
        <v>3</v>
      </c>
      <c r="EC25" t="s">
        <v>3</v>
      </c>
      <c r="EE25">
        <v>140625032</v>
      </c>
      <c r="EF25">
        <v>2</v>
      </c>
      <c r="EG25" t="s">
        <v>21</v>
      </c>
      <c r="EH25">
        <v>12</v>
      </c>
      <c r="EI25" t="s">
        <v>34</v>
      </c>
      <c r="EJ25">
        <v>1</v>
      </c>
      <c r="EK25">
        <v>12001</v>
      </c>
      <c r="EL25" t="s">
        <v>34</v>
      </c>
      <c r="EM25" t="s">
        <v>35</v>
      </c>
      <c r="EO25" t="s">
        <v>36</v>
      </c>
      <c r="EQ25">
        <v>0</v>
      </c>
      <c r="ER25">
        <v>436.55</v>
      </c>
      <c r="ES25">
        <v>36.67</v>
      </c>
      <c r="ET25">
        <v>189.93</v>
      </c>
      <c r="EU25">
        <v>21.86</v>
      </c>
      <c r="EV25">
        <v>209.95</v>
      </c>
      <c r="EW25">
        <v>24.3</v>
      </c>
      <c r="EX25">
        <v>1.94</v>
      </c>
      <c r="EY25">
        <v>0</v>
      </c>
      <c r="FQ25">
        <v>0</v>
      </c>
      <c r="FR25">
        <f t="shared" si="38"/>
        <v>0</v>
      </c>
      <c r="FS25">
        <v>0</v>
      </c>
      <c r="FX25">
        <v>109</v>
      </c>
      <c r="FY25">
        <v>57</v>
      </c>
      <c r="GA25" t="s">
        <v>3</v>
      </c>
      <c r="GD25">
        <v>1</v>
      </c>
      <c r="GF25">
        <v>-1795642130</v>
      </c>
      <c r="GG25">
        <v>2</v>
      </c>
      <c r="GH25">
        <v>1</v>
      </c>
      <c r="GI25">
        <v>4</v>
      </c>
      <c r="GJ25">
        <v>0</v>
      </c>
      <c r="GK25">
        <v>0</v>
      </c>
      <c r="GL25">
        <f t="shared" si="39"/>
        <v>0</v>
      </c>
      <c r="GM25">
        <f t="shared" si="40"/>
        <v>18967.29</v>
      </c>
      <c r="GN25">
        <f t="shared" si="41"/>
        <v>18967.29</v>
      </c>
      <c r="GO25">
        <f t="shared" si="42"/>
        <v>0</v>
      </c>
      <c r="GP25">
        <f t="shared" si="43"/>
        <v>0</v>
      </c>
      <c r="GR25">
        <v>0</v>
      </c>
      <c r="GS25">
        <v>3</v>
      </c>
      <c r="GT25">
        <v>0</v>
      </c>
      <c r="GU25" t="s">
        <v>3</v>
      </c>
      <c r="GV25">
        <f>ROUND((GT25),2)</f>
        <v>0</v>
      </c>
      <c r="GW25">
        <v>1</v>
      </c>
      <c r="GX25">
        <f t="shared" si="44"/>
        <v>0</v>
      </c>
      <c r="HA25">
        <v>0</v>
      </c>
      <c r="HB25">
        <v>0</v>
      </c>
      <c r="HC25">
        <f t="shared" si="45"/>
        <v>0</v>
      </c>
      <c r="HE25" t="s">
        <v>3</v>
      </c>
      <c r="HF25" t="s">
        <v>3</v>
      </c>
      <c r="HM25" t="s">
        <v>3</v>
      </c>
      <c r="HN25" t="s">
        <v>37</v>
      </c>
      <c r="HO25" t="s">
        <v>38</v>
      </c>
      <c r="HP25" t="s">
        <v>34</v>
      </c>
      <c r="HQ25" t="s">
        <v>34</v>
      </c>
      <c r="IK25">
        <v>0</v>
      </c>
    </row>
    <row r="26" spans="1:245" x14ac:dyDescent="0.2">
      <c r="A26">
        <v>17</v>
      </c>
      <c r="B26">
        <v>1</v>
      </c>
      <c r="C26">
        <f>ROW(SmtRes!A15)</f>
        <v>15</v>
      </c>
      <c r="D26">
        <f>ROW(EtalonRes!A15)</f>
        <v>15</v>
      </c>
      <c r="E26" t="s">
        <v>39</v>
      </c>
      <c r="F26" t="s">
        <v>40</v>
      </c>
      <c r="G26" t="s">
        <v>41</v>
      </c>
      <c r="H26" t="s">
        <v>19</v>
      </c>
      <c r="I26">
        <f>ROUND(96/100,9)</f>
        <v>0.96</v>
      </c>
      <c r="J26">
        <v>0</v>
      </c>
      <c r="K26">
        <f>ROUND(96/100,9)</f>
        <v>0.96</v>
      </c>
      <c r="O26">
        <f t="shared" si="14"/>
        <v>9608.98</v>
      </c>
      <c r="P26">
        <f t="shared" si="15"/>
        <v>0</v>
      </c>
      <c r="Q26">
        <f t="shared" si="16"/>
        <v>932.37</v>
      </c>
      <c r="R26">
        <f t="shared" si="17"/>
        <v>341.44</v>
      </c>
      <c r="S26">
        <f t="shared" si="18"/>
        <v>8676.61</v>
      </c>
      <c r="T26">
        <f t="shared" si="19"/>
        <v>0</v>
      </c>
      <c r="U26">
        <f t="shared" si="20"/>
        <v>26.88</v>
      </c>
      <c r="V26">
        <f t="shared" si="21"/>
        <v>0.80639999999999989</v>
      </c>
      <c r="W26">
        <f t="shared" si="22"/>
        <v>0</v>
      </c>
      <c r="X26">
        <f t="shared" si="23"/>
        <v>9829.67</v>
      </c>
      <c r="Y26">
        <f t="shared" si="24"/>
        <v>5140.29</v>
      </c>
      <c r="AA26">
        <v>145184733</v>
      </c>
      <c r="AB26">
        <f t="shared" si="25"/>
        <v>316.39999999999998</v>
      </c>
      <c r="AC26">
        <f>ROUND((((ES26*0)*35)),2)</f>
        <v>0</v>
      </c>
      <c r="AD26">
        <f>ROUND((((((ET26*0.8)*35))-(((EU26*0.8)*35)))+AE26),2)</f>
        <v>74.48</v>
      </c>
      <c r="AE26">
        <f>ROUND((((EU26*0.8)*35)),2)</f>
        <v>9.52</v>
      </c>
      <c r="AF26">
        <f>ROUND((((EV26*0.8)*35)),2)</f>
        <v>241.92</v>
      </c>
      <c r="AG26">
        <f t="shared" si="26"/>
        <v>0</v>
      </c>
      <c r="AH26">
        <f>(((EW26*0.8)*35))</f>
        <v>28</v>
      </c>
      <c r="AI26">
        <f>(((EX26*0.8)*35))</f>
        <v>0.84</v>
      </c>
      <c r="AJ26">
        <f t="shared" si="27"/>
        <v>0</v>
      </c>
      <c r="AK26">
        <v>11.3</v>
      </c>
      <c r="AL26">
        <v>0</v>
      </c>
      <c r="AM26">
        <v>2.66</v>
      </c>
      <c r="AN26">
        <v>0.34</v>
      </c>
      <c r="AO26">
        <v>8.64</v>
      </c>
      <c r="AP26">
        <v>0</v>
      </c>
      <c r="AQ26">
        <v>1</v>
      </c>
      <c r="AR26">
        <v>0.03</v>
      </c>
      <c r="AS26">
        <v>0</v>
      </c>
      <c r="AT26">
        <v>109</v>
      </c>
      <c r="AU26">
        <v>57</v>
      </c>
      <c r="AV26">
        <v>1</v>
      </c>
      <c r="AW26">
        <v>1</v>
      </c>
      <c r="AZ26">
        <v>1</v>
      </c>
      <c r="BA26">
        <v>37.36</v>
      </c>
      <c r="BB26">
        <v>13.04</v>
      </c>
      <c r="BC26">
        <v>8.31</v>
      </c>
      <c r="BD26" t="s">
        <v>3</v>
      </c>
      <c r="BE26" t="s">
        <v>3</v>
      </c>
      <c r="BF26" t="s">
        <v>3</v>
      </c>
      <c r="BG26" t="s">
        <v>3</v>
      </c>
      <c r="BH26">
        <v>0</v>
      </c>
      <c r="BI26">
        <v>1</v>
      </c>
      <c r="BJ26" t="s">
        <v>42</v>
      </c>
      <c r="BM26">
        <v>12001</v>
      </c>
      <c r="BN26">
        <v>0</v>
      </c>
      <c r="BO26" t="s">
        <v>3</v>
      </c>
      <c r="BP26">
        <v>0</v>
      </c>
      <c r="BQ26">
        <v>2</v>
      </c>
      <c r="BR26">
        <v>0</v>
      </c>
      <c r="BS26">
        <v>37.36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3</v>
      </c>
      <c r="BZ26">
        <v>109</v>
      </c>
      <c r="CA26">
        <v>57</v>
      </c>
      <c r="CB26" t="s">
        <v>3</v>
      </c>
      <c r="CE26">
        <v>0</v>
      </c>
      <c r="CF26">
        <v>0</v>
      </c>
      <c r="CG26">
        <v>0</v>
      </c>
      <c r="CM26">
        <v>0</v>
      </c>
      <c r="CN26" t="s">
        <v>31</v>
      </c>
      <c r="CO26">
        <v>0</v>
      </c>
      <c r="CP26">
        <f t="shared" si="28"/>
        <v>9608.9800000000014</v>
      </c>
      <c r="CQ26">
        <f t="shared" si="29"/>
        <v>0</v>
      </c>
      <c r="CR26">
        <f>(((((ET26*0.8)*35))*BB26-(((EU26*0.8)*35))*BS26)+AE26*BS26)</f>
        <v>971.21919999999989</v>
      </c>
      <c r="CS26">
        <f t="shared" si="30"/>
        <v>355.66719999999998</v>
      </c>
      <c r="CT26">
        <f t="shared" si="31"/>
        <v>9038.1311999999998</v>
      </c>
      <c r="CU26">
        <f t="shared" si="32"/>
        <v>0</v>
      </c>
      <c r="CV26">
        <f t="shared" si="33"/>
        <v>28</v>
      </c>
      <c r="CW26">
        <f t="shared" si="34"/>
        <v>0.84</v>
      </c>
      <c r="CX26">
        <f t="shared" si="35"/>
        <v>0</v>
      </c>
      <c r="CY26">
        <f t="shared" si="36"/>
        <v>9829.674500000001</v>
      </c>
      <c r="CZ26">
        <f t="shared" si="37"/>
        <v>5140.2885000000006</v>
      </c>
      <c r="DC26" t="s">
        <v>3</v>
      </c>
      <c r="DD26" t="s">
        <v>43</v>
      </c>
      <c r="DE26" t="s">
        <v>44</v>
      </c>
      <c r="DF26" t="s">
        <v>44</v>
      </c>
      <c r="DG26" t="s">
        <v>44</v>
      </c>
      <c r="DH26" t="s">
        <v>3</v>
      </c>
      <c r="DI26" t="s">
        <v>44</v>
      </c>
      <c r="DJ26" t="s">
        <v>44</v>
      </c>
      <c r="DK26" t="s">
        <v>3</v>
      </c>
      <c r="DL26" t="s">
        <v>3</v>
      </c>
      <c r="DM26" t="s">
        <v>3</v>
      </c>
      <c r="DN26">
        <v>0</v>
      </c>
      <c r="DO26">
        <v>0</v>
      </c>
      <c r="DP26">
        <v>1</v>
      </c>
      <c r="DQ26">
        <v>1</v>
      </c>
      <c r="DU26">
        <v>1005</v>
      </c>
      <c r="DV26" t="s">
        <v>19</v>
      </c>
      <c r="DW26" t="s">
        <v>19</v>
      </c>
      <c r="DX26">
        <v>100</v>
      </c>
      <c r="DZ26" t="s">
        <v>3</v>
      </c>
      <c r="EA26" t="s">
        <v>3</v>
      </c>
      <c r="EB26" t="s">
        <v>3</v>
      </c>
      <c r="EC26" t="s">
        <v>3</v>
      </c>
      <c r="EE26">
        <v>140625032</v>
      </c>
      <c r="EF26">
        <v>2</v>
      </c>
      <c r="EG26" t="s">
        <v>21</v>
      </c>
      <c r="EH26">
        <v>12</v>
      </c>
      <c r="EI26" t="s">
        <v>34</v>
      </c>
      <c r="EJ26">
        <v>1</v>
      </c>
      <c r="EK26">
        <v>12001</v>
      </c>
      <c r="EL26" t="s">
        <v>34</v>
      </c>
      <c r="EM26" t="s">
        <v>35</v>
      </c>
      <c r="EO26" t="s">
        <v>36</v>
      </c>
      <c r="EQ26">
        <v>0</v>
      </c>
      <c r="ER26">
        <v>11.3</v>
      </c>
      <c r="ES26">
        <v>0</v>
      </c>
      <c r="ET26">
        <v>2.66</v>
      </c>
      <c r="EU26">
        <v>0.34</v>
      </c>
      <c r="EV26">
        <v>8.64</v>
      </c>
      <c r="EW26">
        <v>1</v>
      </c>
      <c r="EX26">
        <v>0.03</v>
      </c>
      <c r="EY26">
        <v>0</v>
      </c>
      <c r="FQ26">
        <v>0</v>
      </c>
      <c r="FR26">
        <f t="shared" si="38"/>
        <v>0</v>
      </c>
      <c r="FS26">
        <v>0</v>
      </c>
      <c r="FX26">
        <v>109</v>
      </c>
      <c r="FY26">
        <v>57</v>
      </c>
      <c r="GA26" t="s">
        <v>3</v>
      </c>
      <c r="GD26">
        <v>1</v>
      </c>
      <c r="GF26">
        <v>-1459699591</v>
      </c>
      <c r="GG26">
        <v>2</v>
      </c>
      <c r="GH26">
        <v>1</v>
      </c>
      <c r="GI26">
        <v>4</v>
      </c>
      <c r="GJ26">
        <v>0</v>
      </c>
      <c r="GK26">
        <v>0</v>
      </c>
      <c r="GL26">
        <f t="shared" si="39"/>
        <v>0</v>
      </c>
      <c r="GM26">
        <f t="shared" si="40"/>
        <v>24578.94</v>
      </c>
      <c r="GN26">
        <f t="shared" si="41"/>
        <v>24578.94</v>
      </c>
      <c r="GO26">
        <f t="shared" si="42"/>
        <v>0</v>
      </c>
      <c r="GP26">
        <f t="shared" si="43"/>
        <v>0</v>
      </c>
      <c r="GR26">
        <v>0</v>
      </c>
      <c r="GS26">
        <v>3</v>
      </c>
      <c r="GT26">
        <v>0</v>
      </c>
      <c r="GU26" t="s">
        <v>45</v>
      </c>
      <c r="GV26">
        <f>ROUND(((GT26*35)),2)</f>
        <v>0</v>
      </c>
      <c r="GW26">
        <v>1</v>
      </c>
      <c r="GX26">
        <f t="shared" si="44"/>
        <v>0</v>
      </c>
      <c r="HA26">
        <v>0</v>
      </c>
      <c r="HB26">
        <v>0</v>
      </c>
      <c r="HC26">
        <f t="shared" si="45"/>
        <v>0</v>
      </c>
      <c r="HE26" t="s">
        <v>3</v>
      </c>
      <c r="HF26" t="s">
        <v>3</v>
      </c>
      <c r="HM26" t="s">
        <v>3</v>
      </c>
      <c r="HN26" t="s">
        <v>37</v>
      </c>
      <c r="HO26" t="s">
        <v>38</v>
      </c>
      <c r="HP26" t="s">
        <v>34</v>
      </c>
      <c r="HQ26" t="s">
        <v>34</v>
      </c>
      <c r="IK26">
        <v>0</v>
      </c>
    </row>
    <row r="27" spans="1:245" x14ac:dyDescent="0.2">
      <c r="A27">
        <v>17</v>
      </c>
      <c r="B27">
        <v>1</v>
      </c>
      <c r="E27" t="s">
        <v>46</v>
      </c>
      <c r="F27" t="s">
        <v>47</v>
      </c>
      <c r="G27" t="s">
        <v>48</v>
      </c>
      <c r="H27" t="s">
        <v>49</v>
      </c>
      <c r="I27">
        <v>1</v>
      </c>
      <c r="J27">
        <v>0</v>
      </c>
      <c r="K27">
        <v>1</v>
      </c>
      <c r="O27">
        <f t="shared" si="14"/>
        <v>4583.3</v>
      </c>
      <c r="P27">
        <f t="shared" si="15"/>
        <v>4583.3</v>
      </c>
      <c r="Q27">
        <f t="shared" si="16"/>
        <v>0</v>
      </c>
      <c r="R27">
        <f t="shared" si="17"/>
        <v>0</v>
      </c>
      <c r="S27">
        <f t="shared" si="18"/>
        <v>0</v>
      </c>
      <c r="T27">
        <f t="shared" si="19"/>
        <v>0</v>
      </c>
      <c r="U27">
        <f t="shared" si="20"/>
        <v>0</v>
      </c>
      <c r="V27">
        <f t="shared" si="21"/>
        <v>0</v>
      </c>
      <c r="W27">
        <f t="shared" si="22"/>
        <v>0</v>
      </c>
      <c r="X27">
        <f t="shared" si="23"/>
        <v>0</v>
      </c>
      <c r="Y27">
        <f t="shared" si="24"/>
        <v>0</v>
      </c>
      <c r="AA27">
        <v>145184733</v>
      </c>
      <c r="AB27">
        <f t="shared" si="25"/>
        <v>551.54</v>
      </c>
      <c r="AC27">
        <f>ROUND((ES27),2)</f>
        <v>551.54</v>
      </c>
      <c r="AD27">
        <f>ROUND((((ET27)-(EU27))+AE27),2)</f>
        <v>0</v>
      </c>
      <c r="AE27">
        <f>ROUND((EU27),2)</f>
        <v>0</v>
      </c>
      <c r="AF27">
        <f>ROUND((EV27),2)</f>
        <v>0</v>
      </c>
      <c r="AG27">
        <f t="shared" si="26"/>
        <v>0</v>
      </c>
      <c r="AH27">
        <f>(EW27)</f>
        <v>0</v>
      </c>
      <c r="AI27">
        <f>(EX27)</f>
        <v>0</v>
      </c>
      <c r="AJ27">
        <f t="shared" si="27"/>
        <v>0</v>
      </c>
      <c r="AK27">
        <v>551.54</v>
      </c>
      <c r="AL27">
        <v>551.54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8.31</v>
      </c>
      <c r="BD27" t="s">
        <v>3</v>
      </c>
      <c r="BE27" t="s">
        <v>3</v>
      </c>
      <c r="BF27" t="s">
        <v>3</v>
      </c>
      <c r="BG27" t="s">
        <v>3</v>
      </c>
      <c r="BH27">
        <v>3</v>
      </c>
      <c r="BI27">
        <v>1</v>
      </c>
      <c r="BJ27" t="s">
        <v>3</v>
      </c>
      <c r="BM27">
        <v>1100</v>
      </c>
      <c r="BN27">
        <v>0</v>
      </c>
      <c r="BO27" t="s">
        <v>3</v>
      </c>
      <c r="BP27">
        <v>0</v>
      </c>
      <c r="BQ27">
        <v>8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3</v>
      </c>
      <c r="BZ27">
        <v>0</v>
      </c>
      <c r="CA27">
        <v>0</v>
      </c>
      <c r="CB27" t="s">
        <v>3</v>
      </c>
      <c r="CE27">
        <v>0</v>
      </c>
      <c r="CF27">
        <v>0</v>
      </c>
      <c r="CG27">
        <v>0</v>
      </c>
      <c r="CM27">
        <v>0</v>
      </c>
      <c r="CN27" t="s">
        <v>3</v>
      </c>
      <c r="CO27">
        <v>0</v>
      </c>
      <c r="CP27">
        <f t="shared" si="28"/>
        <v>4583.3</v>
      </c>
      <c r="CQ27">
        <f t="shared" si="29"/>
        <v>4583.2974000000004</v>
      </c>
      <c r="CR27">
        <f>(((ET27)*BB27-(EU27)*BS27)+AE27*BS27)</f>
        <v>0</v>
      </c>
      <c r="CS27">
        <f t="shared" si="30"/>
        <v>0</v>
      </c>
      <c r="CT27">
        <f t="shared" si="31"/>
        <v>0</v>
      </c>
      <c r="CU27">
        <f t="shared" si="32"/>
        <v>0</v>
      </c>
      <c r="CV27">
        <f t="shared" si="33"/>
        <v>0</v>
      </c>
      <c r="CW27">
        <f t="shared" si="34"/>
        <v>0</v>
      </c>
      <c r="CX27">
        <f t="shared" si="35"/>
        <v>0</v>
      </c>
      <c r="CY27">
        <f t="shared" si="36"/>
        <v>0</v>
      </c>
      <c r="CZ27">
        <f t="shared" si="37"/>
        <v>0</v>
      </c>
      <c r="DC27" t="s">
        <v>3</v>
      </c>
      <c r="DD27" t="s">
        <v>3</v>
      </c>
      <c r="DE27" t="s">
        <v>3</v>
      </c>
      <c r="DF27" t="s">
        <v>3</v>
      </c>
      <c r="DG27" t="s">
        <v>3</v>
      </c>
      <c r="DH27" t="s">
        <v>3</v>
      </c>
      <c r="DI27" t="s">
        <v>3</v>
      </c>
      <c r="DJ27" t="s">
        <v>3</v>
      </c>
      <c r="DK27" t="s">
        <v>3</v>
      </c>
      <c r="DL27" t="s">
        <v>3</v>
      </c>
      <c r="DM27" t="s">
        <v>3</v>
      </c>
      <c r="DN27">
        <v>0</v>
      </c>
      <c r="DO27">
        <v>0</v>
      </c>
      <c r="DP27">
        <v>1</v>
      </c>
      <c r="DQ27">
        <v>1</v>
      </c>
      <c r="DU27">
        <v>1013</v>
      </c>
      <c r="DV27" t="s">
        <v>49</v>
      </c>
      <c r="DW27" t="s">
        <v>49</v>
      </c>
      <c r="DX27">
        <v>1</v>
      </c>
      <c r="DZ27" t="s">
        <v>3</v>
      </c>
      <c r="EA27" t="s">
        <v>3</v>
      </c>
      <c r="EB27" t="s">
        <v>3</v>
      </c>
      <c r="EC27" t="s">
        <v>3</v>
      </c>
      <c r="EE27">
        <v>140625274</v>
      </c>
      <c r="EF27">
        <v>8</v>
      </c>
      <c r="EG27" t="s">
        <v>50</v>
      </c>
      <c r="EH27">
        <v>0</v>
      </c>
      <c r="EI27" t="s">
        <v>3</v>
      </c>
      <c r="EJ27">
        <v>1</v>
      </c>
      <c r="EK27">
        <v>1100</v>
      </c>
      <c r="EL27" t="s">
        <v>51</v>
      </c>
      <c r="EM27" t="s">
        <v>52</v>
      </c>
      <c r="EO27" t="s">
        <v>3</v>
      </c>
      <c r="EQ27">
        <v>0</v>
      </c>
      <c r="ER27">
        <v>551.54</v>
      </c>
      <c r="ES27">
        <v>551.54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5</v>
      </c>
      <c r="FC27">
        <v>1</v>
      </c>
      <c r="FD27">
        <v>18</v>
      </c>
      <c r="FF27">
        <v>5500</v>
      </c>
      <c r="FQ27">
        <v>0</v>
      </c>
      <c r="FR27">
        <f t="shared" si="38"/>
        <v>0</v>
      </c>
      <c r="FS27">
        <v>0</v>
      </c>
      <c r="FX27">
        <v>0</v>
      </c>
      <c r="FY27">
        <v>0</v>
      </c>
      <c r="GA27" t="s">
        <v>53</v>
      </c>
      <c r="GD27">
        <v>1</v>
      </c>
      <c r="GF27">
        <v>818543555</v>
      </c>
      <c r="GG27">
        <v>2</v>
      </c>
      <c r="GH27">
        <v>3</v>
      </c>
      <c r="GI27">
        <v>4</v>
      </c>
      <c r="GJ27">
        <v>0</v>
      </c>
      <c r="GK27">
        <v>0</v>
      </c>
      <c r="GL27">
        <f t="shared" si="39"/>
        <v>0</v>
      </c>
      <c r="GM27">
        <f t="shared" si="40"/>
        <v>4583.3</v>
      </c>
      <c r="GN27">
        <f t="shared" si="41"/>
        <v>4583.3</v>
      </c>
      <c r="GO27">
        <f t="shared" si="42"/>
        <v>0</v>
      </c>
      <c r="GP27">
        <f t="shared" si="43"/>
        <v>0</v>
      </c>
      <c r="GR27">
        <v>1</v>
      </c>
      <c r="GS27">
        <v>1</v>
      </c>
      <c r="GT27">
        <v>0</v>
      </c>
      <c r="GU27" t="s">
        <v>3</v>
      </c>
      <c r="GV27">
        <f>ROUND((GT27),2)</f>
        <v>0</v>
      </c>
      <c r="GW27">
        <v>1</v>
      </c>
      <c r="GX27">
        <f t="shared" si="44"/>
        <v>0</v>
      </c>
      <c r="HA27">
        <v>0</v>
      </c>
      <c r="HB27">
        <v>0</v>
      </c>
      <c r="HC27">
        <f t="shared" si="45"/>
        <v>0</v>
      </c>
      <c r="HE27" t="s">
        <v>54</v>
      </c>
      <c r="HF27" t="s">
        <v>54</v>
      </c>
      <c r="HM27" t="s">
        <v>3</v>
      </c>
      <c r="HN27" t="s">
        <v>3</v>
      </c>
      <c r="HO27" t="s">
        <v>3</v>
      </c>
      <c r="HP27" t="s">
        <v>3</v>
      </c>
      <c r="HQ27" t="s">
        <v>3</v>
      </c>
      <c r="IK27">
        <v>0</v>
      </c>
    </row>
    <row r="28" spans="1:245" x14ac:dyDescent="0.2">
      <c r="A28">
        <v>17</v>
      </c>
      <c r="B28">
        <v>1</v>
      </c>
      <c r="C28">
        <f>ROW(SmtRes!A23)</f>
        <v>23</v>
      </c>
      <c r="D28">
        <f>ROW(EtalonRes!A23)</f>
        <v>23</v>
      </c>
      <c r="E28" t="s">
        <v>55</v>
      </c>
      <c r="F28" t="s">
        <v>28</v>
      </c>
      <c r="G28" t="s">
        <v>56</v>
      </c>
      <c r="H28" t="s">
        <v>19</v>
      </c>
      <c r="I28">
        <f>ROUND(96/100,9)</f>
        <v>0.96</v>
      </c>
      <c r="J28">
        <v>0</v>
      </c>
      <c r="K28">
        <f>ROUND(96/100,9)</f>
        <v>0.96</v>
      </c>
      <c r="O28">
        <f t="shared" si="14"/>
        <v>11924.13</v>
      </c>
      <c r="P28">
        <f t="shared" si="15"/>
        <v>292.54000000000002</v>
      </c>
      <c r="Q28">
        <f t="shared" si="16"/>
        <v>2972.2</v>
      </c>
      <c r="R28">
        <f t="shared" si="17"/>
        <v>980.21</v>
      </c>
      <c r="S28">
        <f t="shared" si="18"/>
        <v>8659.39</v>
      </c>
      <c r="T28">
        <f t="shared" si="19"/>
        <v>0</v>
      </c>
      <c r="U28">
        <f t="shared" si="20"/>
        <v>26.827199999999998</v>
      </c>
      <c r="V28">
        <f t="shared" si="21"/>
        <v>2.3279999999999998</v>
      </c>
      <c r="W28">
        <f t="shared" si="22"/>
        <v>0</v>
      </c>
      <c r="X28">
        <f t="shared" si="23"/>
        <v>10507.16</v>
      </c>
      <c r="Y28">
        <f t="shared" si="24"/>
        <v>4670.3900000000003</v>
      </c>
      <c r="AA28">
        <v>145184733</v>
      </c>
      <c r="AB28">
        <f t="shared" si="25"/>
        <v>515.53</v>
      </c>
      <c r="AC28">
        <f>ROUND((ES28),2)</f>
        <v>36.67</v>
      </c>
      <c r="AD28">
        <f>ROUND(((((ET28*1.25))-((EU28*1.25)))+AE28),2)</f>
        <v>237.42</v>
      </c>
      <c r="AE28">
        <f>ROUND(((EU28*1.25)),2)</f>
        <v>27.33</v>
      </c>
      <c r="AF28">
        <f>ROUND(((EV28*1.15)),2)</f>
        <v>241.44</v>
      </c>
      <c r="AG28">
        <f t="shared" si="26"/>
        <v>0</v>
      </c>
      <c r="AH28">
        <f>((EW28*1.15))</f>
        <v>27.945</v>
      </c>
      <c r="AI28">
        <f>((EX28*1.25))</f>
        <v>2.4249999999999998</v>
      </c>
      <c r="AJ28">
        <f t="shared" si="27"/>
        <v>0</v>
      </c>
      <c r="AK28">
        <v>436.55</v>
      </c>
      <c r="AL28">
        <v>36.67</v>
      </c>
      <c r="AM28">
        <v>189.93</v>
      </c>
      <c r="AN28">
        <v>21.86</v>
      </c>
      <c r="AO28">
        <v>209.95</v>
      </c>
      <c r="AP28">
        <v>0</v>
      </c>
      <c r="AQ28">
        <v>24.3</v>
      </c>
      <c r="AR28">
        <v>1.94</v>
      </c>
      <c r="AS28">
        <v>0</v>
      </c>
      <c r="AT28">
        <v>109</v>
      </c>
      <c r="AU28">
        <v>48.45</v>
      </c>
      <c r="AV28">
        <v>1</v>
      </c>
      <c r="AW28">
        <v>1</v>
      </c>
      <c r="AZ28">
        <v>1</v>
      </c>
      <c r="BA28">
        <v>37.36</v>
      </c>
      <c r="BB28">
        <v>13.04</v>
      </c>
      <c r="BC28">
        <v>8.31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30</v>
      </c>
      <c r="BM28">
        <v>12001</v>
      </c>
      <c r="BN28">
        <v>0</v>
      </c>
      <c r="BO28" t="s">
        <v>3</v>
      </c>
      <c r="BP28">
        <v>0</v>
      </c>
      <c r="BQ28">
        <v>2</v>
      </c>
      <c r="BR28">
        <v>0</v>
      </c>
      <c r="BS28">
        <v>37.36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109</v>
      </c>
      <c r="CA28">
        <v>57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346</v>
      </c>
      <c r="CO28">
        <v>0</v>
      </c>
      <c r="CP28">
        <f t="shared" si="28"/>
        <v>11924.13</v>
      </c>
      <c r="CQ28">
        <f t="shared" si="29"/>
        <v>304.72770000000003</v>
      </c>
      <c r="CR28">
        <f>((((ET28*1.25))*BB28-((EU28*1.25))*BS28)+AE28*BS28)</f>
        <v>3096.0457999999999</v>
      </c>
      <c r="CS28">
        <f t="shared" si="30"/>
        <v>1021.0487999999999</v>
      </c>
      <c r="CT28">
        <f t="shared" si="31"/>
        <v>9020.1983999999993</v>
      </c>
      <c r="CU28">
        <f t="shared" si="32"/>
        <v>0</v>
      </c>
      <c r="CV28">
        <f t="shared" si="33"/>
        <v>27.945</v>
      </c>
      <c r="CW28">
        <f t="shared" si="34"/>
        <v>2.4249999999999998</v>
      </c>
      <c r="CX28">
        <f t="shared" si="35"/>
        <v>0</v>
      </c>
      <c r="CY28">
        <f t="shared" si="36"/>
        <v>10507.163999999999</v>
      </c>
      <c r="CZ28">
        <f t="shared" si="37"/>
        <v>4670.386199999999</v>
      </c>
      <c r="DC28" t="s">
        <v>3</v>
      </c>
      <c r="DD28" t="s">
        <v>3</v>
      </c>
      <c r="DE28" t="s">
        <v>57</v>
      </c>
      <c r="DF28" t="s">
        <v>57</v>
      </c>
      <c r="DG28" t="s">
        <v>58</v>
      </c>
      <c r="DH28" t="s">
        <v>3</v>
      </c>
      <c r="DI28" t="s">
        <v>58</v>
      </c>
      <c r="DJ28" t="s">
        <v>57</v>
      </c>
      <c r="DK28" t="s">
        <v>3</v>
      </c>
      <c r="DL28" t="s">
        <v>3</v>
      </c>
      <c r="DM28" t="s">
        <v>59</v>
      </c>
      <c r="DN28">
        <v>0</v>
      </c>
      <c r="DO28">
        <v>0</v>
      </c>
      <c r="DP28">
        <v>1</v>
      </c>
      <c r="DQ28">
        <v>1</v>
      </c>
      <c r="DU28">
        <v>1005</v>
      </c>
      <c r="DV28" t="s">
        <v>19</v>
      </c>
      <c r="DW28" t="s">
        <v>19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140625032</v>
      </c>
      <c r="EF28">
        <v>2</v>
      </c>
      <c r="EG28" t="s">
        <v>21</v>
      </c>
      <c r="EH28">
        <v>12</v>
      </c>
      <c r="EI28" t="s">
        <v>34</v>
      </c>
      <c r="EJ28">
        <v>1</v>
      </c>
      <c r="EK28">
        <v>12001</v>
      </c>
      <c r="EL28" t="s">
        <v>34</v>
      </c>
      <c r="EM28" t="s">
        <v>35</v>
      </c>
      <c r="EO28" t="s">
        <v>60</v>
      </c>
      <c r="EQ28">
        <v>0</v>
      </c>
      <c r="ER28">
        <v>436.55</v>
      </c>
      <c r="ES28">
        <v>36.67</v>
      </c>
      <c r="ET28">
        <v>189.93</v>
      </c>
      <c r="EU28">
        <v>21.86</v>
      </c>
      <c r="EV28">
        <v>209.95</v>
      </c>
      <c r="EW28">
        <v>24.3</v>
      </c>
      <c r="EX28">
        <v>1.94</v>
      </c>
      <c r="EY28">
        <v>0</v>
      </c>
      <c r="FQ28">
        <v>0</v>
      </c>
      <c r="FR28">
        <f t="shared" si="38"/>
        <v>0</v>
      </c>
      <c r="FS28">
        <v>0</v>
      </c>
      <c r="FX28">
        <v>109</v>
      </c>
      <c r="FY28">
        <v>48.45</v>
      </c>
      <c r="GA28" t="s">
        <v>3</v>
      </c>
      <c r="GD28">
        <v>1</v>
      </c>
      <c r="GF28">
        <v>118794489</v>
      </c>
      <c r="GG28">
        <v>2</v>
      </c>
      <c r="GH28">
        <v>1</v>
      </c>
      <c r="GI28">
        <v>4</v>
      </c>
      <c r="GJ28">
        <v>0</v>
      </c>
      <c r="GK28">
        <v>0</v>
      </c>
      <c r="GL28">
        <f t="shared" si="39"/>
        <v>0</v>
      </c>
      <c r="GM28">
        <f t="shared" si="40"/>
        <v>27101.68</v>
      </c>
      <c r="GN28">
        <f t="shared" si="41"/>
        <v>27101.68</v>
      </c>
      <c r="GO28">
        <f t="shared" si="42"/>
        <v>0</v>
      </c>
      <c r="GP28">
        <f t="shared" si="43"/>
        <v>0</v>
      </c>
      <c r="GR28">
        <v>0</v>
      </c>
      <c r="GS28">
        <v>3</v>
      </c>
      <c r="GT28">
        <v>0</v>
      </c>
      <c r="GU28" t="s">
        <v>3</v>
      </c>
      <c r="GV28">
        <f>ROUND((GT28),2)</f>
        <v>0</v>
      </c>
      <c r="GW28">
        <v>1</v>
      </c>
      <c r="GX28">
        <f t="shared" si="44"/>
        <v>0</v>
      </c>
      <c r="HA28">
        <v>0</v>
      </c>
      <c r="HB28">
        <v>0</v>
      </c>
      <c r="HC28">
        <f t="shared" si="45"/>
        <v>0</v>
      </c>
      <c r="HE28" t="s">
        <v>3</v>
      </c>
      <c r="HF28" t="s">
        <v>3</v>
      </c>
      <c r="HM28" t="s">
        <v>3</v>
      </c>
      <c r="HN28" t="s">
        <v>37</v>
      </c>
      <c r="HO28" t="s">
        <v>38</v>
      </c>
      <c r="HP28" t="s">
        <v>34</v>
      </c>
      <c r="HQ28" t="s">
        <v>34</v>
      </c>
      <c r="IK28">
        <v>0</v>
      </c>
    </row>
    <row r="29" spans="1:245" x14ac:dyDescent="0.2">
      <c r="A29">
        <v>17</v>
      </c>
      <c r="B29">
        <v>1</v>
      </c>
      <c r="C29">
        <f>ROW(SmtRes!A28)</f>
        <v>28</v>
      </c>
      <c r="D29">
        <f>ROW(EtalonRes!A28)</f>
        <v>28</v>
      </c>
      <c r="E29" t="s">
        <v>61</v>
      </c>
      <c r="F29" t="s">
        <v>40</v>
      </c>
      <c r="G29" t="s">
        <v>62</v>
      </c>
      <c r="H29" t="s">
        <v>19</v>
      </c>
      <c r="I29">
        <f>ROUND(96/100,9)</f>
        <v>0.96</v>
      </c>
      <c r="J29">
        <v>0</v>
      </c>
      <c r="K29">
        <f>ROUND(96/100,9)</f>
        <v>0.96</v>
      </c>
      <c r="O29">
        <f t="shared" si="14"/>
        <v>13929.63</v>
      </c>
      <c r="P29">
        <f t="shared" si="15"/>
        <v>0</v>
      </c>
      <c r="Q29">
        <f t="shared" si="16"/>
        <v>1457.01</v>
      </c>
      <c r="R29">
        <f t="shared" si="17"/>
        <v>533.67999999999995</v>
      </c>
      <c r="S29">
        <f t="shared" si="18"/>
        <v>12472.62</v>
      </c>
      <c r="T29">
        <f t="shared" si="19"/>
        <v>0</v>
      </c>
      <c r="U29">
        <f t="shared" si="20"/>
        <v>38.64</v>
      </c>
      <c r="V29">
        <f t="shared" si="21"/>
        <v>1.26</v>
      </c>
      <c r="W29">
        <f t="shared" si="22"/>
        <v>0</v>
      </c>
      <c r="X29">
        <f t="shared" si="23"/>
        <v>14176.87</v>
      </c>
      <c r="Y29">
        <f t="shared" si="24"/>
        <v>6301.55</v>
      </c>
      <c r="AA29">
        <v>145184733</v>
      </c>
      <c r="AB29">
        <f t="shared" si="25"/>
        <v>464.14</v>
      </c>
      <c r="AC29">
        <f>ROUND(((ES29*35)),2)</f>
        <v>0</v>
      </c>
      <c r="AD29">
        <f>ROUND((((((ET29*1.25)*35))-(((EU29*1.25)*35)))+AE29),2)</f>
        <v>116.38</v>
      </c>
      <c r="AE29">
        <f>ROUND((((EU29*1.25)*35)),2)</f>
        <v>14.88</v>
      </c>
      <c r="AF29">
        <f>ROUND((((EV29*1.15)*35)),2)</f>
        <v>347.76</v>
      </c>
      <c r="AG29">
        <f t="shared" si="26"/>
        <v>0</v>
      </c>
      <c r="AH29">
        <f>(((EW29*1.15)*35))</f>
        <v>40.25</v>
      </c>
      <c r="AI29">
        <f>(((EX29*1.25)*35))</f>
        <v>1.3125</v>
      </c>
      <c r="AJ29">
        <f t="shared" si="27"/>
        <v>0</v>
      </c>
      <c r="AK29">
        <v>11.3</v>
      </c>
      <c r="AL29">
        <v>0</v>
      </c>
      <c r="AM29">
        <v>2.66</v>
      </c>
      <c r="AN29">
        <v>0.34</v>
      </c>
      <c r="AO29">
        <v>8.64</v>
      </c>
      <c r="AP29">
        <v>0</v>
      </c>
      <c r="AQ29">
        <v>1</v>
      </c>
      <c r="AR29">
        <v>0.03</v>
      </c>
      <c r="AS29">
        <v>0</v>
      </c>
      <c r="AT29">
        <v>109</v>
      </c>
      <c r="AU29">
        <v>48.45</v>
      </c>
      <c r="AV29">
        <v>1</v>
      </c>
      <c r="AW29">
        <v>1</v>
      </c>
      <c r="AZ29">
        <v>1</v>
      </c>
      <c r="BA29">
        <v>37.36</v>
      </c>
      <c r="BB29">
        <v>13.04</v>
      </c>
      <c r="BC29">
        <v>8.31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42</v>
      </c>
      <c r="BM29">
        <v>12001</v>
      </c>
      <c r="BN29">
        <v>0</v>
      </c>
      <c r="BO29" t="s">
        <v>3</v>
      </c>
      <c r="BP29">
        <v>0</v>
      </c>
      <c r="BQ29">
        <v>2</v>
      </c>
      <c r="BR29">
        <v>0</v>
      </c>
      <c r="BS29">
        <v>37.36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109</v>
      </c>
      <c r="CA29">
        <v>57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346</v>
      </c>
      <c r="CO29">
        <v>0</v>
      </c>
      <c r="CP29">
        <f t="shared" si="28"/>
        <v>13929.630000000001</v>
      </c>
      <c r="CQ29">
        <f t="shared" si="29"/>
        <v>0</v>
      </c>
      <c r="CR29">
        <f>(((((ET29*1.25)*35))*BB29-(((EU29*1.25)*35))*BS29)+AE29*BS29)</f>
        <v>1517.7167999999999</v>
      </c>
      <c r="CS29">
        <f t="shared" si="30"/>
        <v>555.91679999999997</v>
      </c>
      <c r="CT29">
        <f t="shared" si="31"/>
        <v>12992.313599999999</v>
      </c>
      <c r="CU29">
        <f t="shared" si="32"/>
        <v>0</v>
      </c>
      <c r="CV29">
        <f t="shared" si="33"/>
        <v>40.25</v>
      </c>
      <c r="CW29">
        <f t="shared" si="34"/>
        <v>1.3125</v>
      </c>
      <c r="CX29">
        <f t="shared" si="35"/>
        <v>0</v>
      </c>
      <c r="CY29">
        <f t="shared" si="36"/>
        <v>14176.867000000002</v>
      </c>
      <c r="CZ29">
        <f t="shared" si="37"/>
        <v>6301.5523500000008</v>
      </c>
      <c r="DC29" t="s">
        <v>3</v>
      </c>
      <c r="DD29" t="s">
        <v>45</v>
      </c>
      <c r="DE29" t="s">
        <v>63</v>
      </c>
      <c r="DF29" t="s">
        <v>63</v>
      </c>
      <c r="DG29" t="s">
        <v>64</v>
      </c>
      <c r="DH29" t="s">
        <v>3</v>
      </c>
      <c r="DI29" t="s">
        <v>64</v>
      </c>
      <c r="DJ29" t="s">
        <v>63</v>
      </c>
      <c r="DK29" t="s">
        <v>3</v>
      </c>
      <c r="DL29" t="s">
        <v>3</v>
      </c>
      <c r="DM29" t="s">
        <v>59</v>
      </c>
      <c r="DN29">
        <v>0</v>
      </c>
      <c r="DO29">
        <v>0</v>
      </c>
      <c r="DP29">
        <v>1</v>
      </c>
      <c r="DQ29">
        <v>1</v>
      </c>
      <c r="DU29">
        <v>1005</v>
      </c>
      <c r="DV29" t="s">
        <v>19</v>
      </c>
      <c r="DW29" t="s">
        <v>19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140625032</v>
      </c>
      <c r="EF29">
        <v>2</v>
      </c>
      <c r="EG29" t="s">
        <v>21</v>
      </c>
      <c r="EH29">
        <v>12</v>
      </c>
      <c r="EI29" t="s">
        <v>34</v>
      </c>
      <c r="EJ29">
        <v>1</v>
      </c>
      <c r="EK29">
        <v>12001</v>
      </c>
      <c r="EL29" t="s">
        <v>34</v>
      </c>
      <c r="EM29" t="s">
        <v>35</v>
      </c>
      <c r="EO29" t="s">
        <v>60</v>
      </c>
      <c r="EQ29">
        <v>0</v>
      </c>
      <c r="ER29">
        <v>11.3</v>
      </c>
      <c r="ES29">
        <v>0</v>
      </c>
      <c r="ET29">
        <v>2.66</v>
      </c>
      <c r="EU29">
        <v>0.34</v>
      </c>
      <c r="EV29">
        <v>8.64</v>
      </c>
      <c r="EW29">
        <v>1</v>
      </c>
      <c r="EX29">
        <v>0.03</v>
      </c>
      <c r="EY29">
        <v>0</v>
      </c>
      <c r="FQ29">
        <v>0</v>
      </c>
      <c r="FR29">
        <f t="shared" si="38"/>
        <v>0</v>
      </c>
      <c r="FS29">
        <v>0</v>
      </c>
      <c r="FX29">
        <v>109</v>
      </c>
      <c r="FY29">
        <v>48.45</v>
      </c>
      <c r="GA29" t="s">
        <v>3</v>
      </c>
      <c r="GD29">
        <v>1</v>
      </c>
      <c r="GF29">
        <v>755478856</v>
      </c>
      <c r="GG29">
        <v>2</v>
      </c>
      <c r="GH29">
        <v>1</v>
      </c>
      <c r="GI29">
        <v>4</v>
      </c>
      <c r="GJ29">
        <v>0</v>
      </c>
      <c r="GK29">
        <v>0</v>
      </c>
      <c r="GL29">
        <f t="shared" si="39"/>
        <v>0</v>
      </c>
      <c r="GM29">
        <f t="shared" si="40"/>
        <v>34408.050000000003</v>
      </c>
      <c r="GN29">
        <f t="shared" si="41"/>
        <v>34408.050000000003</v>
      </c>
      <c r="GO29">
        <f t="shared" si="42"/>
        <v>0</v>
      </c>
      <c r="GP29">
        <f t="shared" si="43"/>
        <v>0</v>
      </c>
      <c r="GR29">
        <v>0</v>
      </c>
      <c r="GS29">
        <v>3</v>
      </c>
      <c r="GT29">
        <v>0</v>
      </c>
      <c r="GU29" t="s">
        <v>45</v>
      </c>
      <c r="GV29">
        <f>ROUND(((GT29*35)),2)</f>
        <v>0</v>
      </c>
      <c r="GW29">
        <v>1</v>
      </c>
      <c r="GX29">
        <f t="shared" si="44"/>
        <v>0</v>
      </c>
      <c r="HA29">
        <v>0</v>
      </c>
      <c r="HB29">
        <v>0</v>
      </c>
      <c r="HC29">
        <f t="shared" si="45"/>
        <v>0</v>
      </c>
      <c r="HE29" t="s">
        <v>3</v>
      </c>
      <c r="HF29" t="s">
        <v>3</v>
      </c>
      <c r="HM29" t="s">
        <v>3</v>
      </c>
      <c r="HN29" t="s">
        <v>37</v>
      </c>
      <c r="HO29" t="s">
        <v>38</v>
      </c>
      <c r="HP29" t="s">
        <v>34</v>
      </c>
      <c r="HQ29" t="s">
        <v>34</v>
      </c>
      <c r="IK29">
        <v>0</v>
      </c>
    </row>
    <row r="30" spans="1:245" x14ac:dyDescent="0.2">
      <c r="A30">
        <v>17</v>
      </c>
      <c r="B30">
        <v>1</v>
      </c>
      <c r="E30" t="s">
        <v>65</v>
      </c>
      <c r="F30" t="s">
        <v>66</v>
      </c>
      <c r="G30" t="s">
        <v>67</v>
      </c>
      <c r="H30" t="s">
        <v>68</v>
      </c>
      <c r="I30">
        <f>ROUND(I28*5.1,9)</f>
        <v>4.8959999999999999</v>
      </c>
      <c r="J30">
        <v>0</v>
      </c>
      <c r="K30">
        <f>ROUND(I28*5.1,9)</f>
        <v>4.8959999999999999</v>
      </c>
      <c r="O30">
        <f t="shared" si="14"/>
        <v>20755.84</v>
      </c>
      <c r="P30">
        <f t="shared" si="15"/>
        <v>20755.84</v>
      </c>
      <c r="Q30">
        <f t="shared" si="16"/>
        <v>0</v>
      </c>
      <c r="R30">
        <f t="shared" si="17"/>
        <v>0</v>
      </c>
      <c r="S30">
        <f t="shared" si="18"/>
        <v>0</v>
      </c>
      <c r="T30">
        <f t="shared" si="19"/>
        <v>0</v>
      </c>
      <c r="U30">
        <f t="shared" si="20"/>
        <v>0</v>
      </c>
      <c r="V30">
        <f t="shared" si="21"/>
        <v>0</v>
      </c>
      <c r="W30">
        <f t="shared" si="22"/>
        <v>0</v>
      </c>
      <c r="X30">
        <f t="shared" si="23"/>
        <v>0</v>
      </c>
      <c r="Y30">
        <f t="shared" si="24"/>
        <v>0</v>
      </c>
      <c r="AA30">
        <v>145184733</v>
      </c>
      <c r="AB30">
        <f t="shared" si="25"/>
        <v>510.15</v>
      </c>
      <c r="AC30">
        <f t="shared" ref="AC30:AC43" si="46">ROUND((ES30),2)</f>
        <v>510.15</v>
      </c>
      <c r="AD30">
        <f>ROUND((((ET30)-(EU30))+AE30),2)</f>
        <v>0</v>
      </c>
      <c r="AE30">
        <f>ROUND((EU30),2)</f>
        <v>0</v>
      </c>
      <c r="AF30">
        <f>ROUND((EV30),2)</f>
        <v>0</v>
      </c>
      <c r="AG30">
        <f t="shared" si="26"/>
        <v>0</v>
      </c>
      <c r="AH30">
        <f>(EW30)</f>
        <v>0</v>
      </c>
      <c r="AI30">
        <f>(EX30)</f>
        <v>0</v>
      </c>
      <c r="AJ30">
        <f t="shared" si="27"/>
        <v>0</v>
      </c>
      <c r="AK30">
        <v>510.15</v>
      </c>
      <c r="AL30">
        <v>510.15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8.31</v>
      </c>
      <c r="BD30" t="s">
        <v>3</v>
      </c>
      <c r="BE30" t="s">
        <v>3</v>
      </c>
      <c r="BF30" t="s">
        <v>3</v>
      </c>
      <c r="BG30" t="s">
        <v>3</v>
      </c>
      <c r="BH30">
        <v>3</v>
      </c>
      <c r="BI30">
        <v>1</v>
      </c>
      <c r="BJ30" t="s">
        <v>3</v>
      </c>
      <c r="BM30">
        <v>1100</v>
      </c>
      <c r="BN30">
        <v>0</v>
      </c>
      <c r="BO30" t="s">
        <v>3</v>
      </c>
      <c r="BP30">
        <v>0</v>
      </c>
      <c r="BQ30">
        <v>8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0</v>
      </c>
      <c r="CA30">
        <v>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28"/>
        <v>20755.84</v>
      </c>
      <c r="CQ30">
        <f t="shared" si="29"/>
        <v>4239.3464999999997</v>
      </c>
      <c r="CR30">
        <f>(((ET30)*BB30-(EU30)*BS30)+AE30*BS30)</f>
        <v>0</v>
      </c>
      <c r="CS30">
        <f t="shared" si="30"/>
        <v>0</v>
      </c>
      <c r="CT30">
        <f t="shared" si="31"/>
        <v>0</v>
      </c>
      <c r="CU30">
        <f t="shared" si="32"/>
        <v>0</v>
      </c>
      <c r="CV30">
        <f t="shared" si="33"/>
        <v>0</v>
      </c>
      <c r="CW30">
        <f t="shared" si="34"/>
        <v>0</v>
      </c>
      <c r="CX30">
        <f t="shared" si="35"/>
        <v>0</v>
      </c>
      <c r="CY30">
        <f t="shared" si="36"/>
        <v>0</v>
      </c>
      <c r="CZ30">
        <f t="shared" si="37"/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68</v>
      </c>
      <c r="DW30" t="s">
        <v>68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140625274</v>
      </c>
      <c r="EF30">
        <v>8</v>
      </c>
      <c r="EG30" t="s">
        <v>50</v>
      </c>
      <c r="EH30">
        <v>0</v>
      </c>
      <c r="EI30" t="s">
        <v>3</v>
      </c>
      <c r="EJ30">
        <v>1</v>
      </c>
      <c r="EK30">
        <v>1100</v>
      </c>
      <c r="EL30" t="s">
        <v>51</v>
      </c>
      <c r="EM30" t="s">
        <v>52</v>
      </c>
      <c r="EO30" t="s">
        <v>3</v>
      </c>
      <c r="EQ30">
        <v>0</v>
      </c>
      <c r="ER30">
        <v>510.15</v>
      </c>
      <c r="ES30">
        <v>510.15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5</v>
      </c>
      <c r="FC30">
        <v>1</v>
      </c>
      <c r="FD30">
        <v>18</v>
      </c>
      <c r="FF30">
        <v>4750</v>
      </c>
      <c r="FQ30">
        <v>0</v>
      </c>
      <c r="FR30">
        <f t="shared" si="38"/>
        <v>0</v>
      </c>
      <c r="FS30">
        <v>0</v>
      </c>
      <c r="FX30">
        <v>0</v>
      </c>
      <c r="FY30">
        <v>0</v>
      </c>
      <c r="GA30" t="s">
        <v>69</v>
      </c>
      <c r="GD30">
        <v>1</v>
      </c>
      <c r="GF30">
        <v>-1427629054</v>
      </c>
      <c r="GG30">
        <v>2</v>
      </c>
      <c r="GH30">
        <v>3</v>
      </c>
      <c r="GI30">
        <v>4</v>
      </c>
      <c r="GJ30">
        <v>0</v>
      </c>
      <c r="GK30">
        <v>0</v>
      </c>
      <c r="GL30">
        <f t="shared" si="39"/>
        <v>0</v>
      </c>
      <c r="GM30">
        <f t="shared" si="40"/>
        <v>20755.84</v>
      </c>
      <c r="GN30">
        <f t="shared" si="41"/>
        <v>20755.84</v>
      </c>
      <c r="GO30">
        <f t="shared" si="42"/>
        <v>0</v>
      </c>
      <c r="GP30">
        <f t="shared" si="43"/>
        <v>0</v>
      </c>
      <c r="GR30">
        <v>1</v>
      </c>
      <c r="GS30">
        <v>1</v>
      </c>
      <c r="GT30">
        <v>0</v>
      </c>
      <c r="GU30" t="s">
        <v>3</v>
      </c>
      <c r="GV30">
        <f t="shared" ref="GV30:GV43" si="47">ROUND((GT30),2)</f>
        <v>0</v>
      </c>
      <c r="GW30">
        <v>1</v>
      </c>
      <c r="GX30">
        <f t="shared" si="44"/>
        <v>0</v>
      </c>
      <c r="HA30">
        <v>0</v>
      </c>
      <c r="HB30">
        <v>0</v>
      </c>
      <c r="HC30">
        <f t="shared" si="45"/>
        <v>0</v>
      </c>
      <c r="HE30" t="s">
        <v>55</v>
      </c>
      <c r="HF30" t="s">
        <v>27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ROW(SmtRes!A33)</f>
        <v>33</v>
      </c>
      <c r="D31">
        <f>ROW(EtalonRes!A33)</f>
        <v>33</v>
      </c>
      <c r="E31" t="s">
        <v>70</v>
      </c>
      <c r="F31" t="s">
        <v>71</v>
      </c>
      <c r="G31" t="s">
        <v>72</v>
      </c>
      <c r="H31" t="s">
        <v>73</v>
      </c>
      <c r="I31">
        <f>ROUND(960-96,9)</f>
        <v>864</v>
      </c>
      <c r="J31">
        <v>0</v>
      </c>
      <c r="K31">
        <f>ROUND(960-96,9)</f>
        <v>864</v>
      </c>
      <c r="O31">
        <f t="shared" si="14"/>
        <v>473812.16</v>
      </c>
      <c r="P31">
        <f t="shared" si="15"/>
        <v>99297.19</v>
      </c>
      <c r="Q31">
        <f t="shared" si="16"/>
        <v>18477.16</v>
      </c>
      <c r="R31">
        <f t="shared" si="17"/>
        <v>0</v>
      </c>
      <c r="S31">
        <f t="shared" si="18"/>
        <v>356037.81</v>
      </c>
      <c r="T31">
        <f t="shared" si="19"/>
        <v>0</v>
      </c>
      <c r="U31">
        <f t="shared" si="20"/>
        <v>933.12000000000012</v>
      </c>
      <c r="V31">
        <f t="shared" si="21"/>
        <v>0</v>
      </c>
      <c r="W31">
        <f t="shared" si="22"/>
        <v>0</v>
      </c>
      <c r="X31">
        <f t="shared" si="23"/>
        <v>320434.03000000003</v>
      </c>
      <c r="Y31">
        <f t="shared" si="24"/>
        <v>163777.39000000001</v>
      </c>
      <c r="AA31">
        <v>145184733</v>
      </c>
      <c r="AB31">
        <f t="shared" si="25"/>
        <v>26.5</v>
      </c>
      <c r="AC31">
        <f t="shared" si="46"/>
        <v>13.83</v>
      </c>
      <c r="AD31">
        <f>ROUND((((ET31)-(EU31))+AE31),2)</f>
        <v>1.64</v>
      </c>
      <c r="AE31">
        <f>ROUND((EU31),2)</f>
        <v>0</v>
      </c>
      <c r="AF31">
        <f>ROUND((EV31),2)</f>
        <v>11.03</v>
      </c>
      <c r="AG31">
        <f t="shared" si="26"/>
        <v>0</v>
      </c>
      <c r="AH31">
        <f>(EW31)</f>
        <v>1.08</v>
      </c>
      <c r="AI31">
        <f>(EX31)</f>
        <v>0</v>
      </c>
      <c r="AJ31">
        <f t="shared" si="27"/>
        <v>0</v>
      </c>
      <c r="AK31">
        <v>26.5</v>
      </c>
      <c r="AL31">
        <v>13.83</v>
      </c>
      <c r="AM31">
        <v>1.64</v>
      </c>
      <c r="AN31">
        <v>0</v>
      </c>
      <c r="AO31">
        <v>11.03</v>
      </c>
      <c r="AP31">
        <v>0</v>
      </c>
      <c r="AQ31">
        <v>1.08</v>
      </c>
      <c r="AR31">
        <v>0</v>
      </c>
      <c r="AS31">
        <v>0</v>
      </c>
      <c r="AT31">
        <v>90</v>
      </c>
      <c r="AU31">
        <v>46</v>
      </c>
      <c r="AV31">
        <v>1</v>
      </c>
      <c r="AW31">
        <v>1</v>
      </c>
      <c r="AZ31">
        <v>1</v>
      </c>
      <c r="BA31">
        <v>37.36</v>
      </c>
      <c r="BB31">
        <v>13.04</v>
      </c>
      <c r="BC31">
        <v>8.31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74</v>
      </c>
      <c r="BM31">
        <v>58001</v>
      </c>
      <c r="BN31">
        <v>0</v>
      </c>
      <c r="BO31" t="s">
        <v>3</v>
      </c>
      <c r="BP31">
        <v>0</v>
      </c>
      <c r="BQ31">
        <v>6</v>
      </c>
      <c r="BR31">
        <v>0</v>
      </c>
      <c r="BS31">
        <v>37.36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90</v>
      </c>
      <c r="CA31">
        <v>46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28"/>
        <v>473812.16000000003</v>
      </c>
      <c r="CQ31">
        <f t="shared" si="29"/>
        <v>114.9273</v>
      </c>
      <c r="CR31">
        <f>(((ET31)*BB31-(EU31)*BS31)+AE31*BS31)</f>
        <v>21.385599999999997</v>
      </c>
      <c r="CS31">
        <f t="shared" si="30"/>
        <v>0</v>
      </c>
      <c r="CT31">
        <f t="shared" si="31"/>
        <v>412.08079999999995</v>
      </c>
      <c r="CU31">
        <f t="shared" si="32"/>
        <v>0</v>
      </c>
      <c r="CV31">
        <f t="shared" si="33"/>
        <v>1.08</v>
      </c>
      <c r="CW31">
        <f t="shared" si="34"/>
        <v>0</v>
      </c>
      <c r="CX31">
        <f t="shared" si="35"/>
        <v>0</v>
      </c>
      <c r="CY31">
        <f t="shared" si="36"/>
        <v>320434.02899999998</v>
      </c>
      <c r="CZ31">
        <f t="shared" si="37"/>
        <v>163777.39259999999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1005</v>
      </c>
      <c r="DV31" t="s">
        <v>73</v>
      </c>
      <c r="DW31" t="s">
        <v>73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140625154</v>
      </c>
      <c r="EF31">
        <v>6</v>
      </c>
      <c r="EG31" t="s">
        <v>75</v>
      </c>
      <c r="EH31">
        <v>92</v>
      </c>
      <c r="EI31" t="s">
        <v>76</v>
      </c>
      <c r="EJ31">
        <v>1</v>
      </c>
      <c r="EK31">
        <v>58001</v>
      </c>
      <c r="EL31" t="s">
        <v>76</v>
      </c>
      <c r="EM31" t="s">
        <v>77</v>
      </c>
      <c r="EO31" t="s">
        <v>3</v>
      </c>
      <c r="EQ31">
        <v>0</v>
      </c>
      <c r="ER31">
        <v>26.5</v>
      </c>
      <c r="ES31">
        <v>13.83</v>
      </c>
      <c r="ET31">
        <v>1.64</v>
      </c>
      <c r="EU31">
        <v>0</v>
      </c>
      <c r="EV31">
        <v>11.03</v>
      </c>
      <c r="EW31">
        <v>1.08</v>
      </c>
      <c r="EX31">
        <v>0</v>
      </c>
      <c r="EY31">
        <v>0</v>
      </c>
      <c r="FQ31">
        <v>0</v>
      </c>
      <c r="FR31">
        <f t="shared" si="38"/>
        <v>0</v>
      </c>
      <c r="FS31">
        <v>0</v>
      </c>
      <c r="FX31">
        <v>90</v>
      </c>
      <c r="FY31">
        <v>46</v>
      </c>
      <c r="GA31" t="s">
        <v>3</v>
      </c>
      <c r="GD31">
        <v>1</v>
      </c>
      <c r="GF31">
        <v>-744721651</v>
      </c>
      <c r="GG31">
        <v>2</v>
      </c>
      <c r="GH31">
        <v>1</v>
      </c>
      <c r="GI31">
        <v>4</v>
      </c>
      <c r="GJ31">
        <v>0</v>
      </c>
      <c r="GK31">
        <v>0</v>
      </c>
      <c r="GL31">
        <f t="shared" si="39"/>
        <v>0</v>
      </c>
      <c r="GM31">
        <f t="shared" si="40"/>
        <v>958023.58</v>
      </c>
      <c r="GN31">
        <f t="shared" si="41"/>
        <v>958023.58</v>
      </c>
      <c r="GO31">
        <f t="shared" si="42"/>
        <v>0</v>
      </c>
      <c r="GP31">
        <f t="shared" si="43"/>
        <v>0</v>
      </c>
      <c r="GR31">
        <v>0</v>
      </c>
      <c r="GS31">
        <v>3</v>
      </c>
      <c r="GT31">
        <v>0</v>
      </c>
      <c r="GU31" t="s">
        <v>3</v>
      </c>
      <c r="GV31">
        <f t="shared" si="47"/>
        <v>0</v>
      </c>
      <c r="GW31">
        <v>1</v>
      </c>
      <c r="GX31">
        <f t="shared" si="44"/>
        <v>0</v>
      </c>
      <c r="HA31">
        <v>0</v>
      </c>
      <c r="HB31">
        <v>0</v>
      </c>
      <c r="HC31">
        <f t="shared" si="45"/>
        <v>0</v>
      </c>
      <c r="HE31" t="s">
        <v>3</v>
      </c>
      <c r="HF31" t="s">
        <v>3</v>
      </c>
      <c r="HM31" t="s">
        <v>3</v>
      </c>
      <c r="HN31" t="s">
        <v>78</v>
      </c>
      <c r="HO31" t="s">
        <v>79</v>
      </c>
      <c r="HP31" t="s">
        <v>80</v>
      </c>
      <c r="HQ31" t="s">
        <v>80</v>
      </c>
      <c r="IK31">
        <v>0</v>
      </c>
    </row>
    <row r="32" spans="1:245" x14ac:dyDescent="0.2">
      <c r="A32">
        <v>17</v>
      </c>
      <c r="B32">
        <v>1</v>
      </c>
      <c r="C32">
        <f>ROW(SmtRes!A37)</f>
        <v>37</v>
      </c>
      <c r="D32">
        <f>ROW(EtalonRes!A37)</f>
        <v>37</v>
      </c>
      <c r="E32" t="s">
        <v>81</v>
      </c>
      <c r="F32" t="s">
        <v>82</v>
      </c>
      <c r="G32" t="s">
        <v>83</v>
      </c>
      <c r="H32" t="s">
        <v>19</v>
      </c>
      <c r="I32">
        <f>ROUND(960/100,9)</f>
        <v>9.6</v>
      </c>
      <c r="J32">
        <v>0</v>
      </c>
      <c r="K32">
        <f>ROUND(960/100,9)</f>
        <v>9.6</v>
      </c>
      <c r="O32">
        <f t="shared" si="14"/>
        <v>17685.759999999998</v>
      </c>
      <c r="P32">
        <f t="shared" si="15"/>
        <v>7179.84</v>
      </c>
      <c r="Q32">
        <f t="shared" si="16"/>
        <v>413.34</v>
      </c>
      <c r="R32">
        <f t="shared" si="17"/>
        <v>208.02</v>
      </c>
      <c r="S32">
        <f t="shared" si="18"/>
        <v>10092.58</v>
      </c>
      <c r="T32">
        <f t="shared" si="19"/>
        <v>0</v>
      </c>
      <c r="U32">
        <f t="shared" si="20"/>
        <v>30.911999999999995</v>
      </c>
      <c r="V32">
        <f t="shared" si="21"/>
        <v>0.48</v>
      </c>
      <c r="W32">
        <f t="shared" si="22"/>
        <v>0</v>
      </c>
      <c r="X32">
        <f t="shared" si="23"/>
        <v>11227.65</v>
      </c>
      <c r="Y32">
        <f t="shared" si="24"/>
        <v>4990.6400000000003</v>
      </c>
      <c r="AA32">
        <v>145184733</v>
      </c>
      <c r="AB32">
        <f t="shared" si="25"/>
        <v>121.43</v>
      </c>
      <c r="AC32">
        <f t="shared" si="46"/>
        <v>90</v>
      </c>
      <c r="AD32">
        <f>ROUND(((((ET32*1.25))-((EU32*1.25)))+AE32),2)</f>
        <v>3.29</v>
      </c>
      <c r="AE32">
        <f>ROUND(((EU32*1.25)),2)</f>
        <v>0.57999999999999996</v>
      </c>
      <c r="AF32">
        <f>ROUND(((EV32*1.15)),2)</f>
        <v>28.14</v>
      </c>
      <c r="AG32">
        <f t="shared" si="26"/>
        <v>0</v>
      </c>
      <c r="AH32">
        <f>((EW32*1.15))</f>
        <v>3.2199999999999998</v>
      </c>
      <c r="AI32">
        <f>((EX32*1.25))</f>
        <v>0.05</v>
      </c>
      <c r="AJ32">
        <f t="shared" si="27"/>
        <v>0</v>
      </c>
      <c r="AK32">
        <v>117.1</v>
      </c>
      <c r="AL32">
        <v>90</v>
      </c>
      <c r="AM32">
        <v>2.63</v>
      </c>
      <c r="AN32">
        <v>0.46</v>
      </c>
      <c r="AO32">
        <v>24.47</v>
      </c>
      <c r="AP32">
        <v>0</v>
      </c>
      <c r="AQ32">
        <v>2.8</v>
      </c>
      <c r="AR32">
        <v>0.04</v>
      </c>
      <c r="AS32">
        <v>0</v>
      </c>
      <c r="AT32">
        <v>109</v>
      </c>
      <c r="AU32">
        <v>48.45</v>
      </c>
      <c r="AV32">
        <v>1</v>
      </c>
      <c r="AW32">
        <v>1</v>
      </c>
      <c r="AZ32">
        <v>1</v>
      </c>
      <c r="BA32">
        <v>37.36</v>
      </c>
      <c r="BB32">
        <v>13.04</v>
      </c>
      <c r="BC32">
        <v>8.31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84</v>
      </c>
      <c r="BM32">
        <v>12001</v>
      </c>
      <c r="BN32">
        <v>0</v>
      </c>
      <c r="BO32" t="s">
        <v>3</v>
      </c>
      <c r="BP32">
        <v>0</v>
      </c>
      <c r="BQ32">
        <v>2</v>
      </c>
      <c r="BR32">
        <v>0</v>
      </c>
      <c r="BS32">
        <v>37.36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109</v>
      </c>
      <c r="CA32">
        <v>57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346</v>
      </c>
      <c r="CO32">
        <v>0</v>
      </c>
      <c r="CP32">
        <f t="shared" si="28"/>
        <v>17685.760000000002</v>
      </c>
      <c r="CQ32">
        <f t="shared" si="29"/>
        <v>747.90000000000009</v>
      </c>
      <c r="CR32">
        <f>((((ET32*1.25))*BB32-((EU32*1.25))*BS32)+AE32*BS32)</f>
        <v>43.055799999999991</v>
      </c>
      <c r="CS32">
        <f t="shared" si="30"/>
        <v>21.668799999999997</v>
      </c>
      <c r="CT32">
        <f t="shared" si="31"/>
        <v>1051.3104000000001</v>
      </c>
      <c r="CU32">
        <f t="shared" si="32"/>
        <v>0</v>
      </c>
      <c r="CV32">
        <f t="shared" si="33"/>
        <v>3.2199999999999998</v>
      </c>
      <c r="CW32">
        <f t="shared" si="34"/>
        <v>0.05</v>
      </c>
      <c r="CX32">
        <f t="shared" si="35"/>
        <v>0</v>
      </c>
      <c r="CY32">
        <f t="shared" si="36"/>
        <v>11227.654000000002</v>
      </c>
      <c r="CZ32">
        <f t="shared" si="37"/>
        <v>4990.6407000000008</v>
      </c>
      <c r="DC32" t="s">
        <v>3</v>
      </c>
      <c r="DD32" t="s">
        <v>3</v>
      </c>
      <c r="DE32" t="s">
        <v>57</v>
      </c>
      <c r="DF32" t="s">
        <v>57</v>
      </c>
      <c r="DG32" t="s">
        <v>58</v>
      </c>
      <c r="DH32" t="s">
        <v>3</v>
      </c>
      <c r="DI32" t="s">
        <v>58</v>
      </c>
      <c r="DJ32" t="s">
        <v>57</v>
      </c>
      <c r="DK32" t="s">
        <v>3</v>
      </c>
      <c r="DL32" t="s">
        <v>3</v>
      </c>
      <c r="DM32" t="s">
        <v>59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19</v>
      </c>
      <c r="DW32" t="s">
        <v>19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140625032</v>
      </c>
      <c r="EF32">
        <v>2</v>
      </c>
      <c r="EG32" t="s">
        <v>21</v>
      </c>
      <c r="EH32">
        <v>12</v>
      </c>
      <c r="EI32" t="s">
        <v>34</v>
      </c>
      <c r="EJ32">
        <v>1</v>
      </c>
      <c r="EK32">
        <v>12001</v>
      </c>
      <c r="EL32" t="s">
        <v>34</v>
      </c>
      <c r="EM32" t="s">
        <v>35</v>
      </c>
      <c r="EO32" t="s">
        <v>60</v>
      </c>
      <c r="EQ32">
        <v>0</v>
      </c>
      <c r="ER32">
        <v>117.1</v>
      </c>
      <c r="ES32">
        <v>90</v>
      </c>
      <c r="ET32">
        <v>2.63</v>
      </c>
      <c r="EU32">
        <v>0.46</v>
      </c>
      <c r="EV32">
        <v>24.47</v>
      </c>
      <c r="EW32">
        <v>2.8</v>
      </c>
      <c r="EX32">
        <v>0.04</v>
      </c>
      <c r="EY32">
        <v>0</v>
      </c>
      <c r="FQ32">
        <v>0</v>
      </c>
      <c r="FR32">
        <f t="shared" si="38"/>
        <v>0</v>
      </c>
      <c r="FS32">
        <v>0</v>
      </c>
      <c r="FX32">
        <v>109</v>
      </c>
      <c r="FY32">
        <v>48.45</v>
      </c>
      <c r="GA32" t="s">
        <v>3</v>
      </c>
      <c r="GD32">
        <v>1</v>
      </c>
      <c r="GF32">
        <v>376525292</v>
      </c>
      <c r="GG32">
        <v>2</v>
      </c>
      <c r="GH32">
        <v>1</v>
      </c>
      <c r="GI32">
        <v>4</v>
      </c>
      <c r="GJ32">
        <v>0</v>
      </c>
      <c r="GK32">
        <v>0</v>
      </c>
      <c r="GL32">
        <f t="shared" si="39"/>
        <v>0</v>
      </c>
      <c r="GM32">
        <f t="shared" si="40"/>
        <v>33904.050000000003</v>
      </c>
      <c r="GN32">
        <f t="shared" si="41"/>
        <v>33904.050000000003</v>
      </c>
      <c r="GO32">
        <f t="shared" si="42"/>
        <v>0</v>
      </c>
      <c r="GP32">
        <f t="shared" si="43"/>
        <v>0</v>
      </c>
      <c r="GR32">
        <v>0</v>
      </c>
      <c r="GS32">
        <v>3</v>
      </c>
      <c r="GT32">
        <v>0</v>
      </c>
      <c r="GU32" t="s">
        <v>3</v>
      </c>
      <c r="GV32">
        <f t="shared" si="47"/>
        <v>0</v>
      </c>
      <c r="GW32">
        <v>1</v>
      </c>
      <c r="GX32">
        <f t="shared" si="44"/>
        <v>0</v>
      </c>
      <c r="HA32">
        <v>0</v>
      </c>
      <c r="HB32">
        <v>0</v>
      </c>
      <c r="HC32">
        <f t="shared" si="45"/>
        <v>0</v>
      </c>
      <c r="HE32" t="s">
        <v>3</v>
      </c>
      <c r="HF32" t="s">
        <v>3</v>
      </c>
      <c r="HM32" t="s">
        <v>3</v>
      </c>
      <c r="HN32" t="s">
        <v>37</v>
      </c>
      <c r="HO32" t="s">
        <v>38</v>
      </c>
      <c r="HP32" t="s">
        <v>34</v>
      </c>
      <c r="HQ32" t="s">
        <v>34</v>
      </c>
      <c r="IK32">
        <v>0</v>
      </c>
    </row>
    <row r="33" spans="1:245" x14ac:dyDescent="0.2">
      <c r="A33">
        <v>18</v>
      </c>
      <c r="B33">
        <v>1</v>
      </c>
      <c r="C33">
        <v>37</v>
      </c>
      <c r="E33" t="s">
        <v>85</v>
      </c>
      <c r="F33" t="s">
        <v>86</v>
      </c>
      <c r="G33" t="s">
        <v>87</v>
      </c>
      <c r="H33" t="s">
        <v>88</v>
      </c>
      <c r="I33">
        <f>I32*J33</f>
        <v>-0.432</v>
      </c>
      <c r="J33">
        <v>-4.4999999999999998E-2</v>
      </c>
      <c r="K33">
        <v>-4.4999999999999998E-2</v>
      </c>
      <c r="O33">
        <f t="shared" si="14"/>
        <v>-7179.84</v>
      </c>
      <c r="P33">
        <f t="shared" si="15"/>
        <v>-7179.84</v>
      </c>
      <c r="Q33">
        <f t="shared" si="16"/>
        <v>0</v>
      </c>
      <c r="R33">
        <f t="shared" si="17"/>
        <v>0</v>
      </c>
      <c r="S33">
        <f t="shared" si="18"/>
        <v>0</v>
      </c>
      <c r="T33">
        <f t="shared" si="19"/>
        <v>0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AA33">
        <v>145184733</v>
      </c>
      <c r="AB33">
        <f t="shared" si="25"/>
        <v>2000</v>
      </c>
      <c r="AC33">
        <f t="shared" si="46"/>
        <v>2000</v>
      </c>
      <c r="AD33">
        <f>ROUND((((ET33)-(EU33))+AE33),2)</f>
        <v>0</v>
      </c>
      <c r="AE33">
        <f>ROUND((EU33),2)</f>
        <v>0</v>
      </c>
      <c r="AF33">
        <f>ROUND((EV33),2)</f>
        <v>0</v>
      </c>
      <c r="AG33">
        <f t="shared" si="26"/>
        <v>0</v>
      </c>
      <c r="AH33">
        <f>(EW33)</f>
        <v>0</v>
      </c>
      <c r="AI33">
        <f>(EX33)</f>
        <v>0</v>
      </c>
      <c r="AJ33">
        <f t="shared" si="27"/>
        <v>0</v>
      </c>
      <c r="AK33">
        <v>2000</v>
      </c>
      <c r="AL33">
        <v>2000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109</v>
      </c>
      <c r="AU33">
        <v>57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8.31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1</v>
      </c>
      <c r="BJ33" t="s">
        <v>89</v>
      </c>
      <c r="BM33">
        <v>12001</v>
      </c>
      <c r="BN33">
        <v>0</v>
      </c>
      <c r="BO33" t="s">
        <v>3</v>
      </c>
      <c r="BP33">
        <v>0</v>
      </c>
      <c r="BQ33">
        <v>2</v>
      </c>
      <c r="BR33">
        <v>1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109</v>
      </c>
      <c r="CA33">
        <v>57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28"/>
        <v>-7179.84</v>
      </c>
      <c r="CQ33">
        <f t="shared" si="29"/>
        <v>16620</v>
      </c>
      <c r="CR33">
        <f>(((ET33)*BB33-(EU33)*BS33)+AE33*BS33)</f>
        <v>0</v>
      </c>
      <c r="CS33">
        <f t="shared" si="30"/>
        <v>0</v>
      </c>
      <c r="CT33">
        <f t="shared" si="31"/>
        <v>0</v>
      </c>
      <c r="CU33">
        <f t="shared" si="32"/>
        <v>0</v>
      </c>
      <c r="CV33">
        <f t="shared" si="33"/>
        <v>0</v>
      </c>
      <c r="CW33">
        <f t="shared" si="34"/>
        <v>0</v>
      </c>
      <c r="CX33">
        <f t="shared" si="35"/>
        <v>0</v>
      </c>
      <c r="CY33">
        <f t="shared" si="36"/>
        <v>0</v>
      </c>
      <c r="CZ33">
        <f t="shared" si="37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88</v>
      </c>
      <c r="DW33" t="s">
        <v>88</v>
      </c>
      <c r="DX33">
        <v>1000</v>
      </c>
      <c r="DZ33" t="s">
        <v>3</v>
      </c>
      <c r="EA33" t="s">
        <v>3</v>
      </c>
      <c r="EB33" t="s">
        <v>3</v>
      </c>
      <c r="EC33" t="s">
        <v>3</v>
      </c>
      <c r="EE33">
        <v>140625032</v>
      </c>
      <c r="EF33">
        <v>2</v>
      </c>
      <c r="EG33" t="s">
        <v>21</v>
      </c>
      <c r="EH33">
        <v>12</v>
      </c>
      <c r="EI33" t="s">
        <v>34</v>
      </c>
      <c r="EJ33">
        <v>1</v>
      </c>
      <c r="EK33">
        <v>12001</v>
      </c>
      <c r="EL33" t="s">
        <v>34</v>
      </c>
      <c r="EM33" t="s">
        <v>35</v>
      </c>
      <c r="EO33" t="s">
        <v>3</v>
      </c>
      <c r="EQ33">
        <v>0</v>
      </c>
      <c r="ER33">
        <v>2000</v>
      </c>
      <c r="ES33">
        <v>2000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38"/>
        <v>0</v>
      </c>
      <c r="FS33">
        <v>0</v>
      </c>
      <c r="FX33">
        <v>109</v>
      </c>
      <c r="FY33">
        <v>57</v>
      </c>
      <c r="GA33" t="s">
        <v>3</v>
      </c>
      <c r="GD33">
        <v>1</v>
      </c>
      <c r="GF33">
        <v>-2105186236</v>
      </c>
      <c r="GG33">
        <v>2</v>
      </c>
      <c r="GH33">
        <v>1</v>
      </c>
      <c r="GI33">
        <v>4</v>
      </c>
      <c r="GJ33">
        <v>0</v>
      </c>
      <c r="GK33">
        <v>0</v>
      </c>
      <c r="GL33">
        <f t="shared" si="39"/>
        <v>0</v>
      </c>
      <c r="GM33">
        <f t="shared" si="40"/>
        <v>-7179.84</v>
      </c>
      <c r="GN33">
        <f t="shared" si="41"/>
        <v>-7179.84</v>
      </c>
      <c r="GO33">
        <f t="shared" si="42"/>
        <v>0</v>
      </c>
      <c r="GP33">
        <f t="shared" si="43"/>
        <v>0</v>
      </c>
      <c r="GR33">
        <v>0</v>
      </c>
      <c r="GS33">
        <v>3</v>
      </c>
      <c r="GT33">
        <v>0</v>
      </c>
      <c r="GU33" t="s">
        <v>3</v>
      </c>
      <c r="GV33">
        <f t="shared" si="47"/>
        <v>0</v>
      </c>
      <c r="GW33">
        <v>1</v>
      </c>
      <c r="GX33">
        <f t="shared" si="44"/>
        <v>0</v>
      </c>
      <c r="HA33">
        <v>0</v>
      </c>
      <c r="HB33">
        <v>0</v>
      </c>
      <c r="HC33">
        <f t="shared" si="45"/>
        <v>0</v>
      </c>
      <c r="HE33" t="s">
        <v>3</v>
      </c>
      <c r="HF33" t="s">
        <v>3</v>
      </c>
      <c r="HM33" t="s">
        <v>3</v>
      </c>
      <c r="HN33" t="s">
        <v>37</v>
      </c>
      <c r="HO33" t="s">
        <v>38</v>
      </c>
      <c r="HP33" t="s">
        <v>34</v>
      </c>
      <c r="HQ33" t="s">
        <v>34</v>
      </c>
      <c r="IK33">
        <v>0</v>
      </c>
    </row>
    <row r="34" spans="1:245" x14ac:dyDescent="0.2">
      <c r="A34">
        <v>17</v>
      </c>
      <c r="B34">
        <v>1</v>
      </c>
      <c r="E34" t="s">
        <v>90</v>
      </c>
      <c r="F34" t="s">
        <v>66</v>
      </c>
      <c r="G34" t="s">
        <v>91</v>
      </c>
      <c r="H34" t="s">
        <v>92</v>
      </c>
      <c r="I34">
        <f>ROUND(960*0.3,9)</f>
        <v>288</v>
      </c>
      <c r="J34">
        <v>0</v>
      </c>
      <c r="K34">
        <f>ROUND(960*0.3,9)</f>
        <v>288</v>
      </c>
      <c r="O34">
        <f t="shared" si="14"/>
        <v>57701.98</v>
      </c>
      <c r="P34">
        <f t="shared" si="15"/>
        <v>57701.98</v>
      </c>
      <c r="Q34">
        <f t="shared" si="16"/>
        <v>0</v>
      </c>
      <c r="R34">
        <f t="shared" si="17"/>
        <v>0</v>
      </c>
      <c r="S34">
        <f t="shared" si="18"/>
        <v>0</v>
      </c>
      <c r="T34">
        <f t="shared" si="19"/>
        <v>0</v>
      </c>
      <c r="U34">
        <f t="shared" si="20"/>
        <v>0</v>
      </c>
      <c r="V34">
        <f t="shared" si="21"/>
        <v>0</v>
      </c>
      <c r="W34">
        <f t="shared" si="22"/>
        <v>0</v>
      </c>
      <c r="X34">
        <f t="shared" si="23"/>
        <v>0</v>
      </c>
      <c r="Y34">
        <f t="shared" si="24"/>
        <v>0</v>
      </c>
      <c r="AA34">
        <v>145184733</v>
      </c>
      <c r="AB34">
        <f t="shared" si="25"/>
        <v>24.11</v>
      </c>
      <c r="AC34">
        <f t="shared" si="46"/>
        <v>24.11</v>
      </c>
      <c r="AD34">
        <f>ROUND((((ET34)-(EU34))+AE34),2)</f>
        <v>0</v>
      </c>
      <c r="AE34">
        <f>ROUND((EU34),2)</f>
        <v>0</v>
      </c>
      <c r="AF34">
        <f>ROUND((EV34),2)</f>
        <v>0</v>
      </c>
      <c r="AG34">
        <f t="shared" si="26"/>
        <v>0</v>
      </c>
      <c r="AH34">
        <f>(EW34)</f>
        <v>0</v>
      </c>
      <c r="AI34">
        <f>(EX34)</f>
        <v>0</v>
      </c>
      <c r="AJ34">
        <f t="shared" si="27"/>
        <v>0</v>
      </c>
      <c r="AK34">
        <v>24.11</v>
      </c>
      <c r="AL34">
        <v>24.11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8.31</v>
      </c>
      <c r="BD34" t="s">
        <v>3</v>
      </c>
      <c r="BE34" t="s">
        <v>3</v>
      </c>
      <c r="BF34" t="s">
        <v>3</v>
      </c>
      <c r="BG34" t="s">
        <v>3</v>
      </c>
      <c r="BH34">
        <v>3</v>
      </c>
      <c r="BI34">
        <v>1</v>
      </c>
      <c r="BJ34" t="s">
        <v>3</v>
      </c>
      <c r="BM34">
        <v>1100</v>
      </c>
      <c r="BN34">
        <v>0</v>
      </c>
      <c r="BO34" t="s">
        <v>3</v>
      </c>
      <c r="BP34">
        <v>0</v>
      </c>
      <c r="BQ34">
        <v>8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0</v>
      </c>
      <c r="CA34">
        <v>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28"/>
        <v>57701.98</v>
      </c>
      <c r="CQ34">
        <f t="shared" si="29"/>
        <v>200.35410000000002</v>
      </c>
      <c r="CR34">
        <f>(((ET34)*BB34-(EU34)*BS34)+AE34*BS34)</f>
        <v>0</v>
      </c>
      <c r="CS34">
        <f t="shared" si="30"/>
        <v>0</v>
      </c>
      <c r="CT34">
        <f t="shared" si="31"/>
        <v>0</v>
      </c>
      <c r="CU34">
        <f t="shared" si="32"/>
        <v>0</v>
      </c>
      <c r="CV34">
        <f t="shared" si="33"/>
        <v>0</v>
      </c>
      <c r="CW34">
        <f t="shared" si="34"/>
        <v>0</v>
      </c>
      <c r="CX34">
        <f t="shared" si="35"/>
        <v>0</v>
      </c>
      <c r="CY34">
        <f t="shared" si="36"/>
        <v>0</v>
      </c>
      <c r="CZ34">
        <f t="shared" si="37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1009</v>
      </c>
      <c r="DV34" t="s">
        <v>92</v>
      </c>
      <c r="DW34" t="s">
        <v>92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140625274</v>
      </c>
      <c r="EF34">
        <v>8</v>
      </c>
      <c r="EG34" t="s">
        <v>50</v>
      </c>
      <c r="EH34">
        <v>0</v>
      </c>
      <c r="EI34" t="s">
        <v>3</v>
      </c>
      <c r="EJ34">
        <v>1</v>
      </c>
      <c r="EK34">
        <v>1100</v>
      </c>
      <c r="EL34" t="s">
        <v>51</v>
      </c>
      <c r="EM34" t="s">
        <v>52</v>
      </c>
      <c r="EO34" t="s">
        <v>3</v>
      </c>
      <c r="EQ34">
        <v>0</v>
      </c>
      <c r="ER34">
        <v>24.11</v>
      </c>
      <c r="ES34">
        <v>24.11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5</v>
      </c>
      <c r="FC34">
        <v>1</v>
      </c>
      <c r="FD34">
        <v>18</v>
      </c>
      <c r="FF34">
        <v>224.45</v>
      </c>
      <c r="FQ34">
        <v>0</v>
      </c>
      <c r="FR34">
        <f t="shared" si="38"/>
        <v>0</v>
      </c>
      <c r="FS34">
        <v>0</v>
      </c>
      <c r="FX34">
        <v>0</v>
      </c>
      <c r="FY34">
        <v>0</v>
      </c>
      <c r="GA34" t="s">
        <v>93</v>
      </c>
      <c r="GD34">
        <v>1</v>
      </c>
      <c r="GF34">
        <v>-1574269725</v>
      </c>
      <c r="GG34">
        <v>2</v>
      </c>
      <c r="GH34">
        <v>3</v>
      </c>
      <c r="GI34">
        <v>4</v>
      </c>
      <c r="GJ34">
        <v>0</v>
      </c>
      <c r="GK34">
        <v>0</v>
      </c>
      <c r="GL34">
        <f t="shared" si="39"/>
        <v>0</v>
      </c>
      <c r="GM34">
        <f t="shared" si="40"/>
        <v>57701.98</v>
      </c>
      <c r="GN34">
        <f t="shared" si="41"/>
        <v>57701.98</v>
      </c>
      <c r="GO34">
        <f t="shared" si="42"/>
        <v>0</v>
      </c>
      <c r="GP34">
        <f t="shared" si="43"/>
        <v>0</v>
      </c>
      <c r="GR34">
        <v>1</v>
      </c>
      <c r="GS34">
        <v>1</v>
      </c>
      <c r="GT34">
        <v>0</v>
      </c>
      <c r="GU34" t="s">
        <v>3</v>
      </c>
      <c r="GV34">
        <f t="shared" si="47"/>
        <v>0</v>
      </c>
      <c r="GW34">
        <v>1</v>
      </c>
      <c r="GX34">
        <f t="shared" si="44"/>
        <v>0</v>
      </c>
      <c r="HA34">
        <v>0</v>
      </c>
      <c r="HB34">
        <v>0</v>
      </c>
      <c r="HC34">
        <f t="shared" si="45"/>
        <v>0</v>
      </c>
      <c r="HE34" t="s">
        <v>55</v>
      </c>
      <c r="HF34" t="s">
        <v>27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C35">
        <f>ROW(SmtRes!A45)</f>
        <v>45</v>
      </c>
      <c r="D35">
        <f>ROW(EtalonRes!A45)</f>
        <v>45</v>
      </c>
      <c r="E35" t="s">
        <v>94</v>
      </c>
      <c r="F35" t="s">
        <v>95</v>
      </c>
      <c r="G35" t="s">
        <v>96</v>
      </c>
      <c r="H35" t="s">
        <v>19</v>
      </c>
      <c r="I35">
        <f>ROUND(960/100,9)</f>
        <v>9.6</v>
      </c>
      <c r="J35">
        <v>0</v>
      </c>
      <c r="K35">
        <f>ROUND(960/100,9)</f>
        <v>9.6</v>
      </c>
      <c r="O35">
        <f t="shared" si="14"/>
        <v>74076.289999999994</v>
      </c>
      <c r="P35">
        <f t="shared" si="15"/>
        <v>14545.56</v>
      </c>
      <c r="Q35">
        <f t="shared" si="16"/>
        <v>3856.56</v>
      </c>
      <c r="R35">
        <f t="shared" si="17"/>
        <v>1682.1</v>
      </c>
      <c r="S35">
        <f t="shared" si="18"/>
        <v>55674.17</v>
      </c>
      <c r="T35">
        <f t="shared" si="19"/>
        <v>0</v>
      </c>
      <c r="U35">
        <f t="shared" si="20"/>
        <v>158.53439999999998</v>
      </c>
      <c r="V35">
        <f t="shared" si="21"/>
        <v>3.48</v>
      </c>
      <c r="W35">
        <f t="shared" si="22"/>
        <v>0</v>
      </c>
      <c r="X35">
        <f t="shared" si="23"/>
        <v>62518.33</v>
      </c>
      <c r="Y35">
        <f t="shared" si="24"/>
        <v>27789.11</v>
      </c>
      <c r="AA35">
        <v>145184733</v>
      </c>
      <c r="AB35">
        <f t="shared" si="25"/>
        <v>368.36</v>
      </c>
      <c r="AC35">
        <f t="shared" si="46"/>
        <v>182.33</v>
      </c>
      <c r="AD35">
        <f>ROUND(((((ET35*1.25))-((EU35*1.25)))+AE35),2)</f>
        <v>30.8</v>
      </c>
      <c r="AE35">
        <f>ROUND(((EU35*1.25)),2)</f>
        <v>4.6900000000000004</v>
      </c>
      <c r="AF35">
        <f>ROUND(((EV35*1.15)),2)</f>
        <v>155.22999999999999</v>
      </c>
      <c r="AG35">
        <f t="shared" si="26"/>
        <v>0</v>
      </c>
      <c r="AH35">
        <f>((EW35*1.15))</f>
        <v>16.513999999999999</v>
      </c>
      <c r="AI35">
        <f>((EX35*1.25))</f>
        <v>0.36249999999999999</v>
      </c>
      <c r="AJ35">
        <f t="shared" si="27"/>
        <v>0</v>
      </c>
      <c r="AK35">
        <v>341.95</v>
      </c>
      <c r="AL35">
        <v>182.33</v>
      </c>
      <c r="AM35">
        <v>24.64</v>
      </c>
      <c r="AN35">
        <v>3.75</v>
      </c>
      <c r="AO35">
        <v>134.97999999999999</v>
      </c>
      <c r="AP35">
        <v>0</v>
      </c>
      <c r="AQ35">
        <v>14.36</v>
      </c>
      <c r="AR35">
        <v>0.28999999999999998</v>
      </c>
      <c r="AS35">
        <v>0</v>
      </c>
      <c r="AT35">
        <v>109</v>
      </c>
      <c r="AU35">
        <v>48.45</v>
      </c>
      <c r="AV35">
        <v>1</v>
      </c>
      <c r="AW35">
        <v>1</v>
      </c>
      <c r="AZ35">
        <v>1</v>
      </c>
      <c r="BA35">
        <v>37.36</v>
      </c>
      <c r="BB35">
        <v>13.04</v>
      </c>
      <c r="BC35">
        <v>8.31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1</v>
      </c>
      <c r="BJ35" t="s">
        <v>97</v>
      </c>
      <c r="BM35">
        <v>12001</v>
      </c>
      <c r="BN35">
        <v>0</v>
      </c>
      <c r="BO35" t="s">
        <v>3</v>
      </c>
      <c r="BP35">
        <v>0</v>
      </c>
      <c r="BQ35">
        <v>2</v>
      </c>
      <c r="BR35">
        <v>0</v>
      </c>
      <c r="BS35">
        <v>37.36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109</v>
      </c>
      <c r="CA35">
        <v>57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346</v>
      </c>
      <c r="CO35">
        <v>0</v>
      </c>
      <c r="CP35">
        <f t="shared" si="28"/>
        <v>74076.289999999994</v>
      </c>
      <c r="CQ35">
        <f t="shared" si="29"/>
        <v>1515.1623000000002</v>
      </c>
      <c r="CR35">
        <f>((((ET35*1.25))*BB35-((EU35*1.25))*BS35)+AE35*BS35)</f>
        <v>401.72540000000004</v>
      </c>
      <c r="CS35">
        <f t="shared" si="30"/>
        <v>175.2184</v>
      </c>
      <c r="CT35">
        <f t="shared" si="31"/>
        <v>5799.3927999999996</v>
      </c>
      <c r="CU35">
        <f t="shared" si="32"/>
        <v>0</v>
      </c>
      <c r="CV35">
        <f t="shared" si="33"/>
        <v>16.513999999999999</v>
      </c>
      <c r="CW35">
        <f t="shared" si="34"/>
        <v>0.36249999999999999</v>
      </c>
      <c r="CX35">
        <f t="shared" si="35"/>
        <v>0</v>
      </c>
      <c r="CY35">
        <f t="shared" si="36"/>
        <v>62518.334299999995</v>
      </c>
      <c r="CZ35">
        <f t="shared" si="37"/>
        <v>27789.112815</v>
      </c>
      <c r="DC35" t="s">
        <v>3</v>
      </c>
      <c r="DD35" t="s">
        <v>3</v>
      </c>
      <c r="DE35" t="s">
        <v>57</v>
      </c>
      <c r="DF35" t="s">
        <v>57</v>
      </c>
      <c r="DG35" t="s">
        <v>58</v>
      </c>
      <c r="DH35" t="s">
        <v>3</v>
      </c>
      <c r="DI35" t="s">
        <v>58</v>
      </c>
      <c r="DJ35" t="s">
        <v>57</v>
      </c>
      <c r="DK35" t="s">
        <v>3</v>
      </c>
      <c r="DL35" t="s">
        <v>3</v>
      </c>
      <c r="DM35" t="s">
        <v>59</v>
      </c>
      <c r="DN35">
        <v>0</v>
      </c>
      <c r="DO35">
        <v>0</v>
      </c>
      <c r="DP35">
        <v>1</v>
      </c>
      <c r="DQ35">
        <v>1</v>
      </c>
      <c r="DU35">
        <v>1005</v>
      </c>
      <c r="DV35" t="s">
        <v>19</v>
      </c>
      <c r="DW35" t="s">
        <v>19</v>
      </c>
      <c r="DX35">
        <v>100</v>
      </c>
      <c r="DZ35" t="s">
        <v>3</v>
      </c>
      <c r="EA35" t="s">
        <v>3</v>
      </c>
      <c r="EB35" t="s">
        <v>3</v>
      </c>
      <c r="EC35" t="s">
        <v>3</v>
      </c>
      <c r="EE35">
        <v>140625032</v>
      </c>
      <c r="EF35">
        <v>2</v>
      </c>
      <c r="EG35" t="s">
        <v>21</v>
      </c>
      <c r="EH35">
        <v>12</v>
      </c>
      <c r="EI35" t="s">
        <v>34</v>
      </c>
      <c r="EJ35">
        <v>1</v>
      </c>
      <c r="EK35">
        <v>12001</v>
      </c>
      <c r="EL35" t="s">
        <v>34</v>
      </c>
      <c r="EM35" t="s">
        <v>35</v>
      </c>
      <c r="EO35" t="s">
        <v>60</v>
      </c>
      <c r="EQ35">
        <v>0</v>
      </c>
      <c r="ER35">
        <v>341.95</v>
      </c>
      <c r="ES35">
        <v>182.33</v>
      </c>
      <c r="ET35">
        <v>24.64</v>
      </c>
      <c r="EU35">
        <v>3.75</v>
      </c>
      <c r="EV35">
        <v>134.97999999999999</v>
      </c>
      <c r="EW35">
        <v>14.36</v>
      </c>
      <c r="EX35">
        <v>0.28999999999999998</v>
      </c>
      <c r="EY35">
        <v>0</v>
      </c>
      <c r="FQ35">
        <v>0</v>
      </c>
      <c r="FR35">
        <f t="shared" si="38"/>
        <v>0</v>
      </c>
      <c r="FS35">
        <v>0</v>
      </c>
      <c r="FX35">
        <v>109</v>
      </c>
      <c r="FY35">
        <v>48.45</v>
      </c>
      <c r="GA35" t="s">
        <v>3</v>
      </c>
      <c r="GD35">
        <v>1</v>
      </c>
      <c r="GF35">
        <v>1634706126</v>
      </c>
      <c r="GG35">
        <v>2</v>
      </c>
      <c r="GH35">
        <v>1</v>
      </c>
      <c r="GI35">
        <v>4</v>
      </c>
      <c r="GJ35">
        <v>0</v>
      </c>
      <c r="GK35">
        <v>0</v>
      </c>
      <c r="GL35">
        <f t="shared" si="39"/>
        <v>0</v>
      </c>
      <c r="GM35">
        <f t="shared" si="40"/>
        <v>164383.73000000001</v>
      </c>
      <c r="GN35">
        <f t="shared" si="41"/>
        <v>164383.73000000001</v>
      </c>
      <c r="GO35">
        <f t="shared" si="42"/>
        <v>0</v>
      </c>
      <c r="GP35">
        <f t="shared" si="43"/>
        <v>0</v>
      </c>
      <c r="GR35">
        <v>0</v>
      </c>
      <c r="GS35">
        <v>3</v>
      </c>
      <c r="GT35">
        <v>0</v>
      </c>
      <c r="GU35" t="s">
        <v>3</v>
      </c>
      <c r="GV35">
        <f t="shared" si="47"/>
        <v>0</v>
      </c>
      <c r="GW35">
        <v>1</v>
      </c>
      <c r="GX35">
        <f t="shared" si="44"/>
        <v>0</v>
      </c>
      <c r="HA35">
        <v>0</v>
      </c>
      <c r="HB35">
        <v>0</v>
      </c>
      <c r="HC35">
        <f t="shared" si="45"/>
        <v>0</v>
      </c>
      <c r="HE35" t="s">
        <v>3</v>
      </c>
      <c r="HF35" t="s">
        <v>3</v>
      </c>
      <c r="HM35" t="s">
        <v>3</v>
      </c>
      <c r="HN35" t="s">
        <v>37</v>
      </c>
      <c r="HO35" t="s">
        <v>38</v>
      </c>
      <c r="HP35" t="s">
        <v>34</v>
      </c>
      <c r="HQ35" t="s">
        <v>34</v>
      </c>
      <c r="IK35">
        <v>0</v>
      </c>
    </row>
    <row r="36" spans="1:245" x14ac:dyDescent="0.2">
      <c r="A36">
        <v>17</v>
      </c>
      <c r="B36">
        <v>1</v>
      </c>
      <c r="E36" t="s">
        <v>98</v>
      </c>
      <c r="F36" t="s">
        <v>66</v>
      </c>
      <c r="G36" t="s">
        <v>99</v>
      </c>
      <c r="H36" t="s">
        <v>73</v>
      </c>
      <c r="I36">
        <f>ROUND(I35*116,9)</f>
        <v>1113.5999999999999</v>
      </c>
      <c r="J36">
        <v>0</v>
      </c>
      <c r="K36">
        <f>ROUND(I35*116,9)</f>
        <v>1113.5999999999999</v>
      </c>
      <c r="O36">
        <f t="shared" si="14"/>
        <v>315654.49</v>
      </c>
      <c r="P36">
        <f t="shared" si="15"/>
        <v>315654.49</v>
      </c>
      <c r="Q36">
        <f t="shared" si="16"/>
        <v>0</v>
      </c>
      <c r="R36">
        <f t="shared" si="17"/>
        <v>0</v>
      </c>
      <c r="S36">
        <f t="shared" si="18"/>
        <v>0</v>
      </c>
      <c r="T36">
        <f t="shared" si="19"/>
        <v>0</v>
      </c>
      <c r="U36">
        <f t="shared" si="20"/>
        <v>0</v>
      </c>
      <c r="V36">
        <f t="shared" si="21"/>
        <v>0</v>
      </c>
      <c r="W36">
        <f t="shared" si="22"/>
        <v>0</v>
      </c>
      <c r="X36">
        <f t="shared" si="23"/>
        <v>0</v>
      </c>
      <c r="Y36">
        <f t="shared" si="24"/>
        <v>0</v>
      </c>
      <c r="AA36">
        <v>145184733</v>
      </c>
      <c r="AB36">
        <f t="shared" si="25"/>
        <v>34.11</v>
      </c>
      <c r="AC36">
        <f t="shared" si="46"/>
        <v>34.11</v>
      </c>
      <c r="AD36">
        <f>ROUND((((ET36)-(EU36))+AE36),2)</f>
        <v>0</v>
      </c>
      <c r="AE36">
        <f>ROUND((EU36),2)</f>
        <v>0</v>
      </c>
      <c r="AF36">
        <f>ROUND((EV36),2)</f>
        <v>0</v>
      </c>
      <c r="AG36">
        <f t="shared" si="26"/>
        <v>0</v>
      </c>
      <c r="AH36">
        <f>(EW36)</f>
        <v>0</v>
      </c>
      <c r="AI36">
        <f>(EX36)</f>
        <v>0</v>
      </c>
      <c r="AJ36">
        <f t="shared" si="27"/>
        <v>0</v>
      </c>
      <c r="AK36">
        <v>34.110000000000007</v>
      </c>
      <c r="AL36">
        <v>34.110000000000007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8.31</v>
      </c>
      <c r="BD36" t="s">
        <v>3</v>
      </c>
      <c r="BE36" t="s">
        <v>3</v>
      </c>
      <c r="BF36" t="s">
        <v>3</v>
      </c>
      <c r="BG36" t="s">
        <v>3</v>
      </c>
      <c r="BH36">
        <v>3</v>
      </c>
      <c r="BI36">
        <v>1</v>
      </c>
      <c r="BJ36" t="s">
        <v>3</v>
      </c>
      <c r="BM36">
        <v>1100</v>
      </c>
      <c r="BN36">
        <v>0</v>
      </c>
      <c r="BO36" t="s">
        <v>3</v>
      </c>
      <c r="BP36">
        <v>0</v>
      </c>
      <c r="BQ36">
        <v>8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0</v>
      </c>
      <c r="CA36">
        <v>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28"/>
        <v>315654.49</v>
      </c>
      <c r="CQ36">
        <f t="shared" si="29"/>
        <v>283.45410000000004</v>
      </c>
      <c r="CR36">
        <f>(((ET36)*BB36-(EU36)*BS36)+AE36*BS36)</f>
        <v>0</v>
      </c>
      <c r="CS36">
        <f t="shared" si="30"/>
        <v>0</v>
      </c>
      <c r="CT36">
        <f t="shared" si="31"/>
        <v>0</v>
      </c>
      <c r="CU36">
        <f t="shared" si="32"/>
        <v>0</v>
      </c>
      <c r="CV36">
        <f t="shared" si="33"/>
        <v>0</v>
      </c>
      <c r="CW36">
        <f t="shared" si="34"/>
        <v>0</v>
      </c>
      <c r="CX36">
        <f t="shared" si="35"/>
        <v>0</v>
      </c>
      <c r="CY36">
        <f t="shared" si="36"/>
        <v>0</v>
      </c>
      <c r="CZ36">
        <f t="shared" si="37"/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1005</v>
      </c>
      <c r="DV36" t="s">
        <v>73</v>
      </c>
      <c r="DW36" t="s">
        <v>73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140625274</v>
      </c>
      <c r="EF36">
        <v>8</v>
      </c>
      <c r="EG36" t="s">
        <v>50</v>
      </c>
      <c r="EH36">
        <v>0</v>
      </c>
      <c r="EI36" t="s">
        <v>3</v>
      </c>
      <c r="EJ36">
        <v>1</v>
      </c>
      <c r="EK36">
        <v>1100</v>
      </c>
      <c r="EL36" t="s">
        <v>51</v>
      </c>
      <c r="EM36" t="s">
        <v>52</v>
      </c>
      <c r="EO36" t="s">
        <v>3</v>
      </c>
      <c r="EQ36">
        <v>0</v>
      </c>
      <c r="ER36">
        <v>34.110000000000007</v>
      </c>
      <c r="ES36">
        <v>34.110000000000007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5</v>
      </c>
      <c r="FC36">
        <v>1</v>
      </c>
      <c r="FD36">
        <v>18</v>
      </c>
      <c r="FF36">
        <v>317.64999999999998</v>
      </c>
      <c r="FQ36">
        <v>0</v>
      </c>
      <c r="FR36">
        <f t="shared" si="38"/>
        <v>0</v>
      </c>
      <c r="FS36">
        <v>0</v>
      </c>
      <c r="FX36">
        <v>0</v>
      </c>
      <c r="FY36">
        <v>0</v>
      </c>
      <c r="GA36" t="s">
        <v>100</v>
      </c>
      <c r="GD36">
        <v>1</v>
      </c>
      <c r="GF36">
        <v>-155799663</v>
      </c>
      <c r="GG36">
        <v>2</v>
      </c>
      <c r="GH36">
        <v>3</v>
      </c>
      <c r="GI36">
        <v>4</v>
      </c>
      <c r="GJ36">
        <v>0</v>
      </c>
      <c r="GK36">
        <v>0</v>
      </c>
      <c r="GL36">
        <f t="shared" si="39"/>
        <v>0</v>
      </c>
      <c r="GM36">
        <f t="shared" si="40"/>
        <v>315654.49</v>
      </c>
      <c r="GN36">
        <f t="shared" si="41"/>
        <v>315654.49</v>
      </c>
      <c r="GO36">
        <f t="shared" si="42"/>
        <v>0</v>
      </c>
      <c r="GP36">
        <f t="shared" si="43"/>
        <v>0</v>
      </c>
      <c r="GR36">
        <v>1</v>
      </c>
      <c r="GS36">
        <v>1</v>
      </c>
      <c r="GT36">
        <v>0</v>
      </c>
      <c r="GU36" t="s">
        <v>3</v>
      </c>
      <c r="GV36">
        <f t="shared" si="47"/>
        <v>0</v>
      </c>
      <c r="GW36">
        <v>1</v>
      </c>
      <c r="GX36">
        <f t="shared" si="44"/>
        <v>0</v>
      </c>
      <c r="HA36">
        <v>0</v>
      </c>
      <c r="HB36">
        <v>0</v>
      </c>
      <c r="HC36">
        <f t="shared" si="45"/>
        <v>0</v>
      </c>
      <c r="HE36" t="s">
        <v>55</v>
      </c>
      <c r="HF36" t="s">
        <v>27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E37" t="s">
        <v>101</v>
      </c>
      <c r="F37" t="s">
        <v>66</v>
      </c>
      <c r="G37" t="s">
        <v>102</v>
      </c>
      <c r="H37" t="s">
        <v>73</v>
      </c>
      <c r="I37">
        <f>ROUND(I35*114,9)</f>
        <v>1094.4000000000001</v>
      </c>
      <c r="J37">
        <v>0</v>
      </c>
      <c r="K37">
        <f>ROUND(I35*114,9)</f>
        <v>1094.4000000000001</v>
      </c>
      <c r="O37">
        <f t="shared" si="14"/>
        <v>516474.61</v>
      </c>
      <c r="P37">
        <f t="shared" si="15"/>
        <v>516474.61</v>
      </c>
      <c r="Q37">
        <f t="shared" si="16"/>
        <v>0</v>
      </c>
      <c r="R37">
        <f t="shared" si="17"/>
        <v>0</v>
      </c>
      <c r="S37">
        <f t="shared" si="18"/>
        <v>0</v>
      </c>
      <c r="T37">
        <f t="shared" si="19"/>
        <v>0</v>
      </c>
      <c r="U37">
        <f t="shared" si="20"/>
        <v>0</v>
      </c>
      <c r="V37">
        <f t="shared" si="21"/>
        <v>0</v>
      </c>
      <c r="W37">
        <f t="shared" si="22"/>
        <v>0</v>
      </c>
      <c r="X37">
        <f t="shared" si="23"/>
        <v>0</v>
      </c>
      <c r="Y37">
        <f t="shared" si="24"/>
        <v>0</v>
      </c>
      <c r="AA37">
        <v>145184733</v>
      </c>
      <c r="AB37">
        <f t="shared" si="25"/>
        <v>56.79</v>
      </c>
      <c r="AC37">
        <f t="shared" si="46"/>
        <v>56.79</v>
      </c>
      <c r="AD37">
        <f>ROUND((((ET37)-(EU37))+AE37),2)</f>
        <v>0</v>
      </c>
      <c r="AE37">
        <f>ROUND((EU37),2)</f>
        <v>0</v>
      </c>
      <c r="AF37">
        <f>ROUND((EV37),2)</f>
        <v>0</v>
      </c>
      <c r="AG37">
        <f t="shared" si="26"/>
        <v>0</v>
      </c>
      <c r="AH37">
        <f>(EW37)</f>
        <v>0</v>
      </c>
      <c r="AI37">
        <f>(EX37)</f>
        <v>0</v>
      </c>
      <c r="AJ37">
        <f t="shared" si="27"/>
        <v>0</v>
      </c>
      <c r="AK37">
        <v>56.79</v>
      </c>
      <c r="AL37">
        <v>56.79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8.31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3</v>
      </c>
      <c r="BM37">
        <v>1100</v>
      </c>
      <c r="BN37">
        <v>0</v>
      </c>
      <c r="BO37" t="s">
        <v>3</v>
      </c>
      <c r="BP37">
        <v>0</v>
      </c>
      <c r="BQ37">
        <v>8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28"/>
        <v>516474.61</v>
      </c>
      <c r="CQ37">
        <f t="shared" si="29"/>
        <v>471.92490000000004</v>
      </c>
      <c r="CR37">
        <f>(((ET37)*BB37-(EU37)*BS37)+AE37*BS37)</f>
        <v>0</v>
      </c>
      <c r="CS37">
        <f t="shared" si="30"/>
        <v>0</v>
      </c>
      <c r="CT37">
        <f t="shared" si="31"/>
        <v>0</v>
      </c>
      <c r="CU37">
        <f t="shared" si="32"/>
        <v>0</v>
      </c>
      <c r="CV37">
        <f t="shared" si="33"/>
        <v>0</v>
      </c>
      <c r="CW37">
        <f t="shared" si="34"/>
        <v>0</v>
      </c>
      <c r="CX37">
        <f t="shared" si="35"/>
        <v>0</v>
      </c>
      <c r="CY37">
        <f t="shared" si="36"/>
        <v>0</v>
      </c>
      <c r="CZ37">
        <f t="shared" si="37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1005</v>
      </c>
      <c r="DV37" t="s">
        <v>73</v>
      </c>
      <c r="DW37" t="s">
        <v>73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140625274</v>
      </c>
      <c r="EF37">
        <v>8</v>
      </c>
      <c r="EG37" t="s">
        <v>50</v>
      </c>
      <c r="EH37">
        <v>0</v>
      </c>
      <c r="EI37" t="s">
        <v>3</v>
      </c>
      <c r="EJ37">
        <v>1</v>
      </c>
      <c r="EK37">
        <v>1100</v>
      </c>
      <c r="EL37" t="s">
        <v>51</v>
      </c>
      <c r="EM37" t="s">
        <v>52</v>
      </c>
      <c r="EO37" t="s">
        <v>3</v>
      </c>
      <c r="EQ37">
        <v>0</v>
      </c>
      <c r="ER37">
        <v>56.79</v>
      </c>
      <c r="ES37">
        <v>56.79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5</v>
      </c>
      <c r="FC37">
        <v>1</v>
      </c>
      <c r="FD37">
        <v>18</v>
      </c>
      <c r="FF37">
        <v>528.77</v>
      </c>
      <c r="FQ37">
        <v>0</v>
      </c>
      <c r="FR37">
        <f t="shared" si="38"/>
        <v>0</v>
      </c>
      <c r="FS37">
        <v>0</v>
      </c>
      <c r="FX37">
        <v>0</v>
      </c>
      <c r="FY37">
        <v>0</v>
      </c>
      <c r="GA37" t="s">
        <v>103</v>
      </c>
      <c r="GD37">
        <v>1</v>
      </c>
      <c r="GF37">
        <v>2131294783</v>
      </c>
      <c r="GG37">
        <v>2</v>
      </c>
      <c r="GH37">
        <v>3</v>
      </c>
      <c r="GI37">
        <v>4</v>
      </c>
      <c r="GJ37">
        <v>0</v>
      </c>
      <c r="GK37">
        <v>0</v>
      </c>
      <c r="GL37">
        <f t="shared" si="39"/>
        <v>0</v>
      </c>
      <c r="GM37">
        <f t="shared" si="40"/>
        <v>516474.61</v>
      </c>
      <c r="GN37">
        <f t="shared" si="41"/>
        <v>516474.61</v>
      </c>
      <c r="GO37">
        <f t="shared" si="42"/>
        <v>0</v>
      </c>
      <c r="GP37">
        <f t="shared" si="43"/>
        <v>0</v>
      </c>
      <c r="GR37">
        <v>1</v>
      </c>
      <c r="GS37">
        <v>1</v>
      </c>
      <c r="GT37">
        <v>0</v>
      </c>
      <c r="GU37" t="s">
        <v>3</v>
      </c>
      <c r="GV37">
        <f t="shared" si="47"/>
        <v>0</v>
      </c>
      <c r="GW37">
        <v>1</v>
      </c>
      <c r="GX37">
        <f t="shared" si="44"/>
        <v>0</v>
      </c>
      <c r="HA37">
        <v>0</v>
      </c>
      <c r="HB37">
        <v>0</v>
      </c>
      <c r="HC37">
        <f t="shared" si="45"/>
        <v>0</v>
      </c>
      <c r="HE37" t="s">
        <v>55</v>
      </c>
      <c r="HF37" t="s">
        <v>27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C38">
        <f>ROW(SmtRes!A53)</f>
        <v>53</v>
      </c>
      <c r="D38">
        <f>ROW(EtalonRes!A53)</f>
        <v>53</v>
      </c>
      <c r="E38" t="s">
        <v>104</v>
      </c>
      <c r="F38" t="s">
        <v>105</v>
      </c>
      <c r="G38" t="s">
        <v>106</v>
      </c>
      <c r="H38" t="s">
        <v>107</v>
      </c>
      <c r="I38">
        <f>ROUND(36/100,9)</f>
        <v>0.36</v>
      </c>
      <c r="J38">
        <v>0</v>
      </c>
      <c r="K38">
        <f>ROUND(36/100,9)</f>
        <v>0.36</v>
      </c>
      <c r="O38">
        <f t="shared" si="14"/>
        <v>6860.29</v>
      </c>
      <c r="P38">
        <f t="shared" si="15"/>
        <v>1384.99</v>
      </c>
      <c r="Q38">
        <f t="shared" si="16"/>
        <v>434.79</v>
      </c>
      <c r="R38">
        <f t="shared" si="17"/>
        <v>190.45</v>
      </c>
      <c r="S38">
        <f t="shared" si="18"/>
        <v>5040.51</v>
      </c>
      <c r="T38">
        <f t="shared" si="19"/>
        <v>0</v>
      </c>
      <c r="U38">
        <f t="shared" si="20"/>
        <v>14.696999999999997</v>
      </c>
      <c r="V38">
        <f t="shared" si="21"/>
        <v>0.38699999999999996</v>
      </c>
      <c r="W38">
        <f t="shared" si="22"/>
        <v>0</v>
      </c>
      <c r="X38">
        <f t="shared" si="23"/>
        <v>5701.75</v>
      </c>
      <c r="Y38">
        <f t="shared" si="24"/>
        <v>2534.4</v>
      </c>
      <c r="AA38">
        <v>145184733</v>
      </c>
      <c r="AB38">
        <f t="shared" si="25"/>
        <v>930.35</v>
      </c>
      <c r="AC38">
        <f t="shared" si="46"/>
        <v>462.96</v>
      </c>
      <c r="AD38">
        <f>ROUND(((((ET38*1.25))-((EU38*1.25)))+AE38),2)</f>
        <v>92.62</v>
      </c>
      <c r="AE38">
        <f>ROUND(((EU38*1.25)),2)</f>
        <v>14.16</v>
      </c>
      <c r="AF38">
        <f>ROUND(((EV38*1.15)),2)</f>
        <v>374.77</v>
      </c>
      <c r="AG38">
        <f t="shared" si="26"/>
        <v>0</v>
      </c>
      <c r="AH38">
        <f>((EW38*1.15))</f>
        <v>40.824999999999996</v>
      </c>
      <c r="AI38">
        <f>((EX38*1.25))</f>
        <v>1.075</v>
      </c>
      <c r="AJ38">
        <f t="shared" si="27"/>
        <v>0</v>
      </c>
      <c r="AK38">
        <v>862.95</v>
      </c>
      <c r="AL38">
        <v>462.96</v>
      </c>
      <c r="AM38">
        <v>74.099999999999994</v>
      </c>
      <c r="AN38">
        <v>11.33</v>
      </c>
      <c r="AO38">
        <v>325.89</v>
      </c>
      <c r="AP38">
        <v>0</v>
      </c>
      <c r="AQ38">
        <v>35.5</v>
      </c>
      <c r="AR38">
        <v>0.86</v>
      </c>
      <c r="AS38">
        <v>0</v>
      </c>
      <c r="AT38">
        <v>109</v>
      </c>
      <c r="AU38">
        <v>48.45</v>
      </c>
      <c r="AV38">
        <v>1</v>
      </c>
      <c r="AW38">
        <v>1</v>
      </c>
      <c r="AZ38">
        <v>1</v>
      </c>
      <c r="BA38">
        <v>37.36</v>
      </c>
      <c r="BB38">
        <v>13.04</v>
      </c>
      <c r="BC38">
        <v>8.31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1</v>
      </c>
      <c r="BJ38" t="s">
        <v>108</v>
      </c>
      <c r="BM38">
        <v>12001</v>
      </c>
      <c r="BN38">
        <v>0</v>
      </c>
      <c r="BO38" t="s">
        <v>3</v>
      </c>
      <c r="BP38">
        <v>0</v>
      </c>
      <c r="BQ38">
        <v>2</v>
      </c>
      <c r="BR38">
        <v>0</v>
      </c>
      <c r="BS38">
        <v>37.36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109</v>
      </c>
      <c r="CA38">
        <v>57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346</v>
      </c>
      <c r="CO38">
        <v>0</v>
      </c>
      <c r="CP38">
        <f t="shared" si="28"/>
        <v>6860.29</v>
      </c>
      <c r="CQ38">
        <f t="shared" si="29"/>
        <v>3847.1976</v>
      </c>
      <c r="CR38">
        <f>((((ET38*1.25))*BB38-((EU38*1.25))*BS38)+AE38*BS38)</f>
        <v>1207.7366</v>
      </c>
      <c r="CS38">
        <f t="shared" si="30"/>
        <v>529.01760000000002</v>
      </c>
      <c r="CT38">
        <f t="shared" si="31"/>
        <v>14001.4072</v>
      </c>
      <c r="CU38">
        <f t="shared" si="32"/>
        <v>0</v>
      </c>
      <c r="CV38">
        <f t="shared" si="33"/>
        <v>40.824999999999996</v>
      </c>
      <c r="CW38">
        <f t="shared" si="34"/>
        <v>1.075</v>
      </c>
      <c r="CX38">
        <f t="shared" si="35"/>
        <v>0</v>
      </c>
      <c r="CY38">
        <f t="shared" si="36"/>
        <v>5701.7464</v>
      </c>
      <c r="CZ38">
        <f t="shared" si="37"/>
        <v>2534.4001200000002</v>
      </c>
      <c r="DC38" t="s">
        <v>3</v>
      </c>
      <c r="DD38" t="s">
        <v>3</v>
      </c>
      <c r="DE38" t="s">
        <v>57</v>
      </c>
      <c r="DF38" t="s">
        <v>57</v>
      </c>
      <c r="DG38" t="s">
        <v>58</v>
      </c>
      <c r="DH38" t="s">
        <v>3</v>
      </c>
      <c r="DI38" t="s">
        <v>58</v>
      </c>
      <c r="DJ38" t="s">
        <v>57</v>
      </c>
      <c r="DK38" t="s">
        <v>3</v>
      </c>
      <c r="DL38" t="s">
        <v>3</v>
      </c>
      <c r="DM38" t="s">
        <v>59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107</v>
      </c>
      <c r="DW38" t="s">
        <v>107</v>
      </c>
      <c r="DX38">
        <v>100</v>
      </c>
      <c r="DZ38" t="s">
        <v>3</v>
      </c>
      <c r="EA38" t="s">
        <v>3</v>
      </c>
      <c r="EB38" t="s">
        <v>3</v>
      </c>
      <c r="EC38" t="s">
        <v>3</v>
      </c>
      <c r="EE38">
        <v>140625032</v>
      </c>
      <c r="EF38">
        <v>2</v>
      </c>
      <c r="EG38" t="s">
        <v>21</v>
      </c>
      <c r="EH38">
        <v>12</v>
      </c>
      <c r="EI38" t="s">
        <v>34</v>
      </c>
      <c r="EJ38">
        <v>1</v>
      </c>
      <c r="EK38">
        <v>12001</v>
      </c>
      <c r="EL38" t="s">
        <v>34</v>
      </c>
      <c r="EM38" t="s">
        <v>35</v>
      </c>
      <c r="EO38" t="s">
        <v>60</v>
      </c>
      <c r="EQ38">
        <v>0</v>
      </c>
      <c r="ER38">
        <v>862.95</v>
      </c>
      <c r="ES38">
        <v>462.96</v>
      </c>
      <c r="ET38">
        <v>74.099999999999994</v>
      </c>
      <c r="EU38">
        <v>11.33</v>
      </c>
      <c r="EV38">
        <v>325.89</v>
      </c>
      <c r="EW38">
        <v>35.5</v>
      </c>
      <c r="EX38">
        <v>0.86</v>
      </c>
      <c r="EY38">
        <v>0</v>
      </c>
      <c r="FQ38">
        <v>0</v>
      </c>
      <c r="FR38">
        <f t="shared" si="38"/>
        <v>0</v>
      </c>
      <c r="FS38">
        <v>0</v>
      </c>
      <c r="FX38">
        <v>109</v>
      </c>
      <c r="FY38">
        <v>48.45</v>
      </c>
      <c r="GA38" t="s">
        <v>3</v>
      </c>
      <c r="GD38">
        <v>1</v>
      </c>
      <c r="GF38">
        <v>102961426</v>
      </c>
      <c r="GG38">
        <v>2</v>
      </c>
      <c r="GH38">
        <v>1</v>
      </c>
      <c r="GI38">
        <v>4</v>
      </c>
      <c r="GJ38">
        <v>0</v>
      </c>
      <c r="GK38">
        <v>0</v>
      </c>
      <c r="GL38">
        <f t="shared" si="39"/>
        <v>0</v>
      </c>
      <c r="GM38">
        <f t="shared" si="40"/>
        <v>15096.44</v>
      </c>
      <c r="GN38">
        <f t="shared" si="41"/>
        <v>15096.44</v>
      </c>
      <c r="GO38">
        <f t="shared" si="42"/>
        <v>0</v>
      </c>
      <c r="GP38">
        <f t="shared" si="43"/>
        <v>0</v>
      </c>
      <c r="GR38">
        <v>0</v>
      </c>
      <c r="GS38">
        <v>3</v>
      </c>
      <c r="GT38">
        <v>0</v>
      </c>
      <c r="GU38" t="s">
        <v>3</v>
      </c>
      <c r="GV38">
        <f t="shared" si="47"/>
        <v>0</v>
      </c>
      <c r="GW38">
        <v>1</v>
      </c>
      <c r="GX38">
        <f t="shared" si="44"/>
        <v>0</v>
      </c>
      <c r="HA38">
        <v>0</v>
      </c>
      <c r="HB38">
        <v>0</v>
      </c>
      <c r="HC38">
        <f t="shared" si="45"/>
        <v>0</v>
      </c>
      <c r="HE38" t="s">
        <v>3</v>
      </c>
      <c r="HF38" t="s">
        <v>3</v>
      </c>
      <c r="HM38" t="s">
        <v>3</v>
      </c>
      <c r="HN38" t="s">
        <v>37</v>
      </c>
      <c r="HO38" t="s">
        <v>38</v>
      </c>
      <c r="HP38" t="s">
        <v>34</v>
      </c>
      <c r="HQ38" t="s">
        <v>34</v>
      </c>
      <c r="IK38">
        <v>0</v>
      </c>
    </row>
    <row r="39" spans="1:245" x14ac:dyDescent="0.2">
      <c r="A39">
        <v>17</v>
      </c>
      <c r="B39">
        <v>1</v>
      </c>
      <c r="E39" t="s">
        <v>109</v>
      </c>
      <c r="F39" t="s">
        <v>66</v>
      </c>
      <c r="G39" t="s">
        <v>99</v>
      </c>
      <c r="H39" t="s">
        <v>73</v>
      </c>
      <c r="I39">
        <f>ROUND(I38*252/2,9)</f>
        <v>45.36</v>
      </c>
      <c r="J39">
        <v>0</v>
      </c>
      <c r="K39">
        <f>ROUND(I38*252/2,9)</f>
        <v>45.36</v>
      </c>
      <c r="O39">
        <f t="shared" si="14"/>
        <v>12857.48</v>
      </c>
      <c r="P39">
        <f t="shared" si="15"/>
        <v>12857.48</v>
      </c>
      <c r="Q39">
        <f t="shared" si="16"/>
        <v>0</v>
      </c>
      <c r="R39">
        <f t="shared" si="17"/>
        <v>0</v>
      </c>
      <c r="S39">
        <f t="shared" si="18"/>
        <v>0</v>
      </c>
      <c r="T39">
        <f t="shared" si="19"/>
        <v>0</v>
      </c>
      <c r="U39">
        <f t="shared" si="20"/>
        <v>0</v>
      </c>
      <c r="V39">
        <f t="shared" si="21"/>
        <v>0</v>
      </c>
      <c r="W39">
        <f t="shared" si="22"/>
        <v>0</v>
      </c>
      <c r="X39">
        <f t="shared" si="23"/>
        <v>0</v>
      </c>
      <c r="Y39">
        <f t="shared" si="24"/>
        <v>0</v>
      </c>
      <c r="AA39">
        <v>145184733</v>
      </c>
      <c r="AB39">
        <f t="shared" si="25"/>
        <v>34.11</v>
      </c>
      <c r="AC39">
        <f t="shared" si="46"/>
        <v>34.11</v>
      </c>
      <c r="AD39">
        <f>ROUND((((ET39)-(EU39))+AE39),2)</f>
        <v>0</v>
      </c>
      <c r="AE39">
        <f t="shared" ref="AE39:AF43" si="48">ROUND((EU39),2)</f>
        <v>0</v>
      </c>
      <c r="AF39">
        <f t="shared" si="48"/>
        <v>0</v>
      </c>
      <c r="AG39">
        <f t="shared" si="26"/>
        <v>0</v>
      </c>
      <c r="AH39">
        <f t="shared" ref="AH39:AI43" si="49">(EW39)</f>
        <v>0</v>
      </c>
      <c r="AI39">
        <f t="shared" si="49"/>
        <v>0</v>
      </c>
      <c r="AJ39">
        <f t="shared" si="27"/>
        <v>0</v>
      </c>
      <c r="AK39">
        <v>34.110000000000007</v>
      </c>
      <c r="AL39">
        <v>34.110000000000007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8.31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1</v>
      </c>
      <c r="BJ39" t="s">
        <v>3</v>
      </c>
      <c r="BM39">
        <v>1100</v>
      </c>
      <c r="BN39">
        <v>0</v>
      </c>
      <c r="BO39" t="s">
        <v>3</v>
      </c>
      <c r="BP39">
        <v>0</v>
      </c>
      <c r="BQ39">
        <v>8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0</v>
      </c>
      <c r="CA39">
        <v>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28"/>
        <v>12857.48</v>
      </c>
      <c r="CQ39">
        <f t="shared" si="29"/>
        <v>283.45410000000004</v>
      </c>
      <c r="CR39">
        <f>(((ET39)*BB39-(EU39)*BS39)+AE39*BS39)</f>
        <v>0</v>
      </c>
      <c r="CS39">
        <f t="shared" si="30"/>
        <v>0</v>
      </c>
      <c r="CT39">
        <f t="shared" si="31"/>
        <v>0</v>
      </c>
      <c r="CU39">
        <f t="shared" si="32"/>
        <v>0</v>
      </c>
      <c r="CV39">
        <f t="shared" si="33"/>
        <v>0</v>
      </c>
      <c r="CW39">
        <f t="shared" si="34"/>
        <v>0</v>
      </c>
      <c r="CX39">
        <f t="shared" si="35"/>
        <v>0</v>
      </c>
      <c r="CY39">
        <f t="shared" si="36"/>
        <v>0</v>
      </c>
      <c r="CZ39">
        <f t="shared" si="37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1005</v>
      </c>
      <c r="DV39" t="s">
        <v>73</v>
      </c>
      <c r="DW39" t="s">
        <v>73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140625274</v>
      </c>
      <c r="EF39">
        <v>8</v>
      </c>
      <c r="EG39" t="s">
        <v>50</v>
      </c>
      <c r="EH39">
        <v>0</v>
      </c>
      <c r="EI39" t="s">
        <v>3</v>
      </c>
      <c r="EJ39">
        <v>1</v>
      </c>
      <c r="EK39">
        <v>1100</v>
      </c>
      <c r="EL39" t="s">
        <v>51</v>
      </c>
      <c r="EM39" t="s">
        <v>52</v>
      </c>
      <c r="EO39" t="s">
        <v>3</v>
      </c>
      <c r="EQ39">
        <v>0</v>
      </c>
      <c r="ER39">
        <v>34.110000000000007</v>
      </c>
      <c r="ES39">
        <v>34.110000000000007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5</v>
      </c>
      <c r="FC39">
        <v>1</v>
      </c>
      <c r="FD39">
        <v>18</v>
      </c>
      <c r="FF39">
        <v>317.64999999999998</v>
      </c>
      <c r="FQ39">
        <v>0</v>
      </c>
      <c r="FR39">
        <f t="shared" si="38"/>
        <v>0</v>
      </c>
      <c r="FS39">
        <v>0</v>
      </c>
      <c r="FX39">
        <v>0</v>
      </c>
      <c r="FY39">
        <v>0</v>
      </c>
      <c r="GA39" t="s">
        <v>100</v>
      </c>
      <c r="GD39">
        <v>1</v>
      </c>
      <c r="GF39">
        <v>-155799663</v>
      </c>
      <c r="GG39">
        <v>2</v>
      </c>
      <c r="GH39">
        <v>3</v>
      </c>
      <c r="GI39">
        <v>4</v>
      </c>
      <c r="GJ39">
        <v>0</v>
      </c>
      <c r="GK39">
        <v>0</v>
      </c>
      <c r="GL39">
        <f t="shared" si="39"/>
        <v>0</v>
      </c>
      <c r="GM39">
        <f t="shared" si="40"/>
        <v>12857.48</v>
      </c>
      <c r="GN39">
        <f t="shared" si="41"/>
        <v>12857.48</v>
      </c>
      <c r="GO39">
        <f t="shared" si="42"/>
        <v>0</v>
      </c>
      <c r="GP39">
        <f t="shared" si="43"/>
        <v>0</v>
      </c>
      <c r="GR39">
        <v>1</v>
      </c>
      <c r="GS39">
        <v>1</v>
      </c>
      <c r="GT39">
        <v>0</v>
      </c>
      <c r="GU39" t="s">
        <v>3</v>
      </c>
      <c r="GV39">
        <f t="shared" si="47"/>
        <v>0</v>
      </c>
      <c r="GW39">
        <v>1</v>
      </c>
      <c r="GX39">
        <f t="shared" si="44"/>
        <v>0</v>
      </c>
      <c r="HA39">
        <v>0</v>
      </c>
      <c r="HB39">
        <v>0</v>
      </c>
      <c r="HC39">
        <f t="shared" si="45"/>
        <v>0</v>
      </c>
      <c r="HE39" t="s">
        <v>55</v>
      </c>
      <c r="HF39" t="s">
        <v>27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E40" t="s">
        <v>110</v>
      </c>
      <c r="F40" t="s">
        <v>66</v>
      </c>
      <c r="G40" t="s">
        <v>102</v>
      </c>
      <c r="H40" t="s">
        <v>73</v>
      </c>
      <c r="I40">
        <f>ROUND(I38*252/2,9)</f>
        <v>45.36</v>
      </c>
      <c r="J40">
        <v>0</v>
      </c>
      <c r="K40">
        <f>ROUND(I38*252/2,9)</f>
        <v>45.36</v>
      </c>
      <c r="O40">
        <f t="shared" si="14"/>
        <v>21406.51</v>
      </c>
      <c r="P40">
        <f t="shared" si="15"/>
        <v>21406.51</v>
      </c>
      <c r="Q40">
        <f t="shared" si="16"/>
        <v>0</v>
      </c>
      <c r="R40">
        <f t="shared" si="17"/>
        <v>0</v>
      </c>
      <c r="S40">
        <f t="shared" si="18"/>
        <v>0</v>
      </c>
      <c r="T40">
        <f t="shared" si="19"/>
        <v>0</v>
      </c>
      <c r="U40">
        <f t="shared" si="20"/>
        <v>0</v>
      </c>
      <c r="V40">
        <f t="shared" si="21"/>
        <v>0</v>
      </c>
      <c r="W40">
        <f t="shared" si="22"/>
        <v>0</v>
      </c>
      <c r="X40">
        <f t="shared" si="23"/>
        <v>0</v>
      </c>
      <c r="Y40">
        <f t="shared" si="24"/>
        <v>0</v>
      </c>
      <c r="AA40">
        <v>145184733</v>
      </c>
      <c r="AB40">
        <f t="shared" si="25"/>
        <v>56.79</v>
      </c>
      <c r="AC40">
        <f t="shared" si="46"/>
        <v>56.79</v>
      </c>
      <c r="AD40">
        <f>ROUND((((ET40)-(EU40))+AE40),2)</f>
        <v>0</v>
      </c>
      <c r="AE40">
        <f t="shared" si="48"/>
        <v>0</v>
      </c>
      <c r="AF40">
        <f t="shared" si="48"/>
        <v>0</v>
      </c>
      <c r="AG40">
        <f t="shared" si="26"/>
        <v>0</v>
      </c>
      <c r="AH40">
        <f t="shared" si="49"/>
        <v>0</v>
      </c>
      <c r="AI40">
        <f t="shared" si="49"/>
        <v>0</v>
      </c>
      <c r="AJ40">
        <f t="shared" si="27"/>
        <v>0</v>
      </c>
      <c r="AK40">
        <v>56.79</v>
      </c>
      <c r="AL40">
        <v>56.79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8.31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1</v>
      </c>
      <c r="BJ40" t="s">
        <v>3</v>
      </c>
      <c r="BM40">
        <v>1100</v>
      </c>
      <c r="BN40">
        <v>0</v>
      </c>
      <c r="BO40" t="s">
        <v>3</v>
      </c>
      <c r="BP40">
        <v>0</v>
      </c>
      <c r="BQ40">
        <v>8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0</v>
      </c>
      <c r="CA40">
        <v>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28"/>
        <v>21406.51</v>
      </c>
      <c r="CQ40">
        <f t="shared" si="29"/>
        <v>471.92490000000004</v>
      </c>
      <c r="CR40">
        <f>(((ET40)*BB40-(EU40)*BS40)+AE40*BS40)</f>
        <v>0</v>
      </c>
      <c r="CS40">
        <f t="shared" si="30"/>
        <v>0</v>
      </c>
      <c r="CT40">
        <f t="shared" si="31"/>
        <v>0</v>
      </c>
      <c r="CU40">
        <f t="shared" si="32"/>
        <v>0</v>
      </c>
      <c r="CV40">
        <f t="shared" si="33"/>
        <v>0</v>
      </c>
      <c r="CW40">
        <f t="shared" si="34"/>
        <v>0</v>
      </c>
      <c r="CX40">
        <f t="shared" si="35"/>
        <v>0</v>
      </c>
      <c r="CY40">
        <f t="shared" si="36"/>
        <v>0</v>
      </c>
      <c r="CZ40">
        <f t="shared" si="37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1005</v>
      </c>
      <c r="DV40" t="s">
        <v>73</v>
      </c>
      <c r="DW40" t="s">
        <v>73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140625274</v>
      </c>
      <c r="EF40">
        <v>8</v>
      </c>
      <c r="EG40" t="s">
        <v>50</v>
      </c>
      <c r="EH40">
        <v>0</v>
      </c>
      <c r="EI40" t="s">
        <v>3</v>
      </c>
      <c r="EJ40">
        <v>1</v>
      </c>
      <c r="EK40">
        <v>1100</v>
      </c>
      <c r="EL40" t="s">
        <v>51</v>
      </c>
      <c r="EM40" t="s">
        <v>52</v>
      </c>
      <c r="EO40" t="s">
        <v>3</v>
      </c>
      <c r="EQ40">
        <v>0</v>
      </c>
      <c r="ER40">
        <v>56.79</v>
      </c>
      <c r="ES40">
        <v>56.79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5</v>
      </c>
      <c r="FC40">
        <v>1</v>
      </c>
      <c r="FD40">
        <v>18</v>
      </c>
      <c r="FF40">
        <v>528.77</v>
      </c>
      <c r="FQ40">
        <v>0</v>
      </c>
      <c r="FR40">
        <f t="shared" si="38"/>
        <v>0</v>
      </c>
      <c r="FS40">
        <v>0</v>
      </c>
      <c r="FX40">
        <v>0</v>
      </c>
      <c r="FY40">
        <v>0</v>
      </c>
      <c r="GA40" t="s">
        <v>103</v>
      </c>
      <c r="GD40">
        <v>1</v>
      </c>
      <c r="GF40">
        <v>2131294783</v>
      </c>
      <c r="GG40">
        <v>2</v>
      </c>
      <c r="GH40">
        <v>3</v>
      </c>
      <c r="GI40">
        <v>4</v>
      </c>
      <c r="GJ40">
        <v>0</v>
      </c>
      <c r="GK40">
        <v>0</v>
      </c>
      <c r="GL40">
        <f t="shared" si="39"/>
        <v>0</v>
      </c>
      <c r="GM40">
        <f t="shared" si="40"/>
        <v>21406.51</v>
      </c>
      <c r="GN40">
        <f t="shared" si="41"/>
        <v>21406.51</v>
      </c>
      <c r="GO40">
        <f t="shared" si="42"/>
        <v>0</v>
      </c>
      <c r="GP40">
        <f t="shared" si="43"/>
        <v>0</v>
      </c>
      <c r="GR40">
        <v>1</v>
      </c>
      <c r="GS40">
        <v>1</v>
      </c>
      <c r="GT40">
        <v>0</v>
      </c>
      <c r="GU40" t="s">
        <v>3</v>
      </c>
      <c r="GV40">
        <f t="shared" si="47"/>
        <v>0</v>
      </c>
      <c r="GW40">
        <v>1</v>
      </c>
      <c r="GX40">
        <f t="shared" si="44"/>
        <v>0</v>
      </c>
      <c r="HA40">
        <v>0</v>
      </c>
      <c r="HB40">
        <v>0</v>
      </c>
      <c r="HC40">
        <f t="shared" si="45"/>
        <v>0</v>
      </c>
      <c r="HE40" t="s">
        <v>55</v>
      </c>
      <c r="HF40" t="s">
        <v>27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C41">
        <f>ROW(SmtRes!A61)</f>
        <v>61</v>
      </c>
      <c r="D41">
        <f>ROW(EtalonRes!A61)</f>
        <v>61</v>
      </c>
      <c r="E41" t="s">
        <v>111</v>
      </c>
      <c r="F41" t="s">
        <v>112</v>
      </c>
      <c r="G41" t="s">
        <v>113</v>
      </c>
      <c r="H41" t="s">
        <v>107</v>
      </c>
      <c r="I41">
        <f>ROUND(18*2/100,9)</f>
        <v>0.36</v>
      </c>
      <c r="J41">
        <v>0</v>
      </c>
      <c r="K41">
        <f>ROUND(18*2/100,9)</f>
        <v>0.36</v>
      </c>
      <c r="O41">
        <f t="shared" si="14"/>
        <v>8538.7800000000007</v>
      </c>
      <c r="P41">
        <f t="shared" si="15"/>
        <v>431.36</v>
      </c>
      <c r="Q41">
        <f t="shared" si="16"/>
        <v>48.02</v>
      </c>
      <c r="R41">
        <f t="shared" si="17"/>
        <v>43.58</v>
      </c>
      <c r="S41">
        <f t="shared" si="18"/>
        <v>8059.4</v>
      </c>
      <c r="T41">
        <f t="shared" si="19"/>
        <v>0</v>
      </c>
      <c r="U41">
        <f t="shared" si="20"/>
        <v>25.29</v>
      </c>
      <c r="V41">
        <f t="shared" si="21"/>
        <v>0.09</v>
      </c>
      <c r="W41">
        <f t="shared" si="22"/>
        <v>0</v>
      </c>
      <c r="X41">
        <f t="shared" si="23"/>
        <v>7292.68</v>
      </c>
      <c r="Y41">
        <f t="shared" si="24"/>
        <v>3727.37</v>
      </c>
      <c r="AA41">
        <v>145184733</v>
      </c>
      <c r="AB41">
        <f t="shared" si="25"/>
        <v>753.65</v>
      </c>
      <c r="AC41">
        <f t="shared" si="46"/>
        <v>144.19</v>
      </c>
      <c r="AD41">
        <f>ROUND((((ET41)-(EU41))+AE41),2)</f>
        <v>10.23</v>
      </c>
      <c r="AE41">
        <f t="shared" si="48"/>
        <v>3.24</v>
      </c>
      <c r="AF41">
        <f t="shared" si="48"/>
        <v>599.23</v>
      </c>
      <c r="AG41">
        <f t="shared" si="26"/>
        <v>0</v>
      </c>
      <c r="AH41">
        <f t="shared" si="49"/>
        <v>70.25</v>
      </c>
      <c r="AI41">
        <f t="shared" si="49"/>
        <v>0.25</v>
      </c>
      <c r="AJ41">
        <f t="shared" si="27"/>
        <v>0</v>
      </c>
      <c r="AK41">
        <v>753.65</v>
      </c>
      <c r="AL41">
        <v>144.19</v>
      </c>
      <c r="AM41">
        <v>10.23</v>
      </c>
      <c r="AN41">
        <v>3.24</v>
      </c>
      <c r="AO41">
        <v>599.23</v>
      </c>
      <c r="AP41">
        <v>0</v>
      </c>
      <c r="AQ41">
        <v>70.25</v>
      </c>
      <c r="AR41">
        <v>0.25</v>
      </c>
      <c r="AS41">
        <v>0</v>
      </c>
      <c r="AT41">
        <v>90</v>
      </c>
      <c r="AU41">
        <v>46</v>
      </c>
      <c r="AV41">
        <v>1</v>
      </c>
      <c r="AW41">
        <v>1</v>
      </c>
      <c r="AZ41">
        <v>1</v>
      </c>
      <c r="BA41">
        <v>37.36</v>
      </c>
      <c r="BB41">
        <v>13.04</v>
      </c>
      <c r="BC41">
        <v>8.31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1</v>
      </c>
      <c r="BJ41" t="s">
        <v>114</v>
      </c>
      <c r="BM41">
        <v>58001</v>
      </c>
      <c r="BN41">
        <v>0</v>
      </c>
      <c r="BO41" t="s">
        <v>3</v>
      </c>
      <c r="BP41">
        <v>0</v>
      </c>
      <c r="BQ41">
        <v>6</v>
      </c>
      <c r="BR41">
        <v>0</v>
      </c>
      <c r="BS41">
        <v>37.36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90</v>
      </c>
      <c r="CA41">
        <v>46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28"/>
        <v>8538.7799999999988</v>
      </c>
      <c r="CQ41">
        <f t="shared" si="29"/>
        <v>1198.2189000000001</v>
      </c>
      <c r="CR41">
        <f>(((ET41)*BB41-(EU41)*BS41)+AE41*BS41)</f>
        <v>133.39920000000001</v>
      </c>
      <c r="CS41">
        <f t="shared" si="30"/>
        <v>121.04640000000001</v>
      </c>
      <c r="CT41">
        <f t="shared" si="31"/>
        <v>22387.232800000002</v>
      </c>
      <c r="CU41">
        <f t="shared" si="32"/>
        <v>0</v>
      </c>
      <c r="CV41">
        <f t="shared" si="33"/>
        <v>70.25</v>
      </c>
      <c r="CW41">
        <f t="shared" si="34"/>
        <v>0.25</v>
      </c>
      <c r="CX41">
        <f t="shared" si="35"/>
        <v>0</v>
      </c>
      <c r="CY41">
        <f t="shared" si="36"/>
        <v>7292.6819999999998</v>
      </c>
      <c r="CZ41">
        <f t="shared" si="37"/>
        <v>3727.3707999999997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1003</v>
      </c>
      <c r="DV41" t="s">
        <v>107</v>
      </c>
      <c r="DW41" t="s">
        <v>107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140625154</v>
      </c>
      <c r="EF41">
        <v>6</v>
      </c>
      <c r="EG41" t="s">
        <v>75</v>
      </c>
      <c r="EH41">
        <v>92</v>
      </c>
      <c r="EI41" t="s">
        <v>76</v>
      </c>
      <c r="EJ41">
        <v>1</v>
      </c>
      <c r="EK41">
        <v>58001</v>
      </c>
      <c r="EL41" t="s">
        <v>76</v>
      </c>
      <c r="EM41" t="s">
        <v>77</v>
      </c>
      <c r="EO41" t="s">
        <v>3</v>
      </c>
      <c r="EQ41">
        <v>0</v>
      </c>
      <c r="ER41">
        <v>753.65</v>
      </c>
      <c r="ES41">
        <v>144.19</v>
      </c>
      <c r="ET41">
        <v>10.23</v>
      </c>
      <c r="EU41">
        <v>3.24</v>
      </c>
      <c r="EV41">
        <v>599.23</v>
      </c>
      <c r="EW41">
        <v>70.25</v>
      </c>
      <c r="EX41">
        <v>0.25</v>
      </c>
      <c r="EY41">
        <v>0</v>
      </c>
      <c r="FQ41">
        <v>0</v>
      </c>
      <c r="FR41">
        <f t="shared" si="38"/>
        <v>0</v>
      </c>
      <c r="FS41">
        <v>0</v>
      </c>
      <c r="FX41">
        <v>90</v>
      </c>
      <c r="FY41">
        <v>46</v>
      </c>
      <c r="GA41" t="s">
        <v>3</v>
      </c>
      <c r="GD41">
        <v>1</v>
      </c>
      <c r="GF41">
        <v>-1314138178</v>
      </c>
      <c r="GG41">
        <v>2</v>
      </c>
      <c r="GH41">
        <v>1</v>
      </c>
      <c r="GI41">
        <v>4</v>
      </c>
      <c r="GJ41">
        <v>0</v>
      </c>
      <c r="GK41">
        <v>0</v>
      </c>
      <c r="GL41">
        <f t="shared" si="39"/>
        <v>0</v>
      </c>
      <c r="GM41">
        <f t="shared" si="40"/>
        <v>19558.830000000002</v>
      </c>
      <c r="GN41">
        <f t="shared" si="41"/>
        <v>19558.830000000002</v>
      </c>
      <c r="GO41">
        <f t="shared" si="42"/>
        <v>0</v>
      </c>
      <c r="GP41">
        <f t="shared" si="43"/>
        <v>0</v>
      </c>
      <c r="GR41">
        <v>0</v>
      </c>
      <c r="GS41">
        <v>3</v>
      </c>
      <c r="GT41">
        <v>0</v>
      </c>
      <c r="GU41" t="s">
        <v>3</v>
      </c>
      <c r="GV41">
        <f t="shared" si="47"/>
        <v>0</v>
      </c>
      <c r="GW41">
        <v>1</v>
      </c>
      <c r="GX41">
        <f t="shared" si="44"/>
        <v>0</v>
      </c>
      <c r="HA41">
        <v>0</v>
      </c>
      <c r="HB41">
        <v>0</v>
      </c>
      <c r="HC41">
        <f t="shared" si="45"/>
        <v>0</v>
      </c>
      <c r="HE41" t="s">
        <v>3</v>
      </c>
      <c r="HF41" t="s">
        <v>3</v>
      </c>
      <c r="HM41" t="s">
        <v>3</v>
      </c>
      <c r="HN41" t="s">
        <v>78</v>
      </c>
      <c r="HO41" t="s">
        <v>79</v>
      </c>
      <c r="HP41" t="s">
        <v>80</v>
      </c>
      <c r="HQ41" t="s">
        <v>80</v>
      </c>
      <c r="IK41">
        <v>0</v>
      </c>
    </row>
    <row r="42" spans="1:245" x14ac:dyDescent="0.2">
      <c r="A42">
        <v>17</v>
      </c>
      <c r="B42">
        <v>1</v>
      </c>
      <c r="C42">
        <f>ROW(SmtRes!A69)</f>
        <v>69</v>
      </c>
      <c r="D42">
        <f>ROW(EtalonRes!A69)</f>
        <v>69</v>
      </c>
      <c r="E42" t="s">
        <v>115</v>
      </c>
      <c r="F42" t="s">
        <v>116</v>
      </c>
      <c r="G42" t="s">
        <v>117</v>
      </c>
      <c r="H42" t="s">
        <v>107</v>
      </c>
      <c r="I42">
        <f>ROUND((48*2)/100,9)</f>
        <v>0.96</v>
      </c>
      <c r="J42">
        <v>0</v>
      </c>
      <c r="K42">
        <f>ROUND((48*2)/100,9)</f>
        <v>0.96</v>
      </c>
      <c r="O42">
        <f t="shared" si="14"/>
        <v>20211.64</v>
      </c>
      <c r="P42">
        <f t="shared" si="15"/>
        <v>766.25</v>
      </c>
      <c r="Q42">
        <f t="shared" si="16"/>
        <v>104.15</v>
      </c>
      <c r="R42">
        <f t="shared" si="17"/>
        <v>92.89</v>
      </c>
      <c r="S42">
        <f t="shared" si="18"/>
        <v>19341.240000000002</v>
      </c>
      <c r="T42">
        <f t="shared" si="19"/>
        <v>0</v>
      </c>
      <c r="U42">
        <f t="shared" si="20"/>
        <v>60.691199999999995</v>
      </c>
      <c r="V42">
        <f t="shared" si="21"/>
        <v>0.192</v>
      </c>
      <c r="W42">
        <f t="shared" si="22"/>
        <v>0</v>
      </c>
      <c r="X42">
        <f t="shared" si="23"/>
        <v>17490.72</v>
      </c>
      <c r="Y42">
        <f t="shared" si="24"/>
        <v>8939.7000000000007</v>
      </c>
      <c r="AA42">
        <v>145184733</v>
      </c>
      <c r="AB42">
        <f t="shared" si="25"/>
        <v>643.64</v>
      </c>
      <c r="AC42">
        <f t="shared" si="46"/>
        <v>96.05</v>
      </c>
      <c r="AD42">
        <f>ROUND((((ET42)-(EU42))+AE42),2)</f>
        <v>8.32</v>
      </c>
      <c r="AE42">
        <f t="shared" si="48"/>
        <v>2.59</v>
      </c>
      <c r="AF42">
        <f t="shared" si="48"/>
        <v>539.27</v>
      </c>
      <c r="AG42">
        <f t="shared" si="26"/>
        <v>0</v>
      </c>
      <c r="AH42">
        <f t="shared" si="49"/>
        <v>63.22</v>
      </c>
      <c r="AI42">
        <f t="shared" si="49"/>
        <v>0.2</v>
      </c>
      <c r="AJ42">
        <f t="shared" si="27"/>
        <v>0</v>
      </c>
      <c r="AK42">
        <v>643.64</v>
      </c>
      <c r="AL42">
        <v>96.05</v>
      </c>
      <c r="AM42">
        <v>8.32</v>
      </c>
      <c r="AN42">
        <v>2.59</v>
      </c>
      <c r="AO42">
        <v>539.27</v>
      </c>
      <c r="AP42">
        <v>0</v>
      </c>
      <c r="AQ42">
        <v>63.22</v>
      </c>
      <c r="AR42">
        <v>0.2</v>
      </c>
      <c r="AS42">
        <v>0</v>
      </c>
      <c r="AT42">
        <v>90</v>
      </c>
      <c r="AU42">
        <v>46</v>
      </c>
      <c r="AV42">
        <v>1</v>
      </c>
      <c r="AW42">
        <v>1</v>
      </c>
      <c r="AZ42">
        <v>1</v>
      </c>
      <c r="BA42">
        <v>37.36</v>
      </c>
      <c r="BB42">
        <v>13.04</v>
      </c>
      <c r="BC42">
        <v>8.31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1</v>
      </c>
      <c r="BJ42" t="s">
        <v>118</v>
      </c>
      <c r="BM42">
        <v>58001</v>
      </c>
      <c r="BN42">
        <v>0</v>
      </c>
      <c r="BO42" t="s">
        <v>3</v>
      </c>
      <c r="BP42">
        <v>0</v>
      </c>
      <c r="BQ42">
        <v>6</v>
      </c>
      <c r="BR42">
        <v>0</v>
      </c>
      <c r="BS42">
        <v>37.36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90</v>
      </c>
      <c r="CA42">
        <v>46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28"/>
        <v>20211.640000000003</v>
      </c>
      <c r="CQ42">
        <f t="shared" si="29"/>
        <v>798.17550000000006</v>
      </c>
      <c r="CR42">
        <f>(((ET42)*BB42-(EU42)*BS42)+AE42*BS42)</f>
        <v>108.4928</v>
      </c>
      <c r="CS42">
        <f t="shared" si="30"/>
        <v>96.7624</v>
      </c>
      <c r="CT42">
        <f t="shared" si="31"/>
        <v>20147.127199999999</v>
      </c>
      <c r="CU42">
        <f t="shared" si="32"/>
        <v>0</v>
      </c>
      <c r="CV42">
        <f t="shared" si="33"/>
        <v>63.22</v>
      </c>
      <c r="CW42">
        <f t="shared" si="34"/>
        <v>0.2</v>
      </c>
      <c r="CX42">
        <f t="shared" si="35"/>
        <v>0</v>
      </c>
      <c r="CY42">
        <f t="shared" si="36"/>
        <v>17490.717000000001</v>
      </c>
      <c r="CZ42">
        <f t="shared" si="37"/>
        <v>8939.6998000000003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1003</v>
      </c>
      <c r="DV42" t="s">
        <v>107</v>
      </c>
      <c r="DW42" t="s">
        <v>107</v>
      </c>
      <c r="DX42">
        <v>100</v>
      </c>
      <c r="DZ42" t="s">
        <v>3</v>
      </c>
      <c r="EA42" t="s">
        <v>3</v>
      </c>
      <c r="EB42" t="s">
        <v>3</v>
      </c>
      <c r="EC42" t="s">
        <v>3</v>
      </c>
      <c r="EE42">
        <v>140625154</v>
      </c>
      <c r="EF42">
        <v>6</v>
      </c>
      <c r="EG42" t="s">
        <v>75</v>
      </c>
      <c r="EH42">
        <v>92</v>
      </c>
      <c r="EI42" t="s">
        <v>76</v>
      </c>
      <c r="EJ42">
        <v>1</v>
      </c>
      <c r="EK42">
        <v>58001</v>
      </c>
      <c r="EL42" t="s">
        <v>76</v>
      </c>
      <c r="EM42" t="s">
        <v>77</v>
      </c>
      <c r="EO42" t="s">
        <v>3</v>
      </c>
      <c r="EQ42">
        <v>0</v>
      </c>
      <c r="ER42">
        <v>643.64</v>
      </c>
      <c r="ES42">
        <v>96.05</v>
      </c>
      <c r="ET42">
        <v>8.32</v>
      </c>
      <c r="EU42">
        <v>2.59</v>
      </c>
      <c r="EV42">
        <v>539.27</v>
      </c>
      <c r="EW42">
        <v>63.22</v>
      </c>
      <c r="EX42">
        <v>0.2</v>
      </c>
      <c r="EY42">
        <v>0</v>
      </c>
      <c r="FQ42">
        <v>0</v>
      </c>
      <c r="FR42">
        <f t="shared" si="38"/>
        <v>0</v>
      </c>
      <c r="FS42">
        <v>0</v>
      </c>
      <c r="FX42">
        <v>90</v>
      </c>
      <c r="FY42">
        <v>46</v>
      </c>
      <c r="GA42" t="s">
        <v>3</v>
      </c>
      <c r="GD42">
        <v>1</v>
      </c>
      <c r="GF42">
        <v>1090506468</v>
      </c>
      <c r="GG42">
        <v>2</v>
      </c>
      <c r="GH42">
        <v>1</v>
      </c>
      <c r="GI42">
        <v>4</v>
      </c>
      <c r="GJ42">
        <v>0</v>
      </c>
      <c r="GK42">
        <v>0</v>
      </c>
      <c r="GL42">
        <f t="shared" si="39"/>
        <v>0</v>
      </c>
      <c r="GM42">
        <f t="shared" si="40"/>
        <v>46642.06</v>
      </c>
      <c r="GN42">
        <f t="shared" si="41"/>
        <v>46642.06</v>
      </c>
      <c r="GO42">
        <f t="shared" si="42"/>
        <v>0</v>
      </c>
      <c r="GP42">
        <f t="shared" si="43"/>
        <v>0</v>
      </c>
      <c r="GR42">
        <v>0</v>
      </c>
      <c r="GS42">
        <v>3</v>
      </c>
      <c r="GT42">
        <v>0</v>
      </c>
      <c r="GU42" t="s">
        <v>3</v>
      </c>
      <c r="GV42">
        <f t="shared" si="47"/>
        <v>0</v>
      </c>
      <c r="GW42">
        <v>1</v>
      </c>
      <c r="GX42">
        <f t="shared" si="44"/>
        <v>0</v>
      </c>
      <c r="HA42">
        <v>0</v>
      </c>
      <c r="HB42">
        <v>0</v>
      </c>
      <c r="HC42">
        <f t="shared" si="45"/>
        <v>0</v>
      </c>
      <c r="HE42" t="s">
        <v>3</v>
      </c>
      <c r="HF42" t="s">
        <v>3</v>
      </c>
      <c r="HM42" t="s">
        <v>3</v>
      </c>
      <c r="HN42" t="s">
        <v>78</v>
      </c>
      <c r="HO42" t="s">
        <v>79</v>
      </c>
      <c r="HP42" t="s">
        <v>80</v>
      </c>
      <c r="HQ42" t="s">
        <v>80</v>
      </c>
      <c r="IK42">
        <v>0</v>
      </c>
    </row>
    <row r="43" spans="1:245" x14ac:dyDescent="0.2">
      <c r="A43">
        <v>17</v>
      </c>
      <c r="B43">
        <v>1</v>
      </c>
      <c r="E43" t="s">
        <v>119</v>
      </c>
      <c r="F43" t="s">
        <v>66</v>
      </c>
      <c r="G43" t="s">
        <v>120</v>
      </c>
      <c r="H43" t="s">
        <v>88</v>
      </c>
      <c r="I43">
        <f>ROUND(ROUND(72*5.49*1.22/1000,4),9)</f>
        <v>0.48220000000000002</v>
      </c>
      <c r="J43">
        <v>0</v>
      </c>
      <c r="K43">
        <f>ROUND(ROUND(72*5.49*1.22/1000,4),9)</f>
        <v>0.48220000000000002</v>
      </c>
      <c r="O43">
        <f t="shared" si="14"/>
        <v>48501.919999999998</v>
      </c>
      <c r="P43">
        <f t="shared" si="15"/>
        <v>48501.919999999998</v>
      </c>
      <c r="Q43">
        <f t="shared" si="16"/>
        <v>0</v>
      </c>
      <c r="R43">
        <f t="shared" si="17"/>
        <v>0</v>
      </c>
      <c r="S43">
        <f t="shared" si="18"/>
        <v>0</v>
      </c>
      <c r="T43">
        <f t="shared" si="19"/>
        <v>0</v>
      </c>
      <c r="U43">
        <f t="shared" si="20"/>
        <v>0</v>
      </c>
      <c r="V43">
        <f t="shared" si="21"/>
        <v>0</v>
      </c>
      <c r="W43">
        <f t="shared" si="22"/>
        <v>0</v>
      </c>
      <c r="X43">
        <f t="shared" si="23"/>
        <v>0</v>
      </c>
      <c r="Y43">
        <f t="shared" si="24"/>
        <v>0</v>
      </c>
      <c r="AA43">
        <v>145184733</v>
      </c>
      <c r="AB43">
        <f t="shared" si="25"/>
        <v>12104.05</v>
      </c>
      <c r="AC43">
        <f t="shared" si="46"/>
        <v>12104.05</v>
      </c>
      <c r="AD43">
        <f>ROUND((((ET43)-(EU43))+AE43),2)</f>
        <v>0</v>
      </c>
      <c r="AE43">
        <f t="shared" si="48"/>
        <v>0</v>
      </c>
      <c r="AF43">
        <f t="shared" si="48"/>
        <v>0</v>
      </c>
      <c r="AG43">
        <f t="shared" si="26"/>
        <v>0</v>
      </c>
      <c r="AH43">
        <f t="shared" si="49"/>
        <v>0</v>
      </c>
      <c r="AI43">
        <f t="shared" si="49"/>
        <v>0</v>
      </c>
      <c r="AJ43">
        <f t="shared" si="27"/>
        <v>0</v>
      </c>
      <c r="AK43">
        <v>12104.05</v>
      </c>
      <c r="AL43">
        <v>12104.05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8.31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1</v>
      </c>
      <c r="BJ43" t="s">
        <v>3</v>
      </c>
      <c r="BM43">
        <v>1100</v>
      </c>
      <c r="BN43">
        <v>0</v>
      </c>
      <c r="BO43" t="s">
        <v>3</v>
      </c>
      <c r="BP43">
        <v>0</v>
      </c>
      <c r="BQ43">
        <v>8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0</v>
      </c>
      <c r="CA43">
        <v>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28"/>
        <v>48501.919999999998</v>
      </c>
      <c r="CQ43">
        <f t="shared" si="29"/>
        <v>100584.65549999999</v>
      </c>
      <c r="CR43">
        <f>(((ET43)*BB43-(EU43)*BS43)+AE43*BS43)</f>
        <v>0</v>
      </c>
      <c r="CS43">
        <f t="shared" si="30"/>
        <v>0</v>
      </c>
      <c r="CT43">
        <f t="shared" si="31"/>
        <v>0</v>
      </c>
      <c r="CU43">
        <f t="shared" si="32"/>
        <v>0</v>
      </c>
      <c r="CV43">
        <f t="shared" si="33"/>
        <v>0</v>
      </c>
      <c r="CW43">
        <f t="shared" si="34"/>
        <v>0</v>
      </c>
      <c r="CX43">
        <f t="shared" si="35"/>
        <v>0</v>
      </c>
      <c r="CY43">
        <f t="shared" si="36"/>
        <v>0</v>
      </c>
      <c r="CZ43">
        <f t="shared" si="37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1009</v>
      </c>
      <c r="DV43" t="s">
        <v>88</v>
      </c>
      <c r="DW43" t="s">
        <v>88</v>
      </c>
      <c r="DX43">
        <v>1000</v>
      </c>
      <c r="DZ43" t="s">
        <v>3</v>
      </c>
      <c r="EA43" t="s">
        <v>3</v>
      </c>
      <c r="EB43" t="s">
        <v>3</v>
      </c>
      <c r="EC43" t="s">
        <v>3</v>
      </c>
      <c r="EE43">
        <v>140625274</v>
      </c>
      <c r="EF43">
        <v>8</v>
      </c>
      <c r="EG43" t="s">
        <v>50</v>
      </c>
      <c r="EH43">
        <v>0</v>
      </c>
      <c r="EI43" t="s">
        <v>3</v>
      </c>
      <c r="EJ43">
        <v>1</v>
      </c>
      <c r="EK43">
        <v>1100</v>
      </c>
      <c r="EL43" t="s">
        <v>51</v>
      </c>
      <c r="EM43" t="s">
        <v>52</v>
      </c>
      <c r="EO43" t="s">
        <v>3</v>
      </c>
      <c r="EQ43">
        <v>0</v>
      </c>
      <c r="ER43">
        <v>12104.05</v>
      </c>
      <c r="ES43">
        <v>12104.05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5</v>
      </c>
      <c r="FC43">
        <v>1</v>
      </c>
      <c r="FD43">
        <v>18</v>
      </c>
      <c r="FF43">
        <v>112700</v>
      </c>
      <c r="FQ43">
        <v>0</v>
      </c>
      <c r="FR43">
        <f t="shared" si="38"/>
        <v>0</v>
      </c>
      <c r="FS43">
        <v>0</v>
      </c>
      <c r="FX43">
        <v>0</v>
      </c>
      <c r="FY43">
        <v>0</v>
      </c>
      <c r="GA43" t="s">
        <v>121</v>
      </c>
      <c r="GD43">
        <v>1</v>
      </c>
      <c r="GF43">
        <v>-1214113528</v>
      </c>
      <c r="GG43">
        <v>2</v>
      </c>
      <c r="GH43">
        <v>3</v>
      </c>
      <c r="GI43">
        <v>4</v>
      </c>
      <c r="GJ43">
        <v>0</v>
      </c>
      <c r="GK43">
        <v>0</v>
      </c>
      <c r="GL43">
        <f t="shared" si="39"/>
        <v>0</v>
      </c>
      <c r="GM43">
        <f t="shared" si="40"/>
        <v>48501.919999999998</v>
      </c>
      <c r="GN43">
        <f t="shared" si="41"/>
        <v>48501.919999999998</v>
      </c>
      <c r="GO43">
        <f t="shared" si="42"/>
        <v>0</v>
      </c>
      <c r="GP43">
        <f t="shared" si="43"/>
        <v>0</v>
      </c>
      <c r="GR43">
        <v>1</v>
      </c>
      <c r="GS43">
        <v>1</v>
      </c>
      <c r="GT43">
        <v>0</v>
      </c>
      <c r="GU43" t="s">
        <v>3</v>
      </c>
      <c r="GV43">
        <f t="shared" si="47"/>
        <v>0</v>
      </c>
      <c r="GW43">
        <v>1</v>
      </c>
      <c r="GX43">
        <f t="shared" si="44"/>
        <v>0</v>
      </c>
      <c r="HA43">
        <v>0</v>
      </c>
      <c r="HB43">
        <v>0</v>
      </c>
      <c r="HC43">
        <f t="shared" si="45"/>
        <v>0</v>
      </c>
      <c r="HE43" t="s">
        <v>55</v>
      </c>
      <c r="HF43" t="s">
        <v>27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17</v>
      </c>
      <c r="B44">
        <v>1</v>
      </c>
      <c r="E44" t="s">
        <v>122</v>
      </c>
      <c r="F44" t="s">
        <v>123</v>
      </c>
      <c r="G44" t="s">
        <v>124</v>
      </c>
      <c r="H44" t="s">
        <v>125</v>
      </c>
      <c r="I44">
        <f>ROUND(11.832*0.1,9)</f>
        <v>1.1832</v>
      </c>
      <c r="J44">
        <v>0</v>
      </c>
      <c r="K44">
        <f>ROUND(11.832*0.1,9)</f>
        <v>1.1832</v>
      </c>
      <c r="O44">
        <f>0</f>
        <v>0</v>
      </c>
      <c r="P44">
        <f>0</f>
        <v>0</v>
      </c>
      <c r="Q44">
        <f>0</f>
        <v>0</v>
      </c>
      <c r="R44">
        <f>0</f>
        <v>0</v>
      </c>
      <c r="S44">
        <f>0</f>
        <v>0</v>
      </c>
      <c r="T44">
        <f>0</f>
        <v>0</v>
      </c>
      <c r="U44">
        <f>0</f>
        <v>0</v>
      </c>
      <c r="V44">
        <f>0</f>
        <v>0</v>
      </c>
      <c r="W44">
        <f>0</f>
        <v>0</v>
      </c>
      <c r="X44">
        <f>0</f>
        <v>0</v>
      </c>
      <c r="Y44">
        <f>0</f>
        <v>0</v>
      </c>
      <c r="AA44">
        <v>145184733</v>
      </c>
      <c r="AB44">
        <f>ROUND((AK44),2)</f>
        <v>42.98</v>
      </c>
      <c r="AC44">
        <f>0</f>
        <v>0</v>
      </c>
      <c r="AD44">
        <f>0</f>
        <v>0</v>
      </c>
      <c r="AE44">
        <f>0</f>
        <v>0</v>
      </c>
      <c r="AF44">
        <f>0</f>
        <v>0</v>
      </c>
      <c r="AG44">
        <f>0</f>
        <v>0</v>
      </c>
      <c r="AH44">
        <f>0</f>
        <v>0</v>
      </c>
      <c r="AI44">
        <f>0</f>
        <v>0</v>
      </c>
      <c r="AJ44">
        <f>0</f>
        <v>0</v>
      </c>
      <c r="AK44">
        <v>42.98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13.41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1</v>
      </c>
      <c r="BJ44" t="s">
        <v>126</v>
      </c>
      <c r="BM44">
        <v>700004</v>
      </c>
      <c r="BN44">
        <v>0</v>
      </c>
      <c r="BO44" t="s">
        <v>3</v>
      </c>
      <c r="BP44">
        <v>0</v>
      </c>
      <c r="BQ44">
        <v>19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0</v>
      </c>
      <c r="CA44">
        <v>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>AB44*AZ44</f>
        <v>576.36180000000002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1013</v>
      </c>
      <c r="DV44" t="s">
        <v>125</v>
      </c>
      <c r="DW44" t="s">
        <v>125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140625282</v>
      </c>
      <c r="EF44">
        <v>19</v>
      </c>
      <c r="EG44" t="s">
        <v>127</v>
      </c>
      <c r="EH44">
        <v>106</v>
      </c>
      <c r="EI44" t="s">
        <v>127</v>
      </c>
      <c r="EJ44">
        <v>1</v>
      </c>
      <c r="EK44">
        <v>700004</v>
      </c>
      <c r="EL44" t="s">
        <v>127</v>
      </c>
      <c r="EM44" t="s">
        <v>128</v>
      </c>
      <c r="EO44" t="s">
        <v>3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FQ44">
        <v>0</v>
      </c>
      <c r="FR44">
        <f t="shared" si="38"/>
        <v>0</v>
      </c>
      <c r="FS44">
        <v>0</v>
      </c>
      <c r="FX44">
        <v>0</v>
      </c>
      <c r="FY44">
        <v>0</v>
      </c>
      <c r="GA44" t="s">
        <v>3</v>
      </c>
      <c r="GD44">
        <v>1</v>
      </c>
      <c r="GF44">
        <v>-1368885421</v>
      </c>
      <c r="GG44">
        <v>2</v>
      </c>
      <c r="GH44">
        <v>1</v>
      </c>
      <c r="GI44">
        <v>4</v>
      </c>
      <c r="GJ44">
        <v>2</v>
      </c>
      <c r="GK44">
        <v>0</v>
      </c>
      <c r="GL44">
        <f t="shared" si="39"/>
        <v>0</v>
      </c>
      <c r="GM44">
        <f>ROUND(CP44*I44,2)</f>
        <v>681.95</v>
      </c>
      <c r="GN44">
        <f>IF(OR(BI44=0,BI44=1),ROUND(CP44*I44,2),0)</f>
        <v>681.95</v>
      </c>
      <c r="GO44">
        <f>IF(BI44=2,ROUND(CP44*I44,2),0)</f>
        <v>0</v>
      </c>
      <c r="GP44">
        <f>IF(BI44=4,ROUND(CP44*I44,2)+GX44,0)</f>
        <v>0</v>
      </c>
      <c r="GR44">
        <v>0</v>
      </c>
      <c r="GS44">
        <v>3</v>
      </c>
      <c r="GT44">
        <v>0</v>
      </c>
      <c r="GU44" t="s">
        <v>3</v>
      </c>
      <c r="GV44">
        <f>0</f>
        <v>0</v>
      </c>
      <c r="GW44">
        <v>1</v>
      </c>
      <c r="GX44">
        <f>0</f>
        <v>0</v>
      </c>
      <c r="HA44">
        <v>0</v>
      </c>
      <c r="HB44">
        <v>0</v>
      </c>
      <c r="HC44">
        <v>0</v>
      </c>
      <c r="HD44">
        <f>GM44</f>
        <v>681.95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17</v>
      </c>
      <c r="B45">
        <v>1</v>
      </c>
      <c r="E45" t="s">
        <v>129</v>
      </c>
      <c r="F45" t="s">
        <v>130</v>
      </c>
      <c r="G45" t="s">
        <v>131</v>
      </c>
      <c r="H45" t="s">
        <v>125</v>
      </c>
      <c r="I45">
        <f>ROUND(11.832*0.9,9)</f>
        <v>10.6488</v>
      </c>
      <c r="J45">
        <v>0</v>
      </c>
      <c r="K45">
        <f>ROUND(11.832*0.9,9)</f>
        <v>10.6488</v>
      </c>
      <c r="O45">
        <f>0</f>
        <v>0</v>
      </c>
      <c r="P45">
        <f>0</f>
        <v>0</v>
      </c>
      <c r="Q45">
        <f>0</f>
        <v>0</v>
      </c>
      <c r="R45">
        <f>0</f>
        <v>0</v>
      </c>
      <c r="S45">
        <f>0</f>
        <v>0</v>
      </c>
      <c r="T45">
        <f>0</f>
        <v>0</v>
      </c>
      <c r="U45">
        <f>0</f>
        <v>0</v>
      </c>
      <c r="V45">
        <f>0</f>
        <v>0</v>
      </c>
      <c r="W45">
        <f>0</f>
        <v>0</v>
      </c>
      <c r="X45">
        <f>0</f>
        <v>0</v>
      </c>
      <c r="Y45">
        <f>0</f>
        <v>0</v>
      </c>
      <c r="AA45">
        <v>145184733</v>
      </c>
      <c r="AB45">
        <f>ROUND((AK45),2)</f>
        <v>3.28</v>
      </c>
      <c r="AC45">
        <f>0</f>
        <v>0</v>
      </c>
      <c r="AD45">
        <f>0</f>
        <v>0</v>
      </c>
      <c r="AE45">
        <f>0</f>
        <v>0</v>
      </c>
      <c r="AF45">
        <f>0</f>
        <v>0</v>
      </c>
      <c r="AG45">
        <f>0</f>
        <v>0</v>
      </c>
      <c r="AH45">
        <f>0</f>
        <v>0</v>
      </c>
      <c r="AI45">
        <f>0</f>
        <v>0</v>
      </c>
      <c r="AJ45">
        <f>0</f>
        <v>0</v>
      </c>
      <c r="AK45">
        <v>3.28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13.41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1</v>
      </c>
      <c r="BJ45" t="s">
        <v>132</v>
      </c>
      <c r="BM45">
        <v>700004</v>
      </c>
      <c r="BN45">
        <v>0</v>
      </c>
      <c r="BO45" t="s">
        <v>3</v>
      </c>
      <c r="BP45">
        <v>0</v>
      </c>
      <c r="BQ45">
        <v>19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0</v>
      </c>
      <c r="CA45">
        <v>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>AB45*AZ45</f>
        <v>43.9848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1013</v>
      </c>
      <c r="DV45" t="s">
        <v>125</v>
      </c>
      <c r="DW45" t="s">
        <v>125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140625282</v>
      </c>
      <c r="EF45">
        <v>19</v>
      </c>
      <c r="EG45" t="s">
        <v>127</v>
      </c>
      <c r="EH45">
        <v>106</v>
      </c>
      <c r="EI45" t="s">
        <v>127</v>
      </c>
      <c r="EJ45">
        <v>1</v>
      </c>
      <c r="EK45">
        <v>700004</v>
      </c>
      <c r="EL45" t="s">
        <v>127</v>
      </c>
      <c r="EM45" t="s">
        <v>128</v>
      </c>
      <c r="EO45" t="s">
        <v>3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FQ45">
        <v>0</v>
      </c>
      <c r="FR45">
        <f t="shared" si="38"/>
        <v>0</v>
      </c>
      <c r="FS45">
        <v>0</v>
      </c>
      <c r="FX45">
        <v>0</v>
      </c>
      <c r="FY45">
        <v>0</v>
      </c>
      <c r="GA45" t="s">
        <v>3</v>
      </c>
      <c r="GD45">
        <v>1</v>
      </c>
      <c r="GF45">
        <v>1072927856</v>
      </c>
      <c r="GG45">
        <v>2</v>
      </c>
      <c r="GH45">
        <v>1</v>
      </c>
      <c r="GI45">
        <v>4</v>
      </c>
      <c r="GJ45">
        <v>2</v>
      </c>
      <c r="GK45">
        <v>0</v>
      </c>
      <c r="GL45">
        <f t="shared" si="39"/>
        <v>0</v>
      </c>
      <c r="GM45">
        <f>ROUND(CP45*I45,2)</f>
        <v>468.39</v>
      </c>
      <c r="GN45">
        <f>IF(OR(BI45=0,BI45=1),ROUND(CP45*I45,2),0)</f>
        <v>468.39</v>
      </c>
      <c r="GO45">
        <f>IF(BI45=2,ROUND(CP45*I45,2),0)</f>
        <v>0</v>
      </c>
      <c r="GP45">
        <f>IF(BI45=4,ROUND(CP45*I45,2)+GX45,0)</f>
        <v>0</v>
      </c>
      <c r="GR45">
        <v>0</v>
      </c>
      <c r="GS45">
        <v>3</v>
      </c>
      <c r="GT45">
        <v>0</v>
      </c>
      <c r="GU45" t="s">
        <v>3</v>
      </c>
      <c r="GV45">
        <f>0</f>
        <v>0</v>
      </c>
      <c r="GW45">
        <v>1</v>
      </c>
      <c r="GX45">
        <f>0</f>
        <v>0</v>
      </c>
      <c r="HA45">
        <v>0</v>
      </c>
      <c r="HB45">
        <v>0</v>
      </c>
      <c r="HC45">
        <v>0</v>
      </c>
      <c r="HD45">
        <f>GM45</f>
        <v>468.39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17</v>
      </c>
      <c r="B46">
        <v>1</v>
      </c>
      <c r="E46" t="s">
        <v>133</v>
      </c>
      <c r="F46" t="s">
        <v>134</v>
      </c>
      <c r="G46" t="s">
        <v>135</v>
      </c>
      <c r="H46" t="s">
        <v>125</v>
      </c>
      <c r="I46">
        <f>ROUND(I45+I44,9)</f>
        <v>11.832000000000001</v>
      </c>
      <c r="J46">
        <v>0</v>
      </c>
      <c r="K46">
        <f>ROUND(I45+I44,9)</f>
        <v>11.832000000000001</v>
      </c>
      <c r="O46">
        <f>0</f>
        <v>0</v>
      </c>
      <c r="P46">
        <f>0</f>
        <v>0</v>
      </c>
      <c r="Q46">
        <f>0</f>
        <v>0</v>
      </c>
      <c r="R46">
        <f>0</f>
        <v>0</v>
      </c>
      <c r="S46">
        <f>0</f>
        <v>0</v>
      </c>
      <c r="T46">
        <f>0</f>
        <v>0</v>
      </c>
      <c r="U46">
        <f>0</f>
        <v>0</v>
      </c>
      <c r="V46">
        <f>0</f>
        <v>0</v>
      </c>
      <c r="W46">
        <f>0</f>
        <v>0</v>
      </c>
      <c r="X46">
        <f>0</f>
        <v>0</v>
      </c>
      <c r="Y46">
        <f>0</f>
        <v>0</v>
      </c>
      <c r="AA46">
        <v>145184733</v>
      </c>
      <c r="AB46">
        <f>ROUND((AK46),2)</f>
        <v>3.86</v>
      </c>
      <c r="AC46">
        <f>0</f>
        <v>0</v>
      </c>
      <c r="AD46">
        <f>0</f>
        <v>0</v>
      </c>
      <c r="AE46">
        <f>0</f>
        <v>0</v>
      </c>
      <c r="AF46">
        <f>0</f>
        <v>0</v>
      </c>
      <c r="AG46">
        <f>0</f>
        <v>0</v>
      </c>
      <c r="AH46">
        <f>0</f>
        <v>0</v>
      </c>
      <c r="AI46">
        <f>0</f>
        <v>0</v>
      </c>
      <c r="AJ46">
        <f>0</f>
        <v>0</v>
      </c>
      <c r="AK46">
        <v>3.86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13.41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1</v>
      </c>
      <c r="BJ46" t="s">
        <v>136</v>
      </c>
      <c r="BM46">
        <v>700011</v>
      </c>
      <c r="BN46">
        <v>0</v>
      </c>
      <c r="BO46" t="s">
        <v>3</v>
      </c>
      <c r="BP46">
        <v>0</v>
      </c>
      <c r="BQ46">
        <v>40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0</v>
      </c>
      <c r="CA46">
        <v>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>AB46*AZ46</f>
        <v>51.762599999999999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1013</v>
      </c>
      <c r="DV46" t="s">
        <v>125</v>
      </c>
      <c r="DW46" t="s">
        <v>125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140625621</v>
      </c>
      <c r="EF46">
        <v>40</v>
      </c>
      <c r="EG46" t="s">
        <v>137</v>
      </c>
      <c r="EH46">
        <v>107</v>
      </c>
      <c r="EI46" t="s">
        <v>138</v>
      </c>
      <c r="EJ46">
        <v>1</v>
      </c>
      <c r="EK46">
        <v>700011</v>
      </c>
      <c r="EL46" t="s">
        <v>139</v>
      </c>
      <c r="EM46" t="s">
        <v>140</v>
      </c>
      <c r="EO46" t="s">
        <v>3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FQ46">
        <v>0</v>
      </c>
      <c r="FR46">
        <f t="shared" si="38"/>
        <v>0</v>
      </c>
      <c r="FS46">
        <v>0</v>
      </c>
      <c r="FX46">
        <v>0</v>
      </c>
      <c r="FY46">
        <v>0</v>
      </c>
      <c r="GA46" t="s">
        <v>3</v>
      </c>
      <c r="GD46">
        <v>1</v>
      </c>
      <c r="GF46">
        <v>-1332390239</v>
      </c>
      <c r="GG46">
        <v>2</v>
      </c>
      <c r="GH46">
        <v>1</v>
      </c>
      <c r="GI46">
        <v>4</v>
      </c>
      <c r="GJ46">
        <v>2</v>
      </c>
      <c r="GK46">
        <v>0</v>
      </c>
      <c r="GL46">
        <f t="shared" si="39"/>
        <v>0</v>
      </c>
      <c r="GM46">
        <f>ROUND(CP46*I46,2)</f>
        <v>612.46</v>
      </c>
      <c r="GN46">
        <f>IF(OR(BI46=0,BI46=1),ROUND(CP46*I46,2),0)</f>
        <v>612.46</v>
      </c>
      <c r="GO46">
        <f>IF(BI46=2,ROUND(CP46*I46,2),0)</f>
        <v>0</v>
      </c>
      <c r="GP46">
        <f>IF(BI46=4,ROUND(CP46*I46,2)+GX46,0)</f>
        <v>0</v>
      </c>
      <c r="GR46">
        <v>0</v>
      </c>
      <c r="GS46">
        <v>3</v>
      </c>
      <c r="GT46">
        <v>0</v>
      </c>
      <c r="GU46" t="s">
        <v>3</v>
      </c>
      <c r="GV46">
        <f>0</f>
        <v>0</v>
      </c>
      <c r="GW46">
        <v>1</v>
      </c>
      <c r="GX46">
        <f>0</f>
        <v>0</v>
      </c>
      <c r="HA46">
        <v>0</v>
      </c>
      <c r="HB46">
        <v>0</v>
      </c>
      <c r="HC46">
        <v>0</v>
      </c>
      <c r="HD46">
        <f>GM46</f>
        <v>612.46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8" spans="1:245" x14ac:dyDescent="0.2">
      <c r="A48" s="2">
        <v>51</v>
      </c>
      <c r="B48" s="2">
        <f>B20</f>
        <v>1</v>
      </c>
      <c r="C48" s="2">
        <f>A20</f>
        <v>3</v>
      </c>
      <c r="D48" s="2">
        <f>ROW(A20)</f>
        <v>20</v>
      </c>
      <c r="E48" s="2"/>
      <c r="F48" s="2" t="str">
        <f>IF(F20&lt;&gt;"",F20,"")</f>
        <v>Новая локальная смета</v>
      </c>
      <c r="G48" s="2" t="str">
        <f>IF(G20&lt;&gt;"",G20,"")</f>
        <v>Новая локальная смета</v>
      </c>
      <c r="H48" s="2">
        <v>0</v>
      </c>
      <c r="I48" s="2"/>
      <c r="J48" s="2"/>
      <c r="K48" s="2"/>
      <c r="L48" s="2"/>
      <c r="M48" s="2"/>
      <c r="N48" s="2"/>
      <c r="O48" s="2">
        <f t="shared" ref="O48:T48" si="50">ROUND(AB48,2)</f>
        <v>1640382.33</v>
      </c>
      <c r="P48" s="2">
        <f t="shared" si="50"/>
        <v>1114654.02</v>
      </c>
      <c r="Q48" s="2">
        <f t="shared" si="50"/>
        <v>31174.75</v>
      </c>
      <c r="R48" s="2">
        <f t="shared" si="50"/>
        <v>4699.66</v>
      </c>
      <c r="S48" s="2">
        <f t="shared" si="50"/>
        <v>494553.56</v>
      </c>
      <c r="T48" s="2">
        <f t="shared" si="50"/>
        <v>0</v>
      </c>
      <c r="U48" s="2">
        <f>AH48</f>
        <v>1349.61204</v>
      </c>
      <c r="V48" s="2">
        <f>AI48</f>
        <v>10.51332</v>
      </c>
      <c r="W48" s="2">
        <f>ROUND(AJ48,2)</f>
        <v>0</v>
      </c>
      <c r="X48" s="2">
        <f>ROUND(AK48,2)</f>
        <v>470501.23</v>
      </c>
      <c r="Y48" s="2">
        <f>ROUND(AL48,2)</f>
        <v>233989.19</v>
      </c>
      <c r="Z48" s="2"/>
      <c r="AA48" s="2"/>
      <c r="AB48" s="2">
        <f>ROUND(SUMIF(AA24:AA46,"=145184733",O24:O46),2)</f>
        <v>1640382.33</v>
      </c>
      <c r="AC48" s="2">
        <f>ROUND(SUMIF(AA24:AA46,"=145184733",P24:P46),2)</f>
        <v>1114654.02</v>
      </c>
      <c r="AD48" s="2">
        <f>ROUND(SUMIF(AA24:AA46,"=145184733",Q24:Q46),2)</f>
        <v>31174.75</v>
      </c>
      <c r="AE48" s="2">
        <f>ROUND(SUMIF(AA24:AA46,"=145184733",R24:R46),2)</f>
        <v>4699.66</v>
      </c>
      <c r="AF48" s="2">
        <f>ROUND(SUMIF(AA24:AA46,"=145184733",S24:S46),2)</f>
        <v>494553.56</v>
      </c>
      <c r="AG48" s="2">
        <f>ROUND(SUMIF(AA24:AA46,"=145184733",T24:T46),2)</f>
        <v>0</v>
      </c>
      <c r="AH48" s="2">
        <f>SUMIF(AA24:AA46,"=145184733",U24:U46)</f>
        <v>1349.61204</v>
      </c>
      <c r="AI48" s="2">
        <f>SUMIF(AA24:AA46,"=145184733",V24:V46)</f>
        <v>10.51332</v>
      </c>
      <c r="AJ48" s="2">
        <f>ROUND(SUMIF(AA24:AA46,"=145184733",W24:W46),2)</f>
        <v>0</v>
      </c>
      <c r="AK48" s="2">
        <f>ROUND(SUMIF(AA24:AA46,"=145184733",X24:X46),2)</f>
        <v>470501.23</v>
      </c>
      <c r="AL48" s="2">
        <f>ROUND(SUMIF(AA24:AA46,"=145184733",Y24:Y46),2)</f>
        <v>233989.19</v>
      </c>
      <c r="AM48" s="2"/>
      <c r="AN48" s="2"/>
      <c r="AO48" s="2">
        <f t="shared" ref="AO48:BD48" si="51">ROUND(BX48,2)</f>
        <v>0</v>
      </c>
      <c r="AP48" s="2">
        <f t="shared" si="51"/>
        <v>0</v>
      </c>
      <c r="AQ48" s="2">
        <f t="shared" si="51"/>
        <v>0</v>
      </c>
      <c r="AR48" s="2">
        <f t="shared" si="51"/>
        <v>2346635.5499999998</v>
      </c>
      <c r="AS48" s="2">
        <f t="shared" si="51"/>
        <v>2346635.5499999998</v>
      </c>
      <c r="AT48" s="2">
        <f t="shared" si="51"/>
        <v>0</v>
      </c>
      <c r="AU48" s="2">
        <f t="shared" si="51"/>
        <v>0</v>
      </c>
      <c r="AV48" s="2">
        <f t="shared" si="51"/>
        <v>1114654.02</v>
      </c>
      <c r="AW48" s="2">
        <f t="shared" si="51"/>
        <v>1114654.02</v>
      </c>
      <c r="AX48" s="2">
        <f t="shared" si="51"/>
        <v>0</v>
      </c>
      <c r="AY48" s="2">
        <f t="shared" si="51"/>
        <v>1114654.02</v>
      </c>
      <c r="AZ48" s="2">
        <f t="shared" si="51"/>
        <v>0</v>
      </c>
      <c r="BA48" s="2">
        <f t="shared" si="51"/>
        <v>0</v>
      </c>
      <c r="BB48" s="2">
        <f t="shared" si="51"/>
        <v>0</v>
      </c>
      <c r="BC48" s="2">
        <f t="shared" si="51"/>
        <v>0</v>
      </c>
      <c r="BD48" s="2">
        <f t="shared" si="51"/>
        <v>1762.8</v>
      </c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>
        <f>ROUND(SUMIF(AA24:AA46,"=145184733",FQ24:FQ46),2)</f>
        <v>0</v>
      </c>
      <c r="BY48" s="2">
        <f>ROUND(SUMIF(AA24:AA46,"=145184733",FR24:FR46),2)</f>
        <v>0</v>
      </c>
      <c r="BZ48" s="2">
        <f>ROUND(SUMIF(AA24:AA46,"=145184733",GL24:GL46),2)</f>
        <v>0</v>
      </c>
      <c r="CA48" s="2">
        <f>ROUND(SUMIF(AA24:AA46,"=145184733",GM24:GM46),2)</f>
        <v>2346635.5499999998</v>
      </c>
      <c r="CB48" s="2">
        <f>ROUND(SUMIF(AA24:AA46,"=145184733",GN24:GN46),2)</f>
        <v>2346635.5499999998</v>
      </c>
      <c r="CC48" s="2">
        <f>ROUND(SUMIF(AA24:AA46,"=145184733",GO24:GO46),2)</f>
        <v>0</v>
      </c>
      <c r="CD48" s="2">
        <f>ROUND(SUMIF(AA24:AA46,"=145184733",GP24:GP46),2)</f>
        <v>0</v>
      </c>
      <c r="CE48" s="2">
        <f>AC48-BX48</f>
        <v>1114654.02</v>
      </c>
      <c r="CF48" s="2">
        <f>AC48-BY48</f>
        <v>1114654.02</v>
      </c>
      <c r="CG48" s="2">
        <f>BX48-BZ48</f>
        <v>0</v>
      </c>
      <c r="CH48" s="2">
        <f>AC48-BX48-BY48+BZ48</f>
        <v>1114654.02</v>
      </c>
      <c r="CI48" s="2">
        <f>BY48-BZ48</f>
        <v>0</v>
      </c>
      <c r="CJ48" s="2">
        <f>ROUND(SUMIF(AA24:AA46,"=145184733",GX24:GX46),2)</f>
        <v>0</v>
      </c>
      <c r="CK48" s="2">
        <f>ROUND(SUMIF(AA24:AA46,"=145184733",GY24:GY46),2)</f>
        <v>0</v>
      </c>
      <c r="CL48" s="2">
        <f>ROUND(SUMIF(AA24:AA46,"=145184733",GZ24:GZ46),2)</f>
        <v>0</v>
      </c>
      <c r="CM48" s="2">
        <f>ROUND(SUMIF(AA24:AA46,"=145184733",HD24:HD46),2)</f>
        <v>1762.8</v>
      </c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>
        <v>0</v>
      </c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201</v>
      </c>
      <c r="F50" s="4">
        <f>ROUND(Source!O48,O50)</f>
        <v>1640382.33</v>
      </c>
      <c r="G50" s="4" t="s">
        <v>141</v>
      </c>
      <c r="H50" s="4" t="s">
        <v>142</v>
      </c>
      <c r="I50" s="4"/>
      <c r="J50" s="4"/>
      <c r="K50" s="4">
        <v>201</v>
      </c>
      <c r="L50" s="4">
        <v>1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1640382.33</v>
      </c>
      <c r="X50" s="4">
        <v>1</v>
      </c>
      <c r="Y50" s="4">
        <v>1640382.33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202</v>
      </c>
      <c r="F51" s="4">
        <f>ROUND(Source!P48,O51)</f>
        <v>1114654.02</v>
      </c>
      <c r="G51" s="4" t="s">
        <v>143</v>
      </c>
      <c r="H51" s="4" t="s">
        <v>144</v>
      </c>
      <c r="I51" s="4"/>
      <c r="J51" s="4"/>
      <c r="K51" s="4">
        <v>202</v>
      </c>
      <c r="L51" s="4">
        <v>2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1114654.02</v>
      </c>
      <c r="X51" s="4">
        <v>1</v>
      </c>
      <c r="Y51" s="4">
        <v>1114654.02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222</v>
      </c>
      <c r="F52" s="4">
        <f>ROUND(Source!AO48,O52)</f>
        <v>0</v>
      </c>
      <c r="G52" s="4" t="s">
        <v>145</v>
      </c>
      <c r="H52" s="4" t="s">
        <v>146</v>
      </c>
      <c r="I52" s="4"/>
      <c r="J52" s="4"/>
      <c r="K52" s="4">
        <v>222</v>
      </c>
      <c r="L52" s="4">
        <v>3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225</v>
      </c>
      <c r="F53" s="4">
        <f>ROUND(Source!AV48,O53)</f>
        <v>1114654.02</v>
      </c>
      <c r="G53" s="4" t="s">
        <v>147</v>
      </c>
      <c r="H53" s="4" t="s">
        <v>148</v>
      </c>
      <c r="I53" s="4"/>
      <c r="J53" s="4"/>
      <c r="K53" s="4">
        <v>225</v>
      </c>
      <c r="L53" s="4">
        <v>4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1114654.02</v>
      </c>
      <c r="X53" s="4">
        <v>1</v>
      </c>
      <c r="Y53" s="4">
        <v>1114654.02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226</v>
      </c>
      <c r="F54" s="4">
        <f>ROUND(Source!AW48,O54)</f>
        <v>1114654.02</v>
      </c>
      <c r="G54" s="4" t="s">
        <v>149</v>
      </c>
      <c r="H54" s="4" t="s">
        <v>150</v>
      </c>
      <c r="I54" s="4"/>
      <c r="J54" s="4"/>
      <c r="K54" s="4">
        <v>226</v>
      </c>
      <c r="L54" s="4">
        <v>5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1114654.02</v>
      </c>
      <c r="X54" s="4">
        <v>1</v>
      </c>
      <c r="Y54" s="4">
        <v>1114654.02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227</v>
      </c>
      <c r="F55" s="4">
        <f>ROUND(Source!AX48,O55)</f>
        <v>0</v>
      </c>
      <c r="G55" s="4" t="s">
        <v>151</v>
      </c>
      <c r="H55" s="4" t="s">
        <v>152</v>
      </c>
      <c r="I55" s="4"/>
      <c r="J55" s="4"/>
      <c r="K55" s="4">
        <v>227</v>
      </c>
      <c r="L55" s="4">
        <v>6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228</v>
      </c>
      <c r="F56" s="4">
        <f>ROUND(Source!AY48,O56)</f>
        <v>1114654.02</v>
      </c>
      <c r="G56" s="4" t="s">
        <v>153</v>
      </c>
      <c r="H56" s="4" t="s">
        <v>154</v>
      </c>
      <c r="I56" s="4"/>
      <c r="J56" s="4"/>
      <c r="K56" s="4">
        <v>228</v>
      </c>
      <c r="L56" s="4">
        <v>7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1114654.02</v>
      </c>
      <c r="X56" s="4">
        <v>1</v>
      </c>
      <c r="Y56" s="4">
        <v>1114654.02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216</v>
      </c>
      <c r="F57" s="4">
        <f>ROUND(Source!AP48,O57)</f>
        <v>0</v>
      </c>
      <c r="G57" s="4" t="s">
        <v>155</v>
      </c>
      <c r="H57" s="4" t="s">
        <v>156</v>
      </c>
      <c r="I57" s="4"/>
      <c r="J57" s="4"/>
      <c r="K57" s="4">
        <v>216</v>
      </c>
      <c r="L57" s="4">
        <v>8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223</v>
      </c>
      <c r="F58" s="4">
        <f>ROUND(Source!AQ48,O58)</f>
        <v>0</v>
      </c>
      <c r="G58" s="4" t="s">
        <v>157</v>
      </c>
      <c r="H58" s="4" t="s">
        <v>158</v>
      </c>
      <c r="I58" s="4"/>
      <c r="J58" s="4"/>
      <c r="K58" s="4">
        <v>223</v>
      </c>
      <c r="L58" s="4">
        <v>9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229</v>
      </c>
      <c r="F59" s="4">
        <f>ROUND(Source!AZ48,O59)</f>
        <v>0</v>
      </c>
      <c r="G59" s="4" t="s">
        <v>159</v>
      </c>
      <c r="H59" s="4" t="s">
        <v>160</v>
      </c>
      <c r="I59" s="4"/>
      <c r="J59" s="4"/>
      <c r="K59" s="4">
        <v>229</v>
      </c>
      <c r="L59" s="4">
        <v>10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203</v>
      </c>
      <c r="F60" s="4">
        <f>ROUND(Source!Q48,O60)</f>
        <v>31174.75</v>
      </c>
      <c r="G60" s="4" t="s">
        <v>161</v>
      </c>
      <c r="H60" s="4" t="s">
        <v>162</v>
      </c>
      <c r="I60" s="4"/>
      <c r="J60" s="4"/>
      <c r="K60" s="4">
        <v>203</v>
      </c>
      <c r="L60" s="4">
        <v>11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31174.75</v>
      </c>
      <c r="X60" s="4">
        <v>1</v>
      </c>
      <c r="Y60" s="4">
        <v>31174.75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231</v>
      </c>
      <c r="F61" s="4">
        <f>ROUND(Source!BB48,O61)</f>
        <v>0</v>
      </c>
      <c r="G61" s="4" t="s">
        <v>163</v>
      </c>
      <c r="H61" s="4" t="s">
        <v>164</v>
      </c>
      <c r="I61" s="4"/>
      <c r="J61" s="4"/>
      <c r="K61" s="4">
        <v>231</v>
      </c>
      <c r="L61" s="4">
        <v>12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204</v>
      </c>
      <c r="F62" s="4">
        <f>ROUND(Source!R48,O62)</f>
        <v>4699.66</v>
      </c>
      <c r="G62" s="4" t="s">
        <v>165</v>
      </c>
      <c r="H62" s="4" t="s">
        <v>166</v>
      </c>
      <c r="I62" s="4"/>
      <c r="J62" s="4"/>
      <c r="K62" s="4">
        <v>204</v>
      </c>
      <c r="L62" s="4">
        <v>13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4699.66</v>
      </c>
      <c r="X62" s="4">
        <v>1</v>
      </c>
      <c r="Y62" s="4">
        <v>4699.66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205</v>
      </c>
      <c r="F63" s="4">
        <f>ROUND(Source!S48,O63)</f>
        <v>494553.56</v>
      </c>
      <c r="G63" s="4" t="s">
        <v>167</v>
      </c>
      <c r="H63" s="4" t="s">
        <v>168</v>
      </c>
      <c r="I63" s="4"/>
      <c r="J63" s="4"/>
      <c r="K63" s="4">
        <v>205</v>
      </c>
      <c r="L63" s="4">
        <v>14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494553.56</v>
      </c>
      <c r="X63" s="4">
        <v>1</v>
      </c>
      <c r="Y63" s="4">
        <v>494553.56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232</v>
      </c>
      <c r="F64" s="4">
        <f>ROUND(Source!BC48,O64)</f>
        <v>0</v>
      </c>
      <c r="G64" s="4" t="s">
        <v>169</v>
      </c>
      <c r="H64" s="4" t="s">
        <v>170</v>
      </c>
      <c r="I64" s="4"/>
      <c r="J64" s="4"/>
      <c r="K64" s="4">
        <v>232</v>
      </c>
      <c r="L64" s="4">
        <v>15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 x14ac:dyDescent="0.2">
      <c r="A65" s="4">
        <v>50</v>
      </c>
      <c r="B65" s="4">
        <v>0</v>
      </c>
      <c r="C65" s="4">
        <v>0</v>
      </c>
      <c r="D65" s="4">
        <v>1</v>
      </c>
      <c r="E65" s="4">
        <v>214</v>
      </c>
      <c r="F65" s="4">
        <f>ROUND(Source!AS48,O65)</f>
        <v>2346635.5499999998</v>
      </c>
      <c r="G65" s="4" t="s">
        <v>171</v>
      </c>
      <c r="H65" s="4" t="s">
        <v>172</v>
      </c>
      <c r="I65" s="4"/>
      <c r="J65" s="4"/>
      <c r="K65" s="4">
        <v>214</v>
      </c>
      <c r="L65" s="4">
        <v>16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2346635.5499999998</v>
      </c>
      <c r="X65" s="4">
        <v>1</v>
      </c>
      <c r="Y65" s="4">
        <v>2346635.5499999998</v>
      </c>
      <c r="Z65" s="4"/>
      <c r="AA65" s="4"/>
      <c r="AB65" s="4"/>
    </row>
    <row r="66" spans="1:206" x14ac:dyDescent="0.2">
      <c r="A66" s="4">
        <v>50</v>
      </c>
      <c r="B66" s="4">
        <v>0</v>
      </c>
      <c r="C66" s="4">
        <v>0</v>
      </c>
      <c r="D66" s="4">
        <v>1</v>
      </c>
      <c r="E66" s="4">
        <v>215</v>
      </c>
      <c r="F66" s="4">
        <f>ROUND(Source!AT48,O66)</f>
        <v>0</v>
      </c>
      <c r="G66" s="4" t="s">
        <v>173</v>
      </c>
      <c r="H66" s="4" t="s">
        <v>174</v>
      </c>
      <c r="I66" s="4"/>
      <c r="J66" s="4"/>
      <c r="K66" s="4">
        <v>215</v>
      </c>
      <c r="L66" s="4">
        <v>17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06" x14ac:dyDescent="0.2">
      <c r="A67" s="4">
        <v>50</v>
      </c>
      <c r="B67" s="4">
        <v>0</v>
      </c>
      <c r="C67" s="4">
        <v>0</v>
      </c>
      <c r="D67" s="4">
        <v>1</v>
      </c>
      <c r="E67" s="4">
        <v>217</v>
      </c>
      <c r="F67" s="4">
        <f>ROUND(Source!AU48,O67)</f>
        <v>0</v>
      </c>
      <c r="G67" s="4" t="s">
        <v>175</v>
      </c>
      <c r="H67" s="4" t="s">
        <v>176</v>
      </c>
      <c r="I67" s="4"/>
      <c r="J67" s="4"/>
      <c r="K67" s="4">
        <v>217</v>
      </c>
      <c r="L67" s="4">
        <v>18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230</v>
      </c>
      <c r="F68" s="4">
        <f>ROUND(Source!BA48,O68)</f>
        <v>0</v>
      </c>
      <c r="G68" s="4" t="s">
        <v>177</v>
      </c>
      <c r="H68" s="4" t="s">
        <v>178</v>
      </c>
      <c r="I68" s="4"/>
      <c r="J68" s="4"/>
      <c r="K68" s="4">
        <v>230</v>
      </c>
      <c r="L68" s="4">
        <v>19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206</v>
      </c>
      <c r="F69" s="4">
        <f>ROUND(Source!T48,O69)</f>
        <v>0</v>
      </c>
      <c r="G69" s="4" t="s">
        <v>179</v>
      </c>
      <c r="H69" s="4" t="s">
        <v>180</v>
      </c>
      <c r="I69" s="4"/>
      <c r="J69" s="4"/>
      <c r="K69" s="4">
        <v>206</v>
      </c>
      <c r="L69" s="4">
        <v>20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207</v>
      </c>
      <c r="F70" s="4">
        <f>Source!U48</f>
        <v>1349.61204</v>
      </c>
      <c r="G70" s="4" t="s">
        <v>181</v>
      </c>
      <c r="H70" s="4" t="s">
        <v>182</v>
      </c>
      <c r="I70" s="4"/>
      <c r="J70" s="4"/>
      <c r="K70" s="4">
        <v>207</v>
      </c>
      <c r="L70" s="4">
        <v>21</v>
      </c>
      <c r="M70" s="4">
        <v>3</v>
      </c>
      <c r="N70" s="4" t="s">
        <v>3</v>
      </c>
      <c r="O70" s="4">
        <v>-1</v>
      </c>
      <c r="P70" s="4"/>
      <c r="Q70" s="4"/>
      <c r="R70" s="4"/>
      <c r="S70" s="4"/>
      <c r="T70" s="4"/>
      <c r="U70" s="4"/>
      <c r="V70" s="4"/>
      <c r="W70" s="4">
        <v>1349.61204</v>
      </c>
      <c r="X70" s="4">
        <v>1</v>
      </c>
      <c r="Y70" s="4">
        <v>1349.61204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208</v>
      </c>
      <c r="F71" s="4">
        <f>Source!V48</f>
        <v>10.51332</v>
      </c>
      <c r="G71" s="4" t="s">
        <v>183</v>
      </c>
      <c r="H71" s="4" t="s">
        <v>184</v>
      </c>
      <c r="I71" s="4"/>
      <c r="J71" s="4"/>
      <c r="K71" s="4">
        <v>208</v>
      </c>
      <c r="L71" s="4">
        <v>22</v>
      </c>
      <c r="M71" s="4">
        <v>3</v>
      </c>
      <c r="N71" s="4" t="s">
        <v>3</v>
      </c>
      <c r="O71" s="4">
        <v>-1</v>
      </c>
      <c r="P71" s="4"/>
      <c r="Q71" s="4"/>
      <c r="R71" s="4"/>
      <c r="S71" s="4"/>
      <c r="T71" s="4"/>
      <c r="U71" s="4"/>
      <c r="V71" s="4"/>
      <c r="W71" s="4">
        <v>10.51332</v>
      </c>
      <c r="X71" s="4">
        <v>1</v>
      </c>
      <c r="Y71" s="4">
        <v>10.51332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209</v>
      </c>
      <c r="F72" s="4">
        <f>ROUND(Source!W48,O72)</f>
        <v>0</v>
      </c>
      <c r="G72" s="4" t="s">
        <v>185</v>
      </c>
      <c r="H72" s="4" t="s">
        <v>186</v>
      </c>
      <c r="I72" s="4"/>
      <c r="J72" s="4"/>
      <c r="K72" s="4">
        <v>209</v>
      </c>
      <c r="L72" s="4">
        <v>23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233</v>
      </c>
      <c r="F73" s="4">
        <f>ROUND(Source!BD48,O73)</f>
        <v>1762.8</v>
      </c>
      <c r="G73" s="4" t="s">
        <v>187</v>
      </c>
      <c r="H73" s="4" t="s">
        <v>188</v>
      </c>
      <c r="I73" s="4"/>
      <c r="J73" s="4"/>
      <c r="K73" s="4">
        <v>233</v>
      </c>
      <c r="L73" s="4">
        <v>24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1762.8</v>
      </c>
      <c r="X73" s="4">
        <v>1</v>
      </c>
      <c r="Y73" s="4">
        <v>1762.8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210</v>
      </c>
      <c r="F74" s="4">
        <f>ROUND(Source!X48,O74)</f>
        <v>470501.23</v>
      </c>
      <c r="G74" s="4" t="s">
        <v>189</v>
      </c>
      <c r="H74" s="4" t="s">
        <v>190</v>
      </c>
      <c r="I74" s="4"/>
      <c r="J74" s="4"/>
      <c r="K74" s="4">
        <v>210</v>
      </c>
      <c r="L74" s="4">
        <v>25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470501.23</v>
      </c>
      <c r="X74" s="4">
        <v>1</v>
      </c>
      <c r="Y74" s="4">
        <v>470501.23</v>
      </c>
      <c r="Z74" s="4"/>
      <c r="AA74" s="4"/>
      <c r="AB74" s="4"/>
    </row>
    <row r="75" spans="1:206" x14ac:dyDescent="0.2">
      <c r="A75" s="4">
        <v>50</v>
      </c>
      <c r="B75" s="4">
        <v>0</v>
      </c>
      <c r="C75" s="4">
        <v>0</v>
      </c>
      <c r="D75" s="4">
        <v>1</v>
      </c>
      <c r="E75" s="4">
        <v>211</v>
      </c>
      <c r="F75" s="4">
        <f>ROUND(Source!Y48,O75)</f>
        <v>233989.19</v>
      </c>
      <c r="G75" s="4" t="s">
        <v>191</v>
      </c>
      <c r="H75" s="4" t="s">
        <v>192</v>
      </c>
      <c r="I75" s="4"/>
      <c r="J75" s="4"/>
      <c r="K75" s="4">
        <v>211</v>
      </c>
      <c r="L75" s="4">
        <v>26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233989.19</v>
      </c>
      <c r="X75" s="4">
        <v>1</v>
      </c>
      <c r="Y75" s="4">
        <v>233989.19</v>
      </c>
      <c r="Z75" s="4"/>
      <c r="AA75" s="4"/>
      <c r="AB75" s="4"/>
    </row>
    <row r="76" spans="1:206" x14ac:dyDescent="0.2">
      <c r="A76" s="4">
        <v>50</v>
      </c>
      <c r="B76" s="4">
        <v>0</v>
      </c>
      <c r="C76" s="4">
        <v>0</v>
      </c>
      <c r="D76" s="4">
        <v>1</v>
      </c>
      <c r="E76" s="4">
        <v>224</v>
      </c>
      <c r="F76" s="4">
        <f>ROUND(Source!AR48,O76)</f>
        <v>2346635.5499999998</v>
      </c>
      <c r="G76" s="4" t="s">
        <v>193</v>
      </c>
      <c r="H76" s="4" t="s">
        <v>194</v>
      </c>
      <c r="I76" s="4"/>
      <c r="J76" s="4"/>
      <c r="K76" s="4">
        <v>224</v>
      </c>
      <c r="L76" s="4">
        <v>27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2346635.5499999998</v>
      </c>
      <c r="X76" s="4">
        <v>1</v>
      </c>
      <c r="Y76" s="4">
        <v>2346635.5499999998</v>
      </c>
      <c r="Z76" s="4"/>
      <c r="AA76" s="4"/>
      <c r="AB76" s="4"/>
    </row>
    <row r="78" spans="1:206" x14ac:dyDescent="0.2">
      <c r="A78" s="2">
        <v>51</v>
      </c>
      <c r="B78" s="2">
        <f>B12</f>
        <v>140</v>
      </c>
      <c r="C78" s="2">
        <f>A12</f>
        <v>1</v>
      </c>
      <c r="D78" s="2">
        <f>ROW(A12)</f>
        <v>12</v>
      </c>
      <c r="E78" s="2"/>
      <c r="F78" s="2" t="str">
        <f>IF(F12&lt;&gt;"",F12,"")</f>
        <v>Новый объект</v>
      </c>
      <c r="G78" s="2" t="str">
        <f>IF(G12&lt;&gt;"",G12,"")</f>
        <v>Ремонт кровли здания компрессорной Инв. № ОС00001042</v>
      </c>
      <c r="H78" s="2">
        <v>0</v>
      </c>
      <c r="I78" s="2"/>
      <c r="J78" s="2"/>
      <c r="K78" s="2"/>
      <c r="L78" s="2"/>
      <c r="M78" s="2"/>
      <c r="N78" s="2"/>
      <c r="O78" s="2">
        <f t="shared" ref="O78:T78" si="52">ROUND(O48,2)</f>
        <v>1640382.33</v>
      </c>
      <c r="P78" s="2">
        <f t="shared" si="52"/>
        <v>1114654.02</v>
      </c>
      <c r="Q78" s="2">
        <f t="shared" si="52"/>
        <v>31174.75</v>
      </c>
      <c r="R78" s="2">
        <f t="shared" si="52"/>
        <v>4699.66</v>
      </c>
      <c r="S78" s="2">
        <f t="shared" si="52"/>
        <v>494553.56</v>
      </c>
      <c r="T78" s="2">
        <f t="shared" si="52"/>
        <v>0</v>
      </c>
      <c r="U78" s="2">
        <f>U48</f>
        <v>1349.61204</v>
      </c>
      <c r="V78" s="2">
        <f>V48</f>
        <v>10.51332</v>
      </c>
      <c r="W78" s="2">
        <f>ROUND(W48,2)</f>
        <v>0</v>
      </c>
      <c r="X78" s="2">
        <f>ROUND(X48,2)</f>
        <v>470501.23</v>
      </c>
      <c r="Y78" s="2">
        <f>ROUND(Y48,2)</f>
        <v>233989.19</v>
      </c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>
        <f t="shared" ref="AO78:BD78" si="53">ROUND(AO48,2)</f>
        <v>0</v>
      </c>
      <c r="AP78" s="2">
        <f t="shared" si="53"/>
        <v>0</v>
      </c>
      <c r="AQ78" s="2">
        <f t="shared" si="53"/>
        <v>0</v>
      </c>
      <c r="AR78" s="2">
        <f t="shared" si="53"/>
        <v>2346635.5499999998</v>
      </c>
      <c r="AS78" s="2">
        <f t="shared" si="53"/>
        <v>2346635.5499999998</v>
      </c>
      <c r="AT78" s="2">
        <f t="shared" si="53"/>
        <v>0</v>
      </c>
      <c r="AU78" s="2">
        <f t="shared" si="53"/>
        <v>0</v>
      </c>
      <c r="AV78" s="2">
        <f t="shared" si="53"/>
        <v>1114654.02</v>
      </c>
      <c r="AW78" s="2">
        <f t="shared" si="53"/>
        <v>1114654.02</v>
      </c>
      <c r="AX78" s="2">
        <f t="shared" si="53"/>
        <v>0</v>
      </c>
      <c r="AY78" s="2">
        <f t="shared" si="53"/>
        <v>1114654.02</v>
      </c>
      <c r="AZ78" s="2">
        <f t="shared" si="53"/>
        <v>0</v>
      </c>
      <c r="BA78" s="2">
        <f t="shared" si="53"/>
        <v>0</v>
      </c>
      <c r="BB78" s="2">
        <f t="shared" si="53"/>
        <v>0</v>
      </c>
      <c r="BC78" s="2">
        <f t="shared" si="53"/>
        <v>0</v>
      </c>
      <c r="BD78" s="2">
        <f t="shared" si="53"/>
        <v>1762.8</v>
      </c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>
        <v>0</v>
      </c>
    </row>
    <row r="80" spans="1:206" x14ac:dyDescent="0.2">
      <c r="A80" s="4">
        <v>50</v>
      </c>
      <c r="B80" s="4">
        <v>1</v>
      </c>
      <c r="C80" s="4">
        <v>0</v>
      </c>
      <c r="D80" s="4">
        <v>1</v>
      </c>
      <c r="E80" s="4">
        <v>201</v>
      </c>
      <c r="F80" s="4">
        <f>ROUND(Source!O78,O80)</f>
        <v>1640382.33</v>
      </c>
      <c r="G80" s="4" t="s">
        <v>141</v>
      </c>
      <c r="H80" s="4" t="s">
        <v>142</v>
      </c>
      <c r="I80" s="4"/>
      <c r="J80" s="4"/>
      <c r="K80" s="4">
        <v>201</v>
      </c>
      <c r="L80" s="4">
        <v>1</v>
      </c>
      <c r="M80" s="4">
        <v>1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1640382.33</v>
      </c>
      <c r="X80" s="4">
        <v>1</v>
      </c>
      <c r="Y80" s="4">
        <v>1640382.33</v>
      </c>
      <c r="Z80" s="4"/>
      <c r="AA80" s="4"/>
      <c r="AB80" s="4"/>
    </row>
    <row r="81" spans="1:28" x14ac:dyDescent="0.2">
      <c r="A81" s="4">
        <v>50</v>
      </c>
      <c r="B81" s="4">
        <v>1</v>
      </c>
      <c r="C81" s="4">
        <v>0</v>
      </c>
      <c r="D81" s="4">
        <v>1</v>
      </c>
      <c r="E81" s="4">
        <v>202</v>
      </c>
      <c r="F81" s="4">
        <f>ROUND(Source!P78,O81)</f>
        <v>1114654.02</v>
      </c>
      <c r="G81" s="4" t="s">
        <v>143</v>
      </c>
      <c r="H81" s="4" t="s">
        <v>144</v>
      </c>
      <c r="I81" s="4"/>
      <c r="J81" s="4"/>
      <c r="K81" s="4">
        <v>202</v>
      </c>
      <c r="L81" s="4">
        <v>2</v>
      </c>
      <c r="M81" s="4">
        <v>1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1114654.02</v>
      </c>
      <c r="X81" s="4">
        <v>1</v>
      </c>
      <c r="Y81" s="4">
        <v>1114654.02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222</v>
      </c>
      <c r="F82" s="4">
        <f>ROUND(Source!AO78,O82)</f>
        <v>0</v>
      </c>
      <c r="G82" s="4" t="s">
        <v>145</v>
      </c>
      <c r="H82" s="4" t="s">
        <v>146</v>
      </c>
      <c r="I82" s="4"/>
      <c r="J82" s="4"/>
      <c r="K82" s="4">
        <v>222</v>
      </c>
      <c r="L82" s="4">
        <v>3</v>
      </c>
      <c r="M82" s="4">
        <v>1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1</v>
      </c>
      <c r="C83" s="4">
        <v>0</v>
      </c>
      <c r="D83" s="4">
        <v>1</v>
      </c>
      <c r="E83" s="4">
        <v>225</v>
      </c>
      <c r="F83" s="4">
        <f>ROUND(Source!AV78,O83)</f>
        <v>1114654.02</v>
      </c>
      <c r="G83" s="4" t="s">
        <v>147</v>
      </c>
      <c r="H83" s="4" t="s">
        <v>148</v>
      </c>
      <c r="I83" s="4"/>
      <c r="J83" s="4"/>
      <c r="K83" s="4">
        <v>225</v>
      </c>
      <c r="L83" s="4">
        <v>4</v>
      </c>
      <c r="M83" s="4">
        <v>1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1114654.02</v>
      </c>
      <c r="X83" s="4">
        <v>1</v>
      </c>
      <c r="Y83" s="4">
        <v>1114654.02</v>
      </c>
      <c r="Z83" s="4"/>
      <c r="AA83" s="4"/>
      <c r="AB83" s="4"/>
    </row>
    <row r="84" spans="1:28" x14ac:dyDescent="0.2">
      <c r="A84" s="4">
        <v>50</v>
      </c>
      <c r="B84" s="4">
        <v>1</v>
      </c>
      <c r="C84" s="4">
        <v>0</v>
      </c>
      <c r="D84" s="4">
        <v>1</v>
      </c>
      <c r="E84" s="4">
        <v>226</v>
      </c>
      <c r="F84" s="4">
        <f>ROUND(Source!AW78,O84)</f>
        <v>1114654.02</v>
      </c>
      <c r="G84" s="4" t="s">
        <v>149</v>
      </c>
      <c r="H84" s="4" t="s">
        <v>150</v>
      </c>
      <c r="I84" s="4"/>
      <c r="J84" s="4"/>
      <c r="K84" s="4">
        <v>226</v>
      </c>
      <c r="L84" s="4">
        <v>5</v>
      </c>
      <c r="M84" s="4">
        <v>1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1114654.02</v>
      </c>
      <c r="X84" s="4">
        <v>1</v>
      </c>
      <c r="Y84" s="4">
        <v>1114654.02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227</v>
      </c>
      <c r="F85" s="4">
        <f>ROUND(Source!AX78,O85)</f>
        <v>0</v>
      </c>
      <c r="G85" s="4" t="s">
        <v>151</v>
      </c>
      <c r="H85" s="4" t="s">
        <v>152</v>
      </c>
      <c r="I85" s="4"/>
      <c r="J85" s="4"/>
      <c r="K85" s="4">
        <v>227</v>
      </c>
      <c r="L85" s="4">
        <v>6</v>
      </c>
      <c r="M85" s="4">
        <v>1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1</v>
      </c>
      <c r="C86" s="4">
        <v>0</v>
      </c>
      <c r="D86" s="4">
        <v>1</v>
      </c>
      <c r="E86" s="4">
        <v>228</v>
      </c>
      <c r="F86" s="4">
        <f>ROUND(Source!AY78,O86)</f>
        <v>1114654.02</v>
      </c>
      <c r="G86" s="4" t="s">
        <v>153</v>
      </c>
      <c r="H86" s="4" t="s">
        <v>154</v>
      </c>
      <c r="I86" s="4"/>
      <c r="J86" s="4"/>
      <c r="K86" s="4">
        <v>228</v>
      </c>
      <c r="L86" s="4">
        <v>7</v>
      </c>
      <c r="M86" s="4">
        <v>1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1114654.02</v>
      </c>
      <c r="X86" s="4">
        <v>1</v>
      </c>
      <c r="Y86" s="4">
        <v>1114654.02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216</v>
      </c>
      <c r="F87" s="4">
        <f>ROUND(Source!AP78,O87)</f>
        <v>0</v>
      </c>
      <c r="G87" s="4" t="s">
        <v>155</v>
      </c>
      <c r="H87" s="4" t="s">
        <v>156</v>
      </c>
      <c r="I87" s="4"/>
      <c r="J87" s="4"/>
      <c r="K87" s="4">
        <v>216</v>
      </c>
      <c r="L87" s="4">
        <v>8</v>
      </c>
      <c r="M87" s="4">
        <v>1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223</v>
      </c>
      <c r="F88" s="4">
        <f>ROUND(Source!AQ78,O88)</f>
        <v>0</v>
      </c>
      <c r="G88" s="4" t="s">
        <v>157</v>
      </c>
      <c r="H88" s="4" t="s">
        <v>158</v>
      </c>
      <c r="I88" s="4"/>
      <c r="J88" s="4"/>
      <c r="K88" s="4">
        <v>223</v>
      </c>
      <c r="L88" s="4">
        <v>9</v>
      </c>
      <c r="M88" s="4">
        <v>1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229</v>
      </c>
      <c r="F89" s="4">
        <f>ROUND(Source!AZ78,O89)</f>
        <v>0</v>
      </c>
      <c r="G89" s="4" t="s">
        <v>159</v>
      </c>
      <c r="H89" s="4" t="s">
        <v>160</v>
      </c>
      <c r="I89" s="4"/>
      <c r="J89" s="4"/>
      <c r="K89" s="4">
        <v>229</v>
      </c>
      <c r="L89" s="4">
        <v>10</v>
      </c>
      <c r="M89" s="4">
        <v>1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1</v>
      </c>
      <c r="C90" s="4">
        <v>0</v>
      </c>
      <c r="D90" s="4">
        <v>1</v>
      </c>
      <c r="E90" s="4">
        <v>203</v>
      </c>
      <c r="F90" s="4">
        <f>ROUND(Source!Q78,O90)</f>
        <v>31174.75</v>
      </c>
      <c r="G90" s="4" t="s">
        <v>161</v>
      </c>
      <c r="H90" s="4" t="s">
        <v>162</v>
      </c>
      <c r="I90" s="4"/>
      <c r="J90" s="4"/>
      <c r="K90" s="4">
        <v>203</v>
      </c>
      <c r="L90" s="4">
        <v>11</v>
      </c>
      <c r="M90" s="4">
        <v>1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31174.75</v>
      </c>
      <c r="X90" s="4">
        <v>1</v>
      </c>
      <c r="Y90" s="4">
        <v>31174.75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231</v>
      </c>
      <c r="F91" s="4">
        <f>ROUND(Source!BB78,O91)</f>
        <v>0</v>
      </c>
      <c r="G91" s="4" t="s">
        <v>163</v>
      </c>
      <c r="H91" s="4" t="s">
        <v>164</v>
      </c>
      <c r="I91" s="4"/>
      <c r="J91" s="4"/>
      <c r="K91" s="4">
        <v>231</v>
      </c>
      <c r="L91" s="4">
        <v>12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1</v>
      </c>
      <c r="C92" s="4">
        <v>0</v>
      </c>
      <c r="D92" s="4">
        <v>1</v>
      </c>
      <c r="E92" s="4">
        <v>204</v>
      </c>
      <c r="F92" s="4">
        <f>ROUND(Source!R78,O92)</f>
        <v>4699.66</v>
      </c>
      <c r="G92" s="4" t="s">
        <v>165</v>
      </c>
      <c r="H92" s="4" t="s">
        <v>166</v>
      </c>
      <c r="I92" s="4"/>
      <c r="J92" s="4"/>
      <c r="K92" s="4">
        <v>204</v>
      </c>
      <c r="L92" s="4">
        <v>13</v>
      </c>
      <c r="M92" s="4">
        <v>1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4699.66</v>
      </c>
      <c r="X92" s="4">
        <v>1</v>
      </c>
      <c r="Y92" s="4">
        <v>4699.66</v>
      </c>
      <c r="Z92" s="4"/>
      <c r="AA92" s="4"/>
      <c r="AB92" s="4"/>
    </row>
    <row r="93" spans="1:28" x14ac:dyDescent="0.2">
      <c r="A93" s="4">
        <v>50</v>
      </c>
      <c r="B93" s="4">
        <v>1</v>
      </c>
      <c r="C93" s="4">
        <v>0</v>
      </c>
      <c r="D93" s="4">
        <v>1</v>
      </c>
      <c r="E93" s="4">
        <v>205</v>
      </c>
      <c r="F93" s="4">
        <f>ROUND(Source!S78,O93)</f>
        <v>494553.56</v>
      </c>
      <c r="G93" s="4" t="s">
        <v>167</v>
      </c>
      <c r="H93" s="4" t="s">
        <v>168</v>
      </c>
      <c r="I93" s="4"/>
      <c r="J93" s="4"/>
      <c r="K93" s="4">
        <v>205</v>
      </c>
      <c r="L93" s="4">
        <v>14</v>
      </c>
      <c r="M93" s="4">
        <v>1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494553.56</v>
      </c>
      <c r="X93" s="4">
        <v>1</v>
      </c>
      <c r="Y93" s="4">
        <v>494553.56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232</v>
      </c>
      <c r="F94" s="4">
        <f>ROUND(Source!BC78,O94)</f>
        <v>0</v>
      </c>
      <c r="G94" s="4" t="s">
        <v>169</v>
      </c>
      <c r="H94" s="4" t="s">
        <v>170</v>
      </c>
      <c r="I94" s="4"/>
      <c r="J94" s="4"/>
      <c r="K94" s="4">
        <v>232</v>
      </c>
      <c r="L94" s="4">
        <v>15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1</v>
      </c>
      <c r="C95" s="4">
        <v>0</v>
      </c>
      <c r="D95" s="4">
        <v>1</v>
      </c>
      <c r="E95" s="4">
        <v>214</v>
      </c>
      <c r="F95" s="4">
        <f>ROUND(Source!AS78,O95)</f>
        <v>2346635.5499999998</v>
      </c>
      <c r="G95" s="4" t="s">
        <v>171</v>
      </c>
      <c r="H95" s="4" t="s">
        <v>172</v>
      </c>
      <c r="I95" s="4"/>
      <c r="J95" s="4"/>
      <c r="K95" s="4">
        <v>214</v>
      </c>
      <c r="L95" s="4">
        <v>16</v>
      </c>
      <c r="M95" s="4">
        <v>1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2346635.5499999998</v>
      </c>
      <c r="X95" s="4">
        <v>1</v>
      </c>
      <c r="Y95" s="4">
        <v>2346635.5499999998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215</v>
      </c>
      <c r="F96" s="4">
        <f>ROUND(Source!AT78,O96)</f>
        <v>0</v>
      </c>
      <c r="G96" s="4" t="s">
        <v>173</v>
      </c>
      <c r="H96" s="4" t="s">
        <v>174</v>
      </c>
      <c r="I96" s="4"/>
      <c r="J96" s="4"/>
      <c r="K96" s="4">
        <v>215</v>
      </c>
      <c r="L96" s="4">
        <v>17</v>
      </c>
      <c r="M96" s="4">
        <v>1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217</v>
      </c>
      <c r="F97" s="4">
        <f>ROUND(Source!AU78,O97)</f>
        <v>0</v>
      </c>
      <c r="G97" s="4" t="s">
        <v>175</v>
      </c>
      <c r="H97" s="4" t="s">
        <v>176</v>
      </c>
      <c r="I97" s="4"/>
      <c r="J97" s="4"/>
      <c r="K97" s="4">
        <v>217</v>
      </c>
      <c r="L97" s="4">
        <v>18</v>
      </c>
      <c r="M97" s="4">
        <v>1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230</v>
      </c>
      <c r="F98" s="4">
        <f>ROUND(Source!BA78,O98)</f>
        <v>0</v>
      </c>
      <c r="G98" s="4" t="s">
        <v>177</v>
      </c>
      <c r="H98" s="4" t="s">
        <v>178</v>
      </c>
      <c r="I98" s="4"/>
      <c r="J98" s="4"/>
      <c r="K98" s="4">
        <v>230</v>
      </c>
      <c r="L98" s="4">
        <v>19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206</v>
      </c>
      <c r="F99" s="4">
        <f>ROUND(Source!T78,O99)</f>
        <v>0</v>
      </c>
      <c r="G99" s="4" t="s">
        <v>179</v>
      </c>
      <c r="H99" s="4" t="s">
        <v>180</v>
      </c>
      <c r="I99" s="4"/>
      <c r="J99" s="4"/>
      <c r="K99" s="4">
        <v>206</v>
      </c>
      <c r="L99" s="4">
        <v>20</v>
      </c>
      <c r="M99" s="4">
        <v>1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1</v>
      </c>
      <c r="C100" s="4">
        <v>0</v>
      </c>
      <c r="D100" s="4">
        <v>1</v>
      </c>
      <c r="E100" s="4">
        <v>207</v>
      </c>
      <c r="F100" s="4">
        <f>Source!U78</f>
        <v>1349.61204</v>
      </c>
      <c r="G100" s="4" t="s">
        <v>181</v>
      </c>
      <c r="H100" s="4" t="s">
        <v>182</v>
      </c>
      <c r="I100" s="4"/>
      <c r="J100" s="4"/>
      <c r="K100" s="4">
        <v>207</v>
      </c>
      <c r="L100" s="4">
        <v>21</v>
      </c>
      <c r="M100" s="4">
        <v>1</v>
      </c>
      <c r="N100" s="4" t="s">
        <v>3</v>
      </c>
      <c r="O100" s="4">
        <v>-1</v>
      </c>
      <c r="P100" s="4"/>
      <c r="Q100" s="4"/>
      <c r="R100" s="4"/>
      <c r="S100" s="4"/>
      <c r="T100" s="4"/>
      <c r="U100" s="4"/>
      <c r="V100" s="4"/>
      <c r="W100" s="4">
        <v>1349.61204</v>
      </c>
      <c r="X100" s="4">
        <v>1</v>
      </c>
      <c r="Y100" s="4">
        <v>1349.61204</v>
      </c>
      <c r="Z100" s="4"/>
      <c r="AA100" s="4"/>
      <c r="AB100" s="4"/>
    </row>
    <row r="101" spans="1:28" x14ac:dyDescent="0.2">
      <c r="A101" s="4">
        <v>50</v>
      </c>
      <c r="B101" s="4">
        <v>1</v>
      </c>
      <c r="C101" s="4">
        <v>0</v>
      </c>
      <c r="D101" s="4">
        <v>1</v>
      </c>
      <c r="E101" s="4">
        <v>208</v>
      </c>
      <c r="F101" s="4">
        <f>Source!V78</f>
        <v>10.51332</v>
      </c>
      <c r="G101" s="4" t="s">
        <v>183</v>
      </c>
      <c r="H101" s="4" t="s">
        <v>184</v>
      </c>
      <c r="I101" s="4"/>
      <c r="J101" s="4"/>
      <c r="K101" s="4">
        <v>208</v>
      </c>
      <c r="L101" s="4">
        <v>22</v>
      </c>
      <c r="M101" s="4">
        <v>1</v>
      </c>
      <c r="N101" s="4" t="s">
        <v>3</v>
      </c>
      <c r="O101" s="4">
        <v>-1</v>
      </c>
      <c r="P101" s="4"/>
      <c r="Q101" s="4"/>
      <c r="R101" s="4"/>
      <c r="S101" s="4"/>
      <c r="T101" s="4"/>
      <c r="U101" s="4"/>
      <c r="V101" s="4"/>
      <c r="W101" s="4">
        <v>10.51332</v>
      </c>
      <c r="X101" s="4">
        <v>1</v>
      </c>
      <c r="Y101" s="4">
        <v>10.51332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209</v>
      </c>
      <c r="F102" s="4">
        <f>ROUND(Source!W78,O102)</f>
        <v>0</v>
      </c>
      <c r="G102" s="4" t="s">
        <v>185</v>
      </c>
      <c r="H102" s="4" t="s">
        <v>186</v>
      </c>
      <c r="I102" s="4"/>
      <c r="J102" s="4"/>
      <c r="K102" s="4">
        <v>209</v>
      </c>
      <c r="L102" s="4">
        <v>23</v>
      </c>
      <c r="M102" s="4">
        <v>1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1</v>
      </c>
      <c r="C103" s="4">
        <v>0</v>
      </c>
      <c r="D103" s="4">
        <v>1</v>
      </c>
      <c r="E103" s="4">
        <v>233</v>
      </c>
      <c r="F103" s="4">
        <f>ROUND(Source!BD78,O103)</f>
        <v>1762.8</v>
      </c>
      <c r="G103" s="4" t="s">
        <v>187</v>
      </c>
      <c r="H103" s="4" t="s">
        <v>188</v>
      </c>
      <c r="I103" s="4"/>
      <c r="J103" s="4"/>
      <c r="K103" s="4">
        <v>233</v>
      </c>
      <c r="L103" s="4">
        <v>24</v>
      </c>
      <c r="M103" s="4">
        <v>1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1762.8</v>
      </c>
      <c r="X103" s="4">
        <v>1</v>
      </c>
      <c r="Y103" s="4">
        <v>1762.8</v>
      </c>
      <c r="Z103" s="4"/>
      <c r="AA103" s="4"/>
      <c r="AB103" s="4"/>
    </row>
    <row r="104" spans="1:28" x14ac:dyDescent="0.2">
      <c r="A104" s="4">
        <v>50</v>
      </c>
      <c r="B104" s="4">
        <v>1</v>
      </c>
      <c r="C104" s="4">
        <v>0</v>
      </c>
      <c r="D104" s="4">
        <v>1</v>
      </c>
      <c r="E104" s="4">
        <v>210</v>
      </c>
      <c r="F104" s="4">
        <f>ROUND(Source!X78,O104)</f>
        <v>470501.23</v>
      </c>
      <c r="G104" s="4" t="s">
        <v>189</v>
      </c>
      <c r="H104" s="4" t="s">
        <v>190</v>
      </c>
      <c r="I104" s="4"/>
      <c r="J104" s="4"/>
      <c r="K104" s="4">
        <v>210</v>
      </c>
      <c r="L104" s="4">
        <v>25</v>
      </c>
      <c r="M104" s="4">
        <v>1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470501.23</v>
      </c>
      <c r="X104" s="4">
        <v>1</v>
      </c>
      <c r="Y104" s="4">
        <v>470501.23</v>
      </c>
      <c r="Z104" s="4"/>
      <c r="AA104" s="4"/>
      <c r="AB104" s="4"/>
    </row>
    <row r="105" spans="1:28" x14ac:dyDescent="0.2">
      <c r="A105" s="4">
        <v>50</v>
      </c>
      <c r="B105" s="4">
        <v>1</v>
      </c>
      <c r="C105" s="4">
        <v>0</v>
      </c>
      <c r="D105" s="4">
        <v>1</v>
      </c>
      <c r="E105" s="4">
        <v>211</v>
      </c>
      <c r="F105" s="4">
        <f>ROUND(Source!Y78,O105)</f>
        <v>233989.19</v>
      </c>
      <c r="G105" s="4" t="s">
        <v>191</v>
      </c>
      <c r="H105" s="4" t="s">
        <v>192</v>
      </c>
      <c r="I105" s="4"/>
      <c r="J105" s="4"/>
      <c r="K105" s="4">
        <v>211</v>
      </c>
      <c r="L105" s="4">
        <v>26</v>
      </c>
      <c r="M105" s="4">
        <v>1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233989.19</v>
      </c>
      <c r="X105" s="4">
        <v>1</v>
      </c>
      <c r="Y105" s="4">
        <v>233989.19</v>
      </c>
      <c r="Z105" s="4"/>
      <c r="AA105" s="4"/>
      <c r="AB105" s="4"/>
    </row>
    <row r="106" spans="1:28" x14ac:dyDescent="0.2">
      <c r="A106" s="4">
        <v>50</v>
      </c>
      <c r="B106" s="4">
        <v>1</v>
      </c>
      <c r="C106" s="4">
        <v>0</v>
      </c>
      <c r="D106" s="4">
        <v>1</v>
      </c>
      <c r="E106" s="4">
        <v>224</v>
      </c>
      <c r="F106" s="4">
        <f>ROUND(Source!AR78,O106)</f>
        <v>2346635.5499999998</v>
      </c>
      <c r="G106" s="4" t="s">
        <v>193</v>
      </c>
      <c r="H106" s="4" t="s">
        <v>194</v>
      </c>
      <c r="I106" s="4"/>
      <c r="J106" s="4"/>
      <c r="K106" s="4">
        <v>224</v>
      </c>
      <c r="L106" s="4">
        <v>27</v>
      </c>
      <c r="M106" s="4">
        <v>1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2346635.5499999998</v>
      </c>
      <c r="X106" s="4">
        <v>1</v>
      </c>
      <c r="Y106" s="4">
        <v>2346635.5499999998</v>
      </c>
      <c r="Z106" s="4"/>
      <c r="AA106" s="4"/>
      <c r="AB106" s="4"/>
    </row>
    <row r="107" spans="1:28" x14ac:dyDescent="0.2">
      <c r="A107" s="4">
        <v>50</v>
      </c>
      <c r="B107" s="4">
        <v>1</v>
      </c>
      <c r="C107" s="4">
        <v>0</v>
      </c>
      <c r="D107" s="4">
        <v>2</v>
      </c>
      <c r="E107" s="4">
        <v>0</v>
      </c>
      <c r="F107" s="4">
        <f>ROUND(F106*0.2,O107)</f>
        <v>469327.11</v>
      </c>
      <c r="G107" s="4" t="s">
        <v>195</v>
      </c>
      <c r="H107" s="4" t="s">
        <v>196</v>
      </c>
      <c r="I107" s="4"/>
      <c r="J107" s="4"/>
      <c r="K107" s="4">
        <v>212</v>
      </c>
      <c r="L107" s="4">
        <v>28</v>
      </c>
      <c r="M107" s="4">
        <v>0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469327.11</v>
      </c>
      <c r="X107" s="4">
        <v>1</v>
      </c>
      <c r="Y107" s="4">
        <v>469327.11</v>
      </c>
      <c r="Z107" s="4"/>
      <c r="AA107" s="4"/>
      <c r="AB107" s="4"/>
    </row>
    <row r="108" spans="1:28" x14ac:dyDescent="0.2">
      <c r="A108" s="4">
        <v>50</v>
      </c>
      <c r="B108" s="4">
        <v>1</v>
      </c>
      <c r="C108" s="4">
        <v>0</v>
      </c>
      <c r="D108" s="4">
        <v>2</v>
      </c>
      <c r="E108" s="4">
        <v>0</v>
      </c>
      <c r="F108" s="4">
        <f>ROUND(F107+F106,O108)</f>
        <v>2815962.66</v>
      </c>
      <c r="G108" s="4" t="s">
        <v>197</v>
      </c>
      <c r="H108" s="4" t="s">
        <v>198</v>
      </c>
      <c r="I108" s="4"/>
      <c r="J108" s="4"/>
      <c r="K108" s="4">
        <v>212</v>
      </c>
      <c r="L108" s="4">
        <v>29</v>
      </c>
      <c r="M108" s="4">
        <v>0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2815962.66</v>
      </c>
      <c r="X108" s="4">
        <v>1</v>
      </c>
      <c r="Y108" s="4">
        <v>2815962.66</v>
      </c>
      <c r="Z108" s="4"/>
      <c r="AA108" s="4"/>
      <c r="AB108" s="4"/>
    </row>
    <row r="110" spans="1:28" x14ac:dyDescent="0.2">
      <c r="A110" s="5">
        <v>61</v>
      </c>
      <c r="B110" s="5"/>
      <c r="C110" s="5"/>
      <c r="D110" s="5"/>
      <c r="E110" s="5"/>
      <c r="F110" s="5">
        <v>1.2</v>
      </c>
      <c r="G110" s="5" t="s">
        <v>199</v>
      </c>
      <c r="H110" s="5" t="s">
        <v>200</v>
      </c>
    </row>
    <row r="111" spans="1:28" x14ac:dyDescent="0.2">
      <c r="A111" s="5">
        <v>61</v>
      </c>
      <c r="B111" s="5"/>
      <c r="C111" s="5"/>
      <c r="D111" s="5"/>
      <c r="E111" s="5"/>
      <c r="F111" s="5">
        <v>12</v>
      </c>
      <c r="G111" s="5" t="s">
        <v>201</v>
      </c>
      <c r="H111" s="5" t="s">
        <v>200</v>
      </c>
    </row>
    <row r="112" spans="1:28" x14ac:dyDescent="0.2">
      <c r="A112" s="5">
        <v>61</v>
      </c>
      <c r="B112" s="5"/>
      <c r="C112" s="5"/>
      <c r="D112" s="5"/>
      <c r="E112" s="5"/>
      <c r="F112" s="5">
        <v>0</v>
      </c>
      <c r="G112" s="5" t="s">
        <v>202</v>
      </c>
      <c r="H112" s="5" t="s">
        <v>200</v>
      </c>
    </row>
    <row r="115" spans="1:16" x14ac:dyDescent="0.2">
      <c r="A115">
        <v>70</v>
      </c>
      <c r="B115">
        <v>1</v>
      </c>
      <c r="D115">
        <v>1</v>
      </c>
      <c r="E115" t="s">
        <v>203</v>
      </c>
      <c r="F115" t="s">
        <v>204</v>
      </c>
      <c r="G115">
        <v>0</v>
      </c>
      <c r="H115">
        <v>0</v>
      </c>
      <c r="I115" t="s">
        <v>3</v>
      </c>
      <c r="J115">
        <v>1</v>
      </c>
      <c r="K115">
        <v>0</v>
      </c>
      <c r="L115" t="s">
        <v>3</v>
      </c>
      <c r="M115" t="s">
        <v>3</v>
      </c>
      <c r="N115">
        <v>0</v>
      </c>
      <c r="P115" t="s">
        <v>205</v>
      </c>
    </row>
    <row r="116" spans="1:16" x14ac:dyDescent="0.2">
      <c r="A116">
        <v>70</v>
      </c>
      <c r="B116">
        <v>1</v>
      </c>
      <c r="D116">
        <v>2</v>
      </c>
      <c r="E116" t="s">
        <v>206</v>
      </c>
      <c r="F116" t="s">
        <v>207</v>
      </c>
      <c r="G116">
        <v>0</v>
      </c>
      <c r="H116">
        <v>0</v>
      </c>
      <c r="I116" t="s">
        <v>3</v>
      </c>
      <c r="J116">
        <v>1</v>
      </c>
      <c r="K116">
        <v>0</v>
      </c>
      <c r="L116" t="s">
        <v>3</v>
      </c>
      <c r="M116" t="s">
        <v>3</v>
      </c>
      <c r="N116">
        <v>0</v>
      </c>
      <c r="P116" t="s">
        <v>208</v>
      </c>
    </row>
    <row r="117" spans="1:16" x14ac:dyDescent="0.2">
      <c r="A117">
        <v>70</v>
      </c>
      <c r="B117">
        <v>1</v>
      </c>
      <c r="D117">
        <v>3</v>
      </c>
      <c r="E117" t="s">
        <v>209</v>
      </c>
      <c r="F117" t="s">
        <v>210</v>
      </c>
      <c r="G117">
        <v>1</v>
      </c>
      <c r="H117">
        <v>0</v>
      </c>
      <c r="I117" t="s">
        <v>3</v>
      </c>
      <c r="J117">
        <v>1</v>
      </c>
      <c r="K117">
        <v>0</v>
      </c>
      <c r="L117" t="s">
        <v>3</v>
      </c>
      <c r="M117" t="s">
        <v>3</v>
      </c>
      <c r="N117">
        <v>0</v>
      </c>
      <c r="P117" t="s">
        <v>211</v>
      </c>
    </row>
    <row r="118" spans="1:16" x14ac:dyDescent="0.2">
      <c r="A118">
        <v>70</v>
      </c>
      <c r="B118">
        <v>1</v>
      </c>
      <c r="D118">
        <v>4</v>
      </c>
      <c r="E118" t="s">
        <v>212</v>
      </c>
      <c r="F118" t="s">
        <v>213</v>
      </c>
      <c r="G118">
        <v>1</v>
      </c>
      <c r="H118">
        <v>0</v>
      </c>
      <c r="I118" t="s">
        <v>3</v>
      </c>
      <c r="J118">
        <v>2</v>
      </c>
      <c r="K118">
        <v>0</v>
      </c>
      <c r="L118" t="s">
        <v>3</v>
      </c>
      <c r="M118" t="s">
        <v>3</v>
      </c>
      <c r="N118">
        <v>0</v>
      </c>
      <c r="P118" t="s">
        <v>3</v>
      </c>
    </row>
    <row r="119" spans="1:16" x14ac:dyDescent="0.2">
      <c r="A119">
        <v>70</v>
      </c>
      <c r="B119">
        <v>1</v>
      </c>
      <c r="D119">
        <v>5</v>
      </c>
      <c r="E119" t="s">
        <v>214</v>
      </c>
      <c r="F119" t="s">
        <v>215</v>
      </c>
      <c r="G119">
        <v>0</v>
      </c>
      <c r="H119">
        <v>0</v>
      </c>
      <c r="I119" t="s">
        <v>3</v>
      </c>
      <c r="J119">
        <v>2</v>
      </c>
      <c r="K119">
        <v>0</v>
      </c>
      <c r="L119" t="s">
        <v>3</v>
      </c>
      <c r="M119" t="s">
        <v>3</v>
      </c>
      <c r="N119">
        <v>0</v>
      </c>
      <c r="P119" t="s">
        <v>3</v>
      </c>
    </row>
    <row r="120" spans="1:16" x14ac:dyDescent="0.2">
      <c r="A120">
        <v>70</v>
      </c>
      <c r="B120">
        <v>1</v>
      </c>
      <c r="D120">
        <v>6</v>
      </c>
      <c r="E120" t="s">
        <v>216</v>
      </c>
      <c r="F120" t="s">
        <v>217</v>
      </c>
      <c r="G120">
        <v>0</v>
      </c>
      <c r="H120">
        <v>0</v>
      </c>
      <c r="I120" t="s">
        <v>3</v>
      </c>
      <c r="J120">
        <v>2</v>
      </c>
      <c r="K120">
        <v>0</v>
      </c>
      <c r="L120" t="s">
        <v>3</v>
      </c>
      <c r="M120" t="s">
        <v>3</v>
      </c>
      <c r="N120">
        <v>0</v>
      </c>
      <c r="P120" t="s">
        <v>3</v>
      </c>
    </row>
    <row r="121" spans="1:16" x14ac:dyDescent="0.2">
      <c r="A121">
        <v>70</v>
      </c>
      <c r="B121">
        <v>1</v>
      </c>
      <c r="D121">
        <v>7</v>
      </c>
      <c r="E121" t="s">
        <v>218</v>
      </c>
      <c r="F121" t="s">
        <v>219</v>
      </c>
      <c r="G121">
        <v>0</v>
      </c>
      <c r="H121">
        <v>0</v>
      </c>
      <c r="I121" t="s">
        <v>220</v>
      </c>
      <c r="J121">
        <v>0</v>
      </c>
      <c r="K121">
        <v>0</v>
      </c>
      <c r="L121" t="s">
        <v>3</v>
      </c>
      <c r="M121" t="s">
        <v>3</v>
      </c>
      <c r="N121">
        <v>0</v>
      </c>
      <c r="P121" t="s">
        <v>221</v>
      </c>
    </row>
    <row r="122" spans="1:16" x14ac:dyDescent="0.2">
      <c r="A122">
        <v>70</v>
      </c>
      <c r="B122">
        <v>1</v>
      </c>
      <c r="D122">
        <v>8</v>
      </c>
      <c r="E122" t="s">
        <v>222</v>
      </c>
      <c r="F122" t="s">
        <v>223</v>
      </c>
      <c r="G122">
        <v>1</v>
      </c>
      <c r="H122">
        <v>0</v>
      </c>
      <c r="I122" t="s">
        <v>3</v>
      </c>
      <c r="J122">
        <v>5</v>
      </c>
      <c r="K122">
        <v>0</v>
      </c>
      <c r="L122" t="s">
        <v>3</v>
      </c>
      <c r="M122" t="s">
        <v>3</v>
      </c>
      <c r="N122">
        <v>0</v>
      </c>
      <c r="P122" t="s">
        <v>3</v>
      </c>
    </row>
    <row r="123" spans="1:16" x14ac:dyDescent="0.2">
      <c r="A123">
        <v>70</v>
      </c>
      <c r="B123">
        <v>1</v>
      </c>
      <c r="D123">
        <v>9</v>
      </c>
      <c r="E123" t="s">
        <v>224</v>
      </c>
      <c r="F123" t="s">
        <v>225</v>
      </c>
      <c r="G123">
        <v>0</v>
      </c>
      <c r="H123">
        <v>0</v>
      </c>
      <c r="I123" t="s">
        <v>3</v>
      </c>
      <c r="J123">
        <v>5</v>
      </c>
      <c r="K123">
        <v>0</v>
      </c>
      <c r="L123" t="s">
        <v>3</v>
      </c>
      <c r="M123" t="s">
        <v>3</v>
      </c>
      <c r="N123">
        <v>0</v>
      </c>
      <c r="P123" t="s">
        <v>3</v>
      </c>
    </row>
    <row r="124" spans="1:16" x14ac:dyDescent="0.2">
      <c r="A124">
        <v>70</v>
      </c>
      <c r="B124">
        <v>1</v>
      </c>
      <c r="D124">
        <v>10</v>
      </c>
      <c r="E124" t="s">
        <v>226</v>
      </c>
      <c r="F124" t="s">
        <v>227</v>
      </c>
      <c r="G124">
        <v>0</v>
      </c>
      <c r="H124">
        <v>0</v>
      </c>
      <c r="I124" t="s">
        <v>228</v>
      </c>
      <c r="J124">
        <v>5</v>
      </c>
      <c r="K124">
        <v>0</v>
      </c>
      <c r="L124" t="s">
        <v>3</v>
      </c>
      <c r="M124" t="s">
        <v>3</v>
      </c>
      <c r="N124">
        <v>0</v>
      </c>
      <c r="P124" t="s">
        <v>229</v>
      </c>
    </row>
    <row r="125" spans="1:16" x14ac:dyDescent="0.2">
      <c r="A125">
        <v>70</v>
      </c>
      <c r="B125">
        <v>1</v>
      </c>
      <c r="D125">
        <v>11</v>
      </c>
      <c r="E125" t="s">
        <v>230</v>
      </c>
      <c r="F125" t="s">
        <v>231</v>
      </c>
      <c r="G125">
        <v>0</v>
      </c>
      <c r="H125">
        <v>0</v>
      </c>
      <c r="I125" t="s">
        <v>232</v>
      </c>
      <c r="J125">
        <v>0</v>
      </c>
      <c r="K125">
        <v>0</v>
      </c>
      <c r="L125" t="s">
        <v>3</v>
      </c>
      <c r="M125" t="s">
        <v>3</v>
      </c>
      <c r="N125">
        <v>0</v>
      </c>
      <c r="P125" t="s">
        <v>233</v>
      </c>
    </row>
    <row r="126" spans="1:16" x14ac:dyDescent="0.2">
      <c r="A126">
        <v>70</v>
      </c>
      <c r="B126">
        <v>1</v>
      </c>
      <c r="D126">
        <v>12</v>
      </c>
      <c r="E126" t="s">
        <v>234</v>
      </c>
      <c r="F126" t="s">
        <v>235</v>
      </c>
      <c r="G126">
        <v>0</v>
      </c>
      <c r="H126">
        <v>0</v>
      </c>
      <c r="I126" t="s">
        <v>236</v>
      </c>
      <c r="J126">
        <v>0</v>
      </c>
      <c r="K126">
        <v>0</v>
      </c>
      <c r="L126" t="s">
        <v>3</v>
      </c>
      <c r="M126" t="s">
        <v>3</v>
      </c>
      <c r="N126">
        <v>0</v>
      </c>
      <c r="P126" t="s">
        <v>237</v>
      </c>
    </row>
    <row r="127" spans="1:16" x14ac:dyDescent="0.2">
      <c r="A127">
        <v>70</v>
      </c>
      <c r="B127">
        <v>1</v>
      </c>
      <c r="D127">
        <v>13</v>
      </c>
      <c r="E127" t="s">
        <v>238</v>
      </c>
      <c r="F127" t="s">
        <v>239</v>
      </c>
      <c r="G127">
        <v>0</v>
      </c>
      <c r="H127">
        <v>0</v>
      </c>
      <c r="I127" t="s">
        <v>240</v>
      </c>
      <c r="J127">
        <v>0</v>
      </c>
      <c r="K127">
        <v>0</v>
      </c>
      <c r="L127" t="s">
        <v>3</v>
      </c>
      <c r="M127" t="s">
        <v>3</v>
      </c>
      <c r="N127">
        <v>0</v>
      </c>
      <c r="P127" t="s">
        <v>241</v>
      </c>
    </row>
    <row r="128" spans="1:16" x14ac:dyDescent="0.2">
      <c r="A128">
        <v>70</v>
      </c>
      <c r="B128">
        <v>1</v>
      </c>
      <c r="D128">
        <v>14</v>
      </c>
      <c r="E128" t="s">
        <v>242</v>
      </c>
      <c r="F128" t="s">
        <v>243</v>
      </c>
      <c r="G128">
        <v>0</v>
      </c>
      <c r="H128">
        <v>0</v>
      </c>
      <c r="I128" t="s">
        <v>3</v>
      </c>
      <c r="J128">
        <v>0</v>
      </c>
      <c r="K128">
        <v>0</v>
      </c>
      <c r="L128" t="s">
        <v>3</v>
      </c>
      <c r="M128" t="s">
        <v>3</v>
      </c>
      <c r="N128">
        <v>0</v>
      </c>
      <c r="P128" t="s">
        <v>244</v>
      </c>
    </row>
    <row r="129" spans="1:40" x14ac:dyDescent="0.2">
      <c r="A129">
        <v>70</v>
      </c>
      <c r="B129">
        <v>1</v>
      </c>
      <c r="D129">
        <v>15</v>
      </c>
      <c r="E129" t="s">
        <v>245</v>
      </c>
      <c r="F129" t="s">
        <v>246</v>
      </c>
      <c r="G129">
        <v>0</v>
      </c>
      <c r="H129">
        <v>0</v>
      </c>
      <c r="I129" t="s">
        <v>3</v>
      </c>
      <c r="J129">
        <v>3</v>
      </c>
      <c r="K129">
        <v>0</v>
      </c>
      <c r="L129" t="s">
        <v>3</v>
      </c>
      <c r="M129" t="s">
        <v>3</v>
      </c>
      <c r="N129">
        <v>0</v>
      </c>
      <c r="P129" t="s">
        <v>3</v>
      </c>
    </row>
    <row r="130" spans="1:40" x14ac:dyDescent="0.2">
      <c r="A130">
        <v>70</v>
      </c>
      <c r="B130">
        <v>1</v>
      </c>
      <c r="D130">
        <v>16</v>
      </c>
      <c r="E130" t="s">
        <v>247</v>
      </c>
      <c r="F130" t="s">
        <v>248</v>
      </c>
      <c r="G130">
        <v>1</v>
      </c>
      <c r="H130">
        <v>0</v>
      </c>
      <c r="I130" t="s">
        <v>3</v>
      </c>
      <c r="J130">
        <v>3</v>
      </c>
      <c r="K130">
        <v>0</v>
      </c>
      <c r="L130" t="s">
        <v>3</v>
      </c>
      <c r="M130" t="s">
        <v>3</v>
      </c>
      <c r="N130">
        <v>0</v>
      </c>
      <c r="P130" t="s">
        <v>3</v>
      </c>
    </row>
    <row r="131" spans="1:40" x14ac:dyDescent="0.2">
      <c r="A131">
        <v>70</v>
      </c>
      <c r="B131">
        <v>1</v>
      </c>
      <c r="D131">
        <v>1</v>
      </c>
      <c r="E131" t="s">
        <v>249</v>
      </c>
      <c r="F131" t="s">
        <v>250</v>
      </c>
      <c r="G131">
        <v>0.9</v>
      </c>
      <c r="H131">
        <v>1</v>
      </c>
      <c r="I131" t="s">
        <v>251</v>
      </c>
      <c r="J131">
        <v>0</v>
      </c>
      <c r="K131">
        <v>0</v>
      </c>
      <c r="L131" t="s">
        <v>3</v>
      </c>
      <c r="M131" t="s">
        <v>3</v>
      </c>
      <c r="N131">
        <v>0</v>
      </c>
      <c r="P131" t="s">
        <v>252</v>
      </c>
    </row>
    <row r="132" spans="1:40" x14ac:dyDescent="0.2">
      <c r="A132">
        <v>70</v>
      </c>
      <c r="B132">
        <v>1</v>
      </c>
      <c r="D132">
        <v>2</v>
      </c>
      <c r="E132" t="s">
        <v>253</v>
      </c>
      <c r="F132" t="s">
        <v>254</v>
      </c>
      <c r="G132">
        <v>0.85</v>
      </c>
      <c r="H132">
        <v>1</v>
      </c>
      <c r="I132" t="s">
        <v>255</v>
      </c>
      <c r="J132">
        <v>0</v>
      </c>
      <c r="K132">
        <v>0</v>
      </c>
      <c r="L132" t="s">
        <v>3</v>
      </c>
      <c r="M132" t="s">
        <v>3</v>
      </c>
      <c r="N132">
        <v>0</v>
      </c>
      <c r="P132" t="s">
        <v>256</v>
      </c>
    </row>
    <row r="133" spans="1:40" x14ac:dyDescent="0.2">
      <c r="A133">
        <v>70</v>
      </c>
      <c r="B133">
        <v>1</v>
      </c>
      <c r="D133">
        <v>3</v>
      </c>
      <c r="E133" t="s">
        <v>257</v>
      </c>
      <c r="F133" t="s">
        <v>258</v>
      </c>
      <c r="G133">
        <v>1.03</v>
      </c>
      <c r="H133">
        <v>0</v>
      </c>
      <c r="I133" t="s">
        <v>3</v>
      </c>
      <c r="J133">
        <v>0</v>
      </c>
      <c r="K133">
        <v>0</v>
      </c>
      <c r="L133" t="s">
        <v>3</v>
      </c>
      <c r="M133" t="s">
        <v>3</v>
      </c>
      <c r="N133">
        <v>0</v>
      </c>
      <c r="P133" t="s">
        <v>259</v>
      </c>
    </row>
    <row r="134" spans="1:40" x14ac:dyDescent="0.2">
      <c r="A134">
        <v>70</v>
      </c>
      <c r="B134">
        <v>1</v>
      </c>
      <c r="D134">
        <v>4</v>
      </c>
      <c r="E134" t="s">
        <v>260</v>
      </c>
      <c r="F134" t="s">
        <v>261</v>
      </c>
      <c r="G134">
        <v>1.1499999999999999</v>
      </c>
      <c r="H134">
        <v>0</v>
      </c>
      <c r="I134" t="s">
        <v>3</v>
      </c>
      <c r="J134">
        <v>0</v>
      </c>
      <c r="K134">
        <v>0</v>
      </c>
      <c r="L134" t="s">
        <v>3</v>
      </c>
      <c r="M134" t="s">
        <v>3</v>
      </c>
      <c r="N134">
        <v>0</v>
      </c>
      <c r="P134" t="s">
        <v>262</v>
      </c>
    </row>
    <row r="135" spans="1:40" x14ac:dyDescent="0.2">
      <c r="A135">
        <v>70</v>
      </c>
      <c r="B135">
        <v>1</v>
      </c>
      <c r="D135">
        <v>5</v>
      </c>
      <c r="E135" t="s">
        <v>263</v>
      </c>
      <c r="F135" t="s">
        <v>264</v>
      </c>
      <c r="G135">
        <v>7</v>
      </c>
      <c r="H135">
        <v>0</v>
      </c>
      <c r="I135" t="s">
        <v>3</v>
      </c>
      <c r="J135">
        <v>0</v>
      </c>
      <c r="K135">
        <v>0</v>
      </c>
      <c r="L135" t="s">
        <v>3</v>
      </c>
      <c r="M135" t="s">
        <v>3</v>
      </c>
      <c r="N135">
        <v>0</v>
      </c>
      <c r="P135" t="s">
        <v>3</v>
      </c>
    </row>
    <row r="136" spans="1:40" x14ac:dyDescent="0.2">
      <c r="A136">
        <v>70</v>
      </c>
      <c r="B136">
        <v>1</v>
      </c>
      <c r="D136">
        <v>6</v>
      </c>
      <c r="E136" t="s">
        <v>265</v>
      </c>
      <c r="F136" t="s">
        <v>3</v>
      </c>
      <c r="G136">
        <v>2</v>
      </c>
      <c r="H136">
        <v>0</v>
      </c>
      <c r="I136" t="s">
        <v>3</v>
      </c>
      <c r="J136">
        <v>0</v>
      </c>
      <c r="K136">
        <v>0</v>
      </c>
      <c r="L136" t="s">
        <v>3</v>
      </c>
      <c r="M136" t="s">
        <v>3</v>
      </c>
      <c r="N136">
        <v>0</v>
      </c>
      <c r="P136" t="s">
        <v>3</v>
      </c>
    </row>
    <row r="138" spans="1:40" x14ac:dyDescent="0.2">
      <c r="A138">
        <v>-1</v>
      </c>
    </row>
    <row r="140" spans="1:40" x14ac:dyDescent="0.2">
      <c r="A140" s="3">
        <v>75</v>
      </c>
      <c r="B140" s="3" t="s">
        <v>266</v>
      </c>
      <c r="C140" s="3">
        <v>2024</v>
      </c>
      <c r="D140" s="3">
        <v>1</v>
      </c>
      <c r="E140" s="3">
        <v>0</v>
      </c>
      <c r="F140" s="3">
        <v>0</v>
      </c>
      <c r="G140" s="3">
        <v>0</v>
      </c>
      <c r="H140" s="3">
        <v>1</v>
      </c>
      <c r="I140" s="3">
        <v>0</v>
      </c>
      <c r="J140" s="3">
        <v>3</v>
      </c>
      <c r="K140" s="3">
        <v>0</v>
      </c>
      <c r="L140" s="3">
        <v>0</v>
      </c>
      <c r="M140" s="3">
        <v>0</v>
      </c>
      <c r="N140" s="3">
        <v>145184733</v>
      </c>
      <c r="O140" s="3">
        <v>1</v>
      </c>
    </row>
    <row r="141" spans="1:40" x14ac:dyDescent="0.2">
      <c r="A141" s="6">
        <v>3</v>
      </c>
      <c r="B141" s="6" t="s">
        <v>267</v>
      </c>
      <c r="C141" s="6">
        <v>13.41</v>
      </c>
      <c r="D141" s="6">
        <v>8.31</v>
      </c>
      <c r="E141" s="6">
        <v>13.04</v>
      </c>
      <c r="F141" s="6">
        <v>37.36</v>
      </c>
      <c r="G141" s="6">
        <v>37.36</v>
      </c>
      <c r="H141" s="6">
        <v>1</v>
      </c>
      <c r="I141" s="6">
        <v>1</v>
      </c>
      <c r="J141" s="6">
        <v>2</v>
      </c>
      <c r="K141" s="6">
        <v>37.36</v>
      </c>
      <c r="L141" s="6">
        <v>13.41</v>
      </c>
      <c r="M141" s="6">
        <v>13.41</v>
      </c>
      <c r="N141" s="6">
        <v>8.31</v>
      </c>
      <c r="O141" s="6">
        <v>1</v>
      </c>
      <c r="P141" s="6">
        <v>1</v>
      </c>
      <c r="Q141" s="6">
        <v>37.36</v>
      </c>
      <c r="R141" s="6">
        <v>13.41</v>
      </c>
      <c r="S141" s="6" t="s">
        <v>3</v>
      </c>
      <c r="T141" s="6" t="s">
        <v>3</v>
      </c>
      <c r="U141" s="6" t="s">
        <v>3</v>
      </c>
      <c r="V141" s="6" t="s">
        <v>3</v>
      </c>
      <c r="W141" s="6" t="s">
        <v>3</v>
      </c>
      <c r="X141" s="6" t="s">
        <v>3</v>
      </c>
      <c r="Y141" s="6" t="s">
        <v>3</v>
      </c>
      <c r="Z141" s="6" t="s">
        <v>3</v>
      </c>
      <c r="AA141" s="6" t="s">
        <v>3</v>
      </c>
      <c r="AB141" s="6" t="s">
        <v>3</v>
      </c>
      <c r="AC141" s="6" t="s">
        <v>3</v>
      </c>
      <c r="AD141" s="6" t="s">
        <v>3</v>
      </c>
      <c r="AE141" s="6" t="s">
        <v>3</v>
      </c>
      <c r="AF141" s="6" t="s">
        <v>3</v>
      </c>
      <c r="AG141" s="6" t="s">
        <v>3</v>
      </c>
      <c r="AH141" s="6" t="s">
        <v>3</v>
      </c>
      <c r="AI141" s="6"/>
      <c r="AJ141" s="6"/>
      <c r="AK141" s="6"/>
      <c r="AL141" s="6"/>
      <c r="AM141" s="6"/>
      <c r="AN141" s="6">
        <v>145184740</v>
      </c>
    </row>
    <row r="145" spans="1:5" x14ac:dyDescent="0.2">
      <c r="A145">
        <v>65</v>
      </c>
      <c r="C145">
        <v>1</v>
      </c>
      <c r="D145">
        <v>0</v>
      </c>
      <c r="E145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268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31883</v>
      </c>
      <c r="M1">
        <v>18266318</v>
      </c>
      <c r="N1">
        <v>11</v>
      </c>
      <c r="O1">
        <v>6</v>
      </c>
      <c r="P1">
        <v>5</v>
      </c>
      <c r="Q1">
        <v>6</v>
      </c>
    </row>
    <row r="4" spans="1:133" x14ac:dyDescent="0.2">
      <c r="A4" s="1">
        <v>8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7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17301512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345</v>
      </c>
      <c r="CR12" s="1" t="s">
        <v>14</v>
      </c>
      <c r="CS12" s="1">
        <v>44551</v>
      </c>
      <c r="CT12" s="1">
        <v>395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145184733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0</v>
      </c>
      <c r="C16" s="7" t="s">
        <v>15</v>
      </c>
      <c r="D16" s="7" t="s">
        <v>15</v>
      </c>
      <c r="E16" s="8">
        <f>ROUND((Source!F65)/1000,2)</f>
        <v>2346.64</v>
      </c>
      <c r="F16" s="8">
        <f>ROUND((Source!F66)/1000,2)</f>
        <v>0</v>
      </c>
      <c r="G16" s="8">
        <f>ROUND((Source!F57)/1000,2)</f>
        <v>0</v>
      </c>
      <c r="H16" s="8">
        <f>ROUND((Source!F67)/1000+(Source!F68)/1000,2)</f>
        <v>0</v>
      </c>
      <c r="I16" s="8">
        <f>E16+F16+G16+H16</f>
        <v>2346.64</v>
      </c>
      <c r="J16" s="8">
        <f>ROUND((Source!F63+Source!F62)/1000,2)</f>
        <v>499.25</v>
      </c>
      <c r="AI16" s="7">
        <v>0</v>
      </c>
      <c r="AJ16" s="7">
        <v>0</v>
      </c>
      <c r="AK16" s="7" t="s">
        <v>3</v>
      </c>
      <c r="AL16" s="7" t="s">
        <v>3</v>
      </c>
      <c r="AM16" s="7" t="s">
        <v>3</v>
      </c>
      <c r="AN16" s="7">
        <v>0</v>
      </c>
      <c r="AO16" s="7" t="s">
        <v>3</v>
      </c>
      <c r="AP16" s="7" t="s">
        <v>3</v>
      </c>
      <c r="AT16" s="8">
        <v>1640382.33</v>
      </c>
      <c r="AU16" s="8">
        <v>1114654.02</v>
      </c>
      <c r="AV16" s="8">
        <v>0</v>
      </c>
      <c r="AW16" s="8">
        <v>0</v>
      </c>
      <c r="AX16" s="8">
        <v>0</v>
      </c>
      <c r="AY16" s="8">
        <v>31174.75</v>
      </c>
      <c r="AZ16" s="8">
        <v>4699.66</v>
      </c>
      <c r="BA16" s="8">
        <v>494553.56</v>
      </c>
      <c r="BB16" s="8">
        <v>2346635.5499999998</v>
      </c>
      <c r="BC16" s="8">
        <v>0</v>
      </c>
      <c r="BD16" s="8">
        <v>0</v>
      </c>
      <c r="BE16" s="8">
        <v>0</v>
      </c>
      <c r="BF16" s="8">
        <v>1349.61204</v>
      </c>
      <c r="BG16" s="8">
        <v>10.51332</v>
      </c>
      <c r="BH16" s="8">
        <v>0</v>
      </c>
      <c r="BI16" s="8">
        <v>470501.23</v>
      </c>
      <c r="BJ16" s="8">
        <v>233989.19</v>
      </c>
      <c r="BK16" s="8">
        <v>2346635.5499999998</v>
      </c>
    </row>
    <row r="18" spans="1:19" x14ac:dyDescent="0.2">
      <c r="A18">
        <v>51</v>
      </c>
      <c r="E18" s="5">
        <f>SUMIF(A16:A17,3,E16:E17)</f>
        <v>2346.64</v>
      </c>
      <c r="F18" s="5">
        <f>SUMIF(A16:A17,3,F16:F17)</f>
        <v>0</v>
      </c>
      <c r="G18" s="5">
        <f>SUMIF(A16:A17,3,G16:G17)</f>
        <v>0</v>
      </c>
      <c r="H18" s="5">
        <f>SUMIF(A16:A17,3,H16:H17)</f>
        <v>0</v>
      </c>
      <c r="I18" s="5">
        <f>SUMIF(A16:A17,3,I16:I17)</f>
        <v>2346.64</v>
      </c>
      <c r="J18" s="5">
        <f>SUMIF(A16:A17,3,J16:J17)</f>
        <v>499.25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f>IF(SourceObSm!F20&lt;&gt;0,1,0)</f>
        <v>1</v>
      </c>
      <c r="C20" s="4">
        <v>0</v>
      </c>
      <c r="D20" s="4">
        <v>1</v>
      </c>
      <c r="E20" s="4">
        <v>201</v>
      </c>
      <c r="F20" s="4">
        <v>1640382.33</v>
      </c>
      <c r="G20" s="4" t="s">
        <v>141</v>
      </c>
      <c r="H20" s="4" t="s">
        <v>142</v>
      </c>
      <c r="I20" s="4"/>
      <c r="J20" s="4"/>
      <c r="K20" s="4">
        <v>201</v>
      </c>
      <c r="L20" s="4">
        <v>1</v>
      </c>
      <c r="M20" s="4">
        <v>1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f>IF(SourceObSm!F21&lt;&gt;0,1,0)</f>
        <v>1</v>
      </c>
      <c r="C21" s="4">
        <v>0</v>
      </c>
      <c r="D21" s="4">
        <v>1</v>
      </c>
      <c r="E21" s="4">
        <v>202</v>
      </c>
      <c r="F21" s="4">
        <v>1114654.02</v>
      </c>
      <c r="G21" s="4" t="s">
        <v>143</v>
      </c>
      <c r="H21" s="4" t="s">
        <v>144</v>
      </c>
      <c r="I21" s="4"/>
      <c r="J21" s="4"/>
      <c r="K21" s="4">
        <v>202</v>
      </c>
      <c r="L21" s="4">
        <v>2</v>
      </c>
      <c r="M21" s="4">
        <v>1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f>IF(SourceObSm!F22&lt;&gt;0,1,0)</f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145</v>
      </c>
      <c r="H22" s="4" t="s">
        <v>146</v>
      </c>
      <c r="I22" s="4"/>
      <c r="J22" s="4"/>
      <c r="K22" s="4">
        <v>222</v>
      </c>
      <c r="L22" s="4">
        <v>3</v>
      </c>
      <c r="M22" s="4">
        <v>1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f>IF(SourceObSm!F23&lt;&gt;0,1,0)</f>
        <v>1</v>
      </c>
      <c r="C23" s="4">
        <v>0</v>
      </c>
      <c r="D23" s="4">
        <v>1</v>
      </c>
      <c r="E23" s="4">
        <v>225</v>
      </c>
      <c r="F23" s="4">
        <v>1114654.02</v>
      </c>
      <c r="G23" s="4" t="s">
        <v>147</v>
      </c>
      <c r="H23" s="4" t="s">
        <v>148</v>
      </c>
      <c r="I23" s="4"/>
      <c r="J23" s="4"/>
      <c r="K23" s="4">
        <v>225</v>
      </c>
      <c r="L23" s="4">
        <v>4</v>
      </c>
      <c r="M23" s="4">
        <v>1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f>IF(SourceObSm!F24&lt;&gt;0,1,0)</f>
        <v>1</v>
      </c>
      <c r="C24" s="4">
        <v>0</v>
      </c>
      <c r="D24" s="4">
        <v>1</v>
      </c>
      <c r="E24" s="4">
        <v>226</v>
      </c>
      <c r="F24" s="4">
        <v>1114654.02</v>
      </c>
      <c r="G24" s="4" t="s">
        <v>149</v>
      </c>
      <c r="H24" s="4" t="s">
        <v>150</v>
      </c>
      <c r="I24" s="4"/>
      <c r="J24" s="4"/>
      <c r="K24" s="4">
        <v>226</v>
      </c>
      <c r="L24" s="4">
        <v>5</v>
      </c>
      <c r="M24" s="4">
        <v>1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f>IF(SourceObSm!F25&lt;&gt;0,1,0)</f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151</v>
      </c>
      <c r="H25" s="4" t="s">
        <v>152</v>
      </c>
      <c r="I25" s="4"/>
      <c r="J25" s="4"/>
      <c r="K25" s="4">
        <v>227</v>
      </c>
      <c r="L25" s="4">
        <v>6</v>
      </c>
      <c r="M25" s="4">
        <v>1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f>IF(SourceObSm!F26&lt;&gt;0,1,0)</f>
        <v>1</v>
      </c>
      <c r="C26" s="4">
        <v>0</v>
      </c>
      <c r="D26" s="4">
        <v>1</v>
      </c>
      <c r="E26" s="4">
        <v>228</v>
      </c>
      <c r="F26" s="4">
        <v>1114654.02</v>
      </c>
      <c r="G26" s="4" t="s">
        <v>153</v>
      </c>
      <c r="H26" s="4" t="s">
        <v>154</v>
      </c>
      <c r="I26" s="4"/>
      <c r="J26" s="4"/>
      <c r="K26" s="4">
        <v>228</v>
      </c>
      <c r="L26" s="4">
        <v>7</v>
      </c>
      <c r="M26" s="4">
        <v>1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f>IF(SourceObSm!F27&lt;&gt;0,1,0)</f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155</v>
      </c>
      <c r="H27" s="4" t="s">
        <v>156</v>
      </c>
      <c r="I27" s="4"/>
      <c r="J27" s="4"/>
      <c r="K27" s="4">
        <v>216</v>
      </c>
      <c r="L27" s="4">
        <v>8</v>
      </c>
      <c r="M27" s="4">
        <v>1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f>IF(SourceObSm!F28&lt;&gt;0,1,0)</f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157</v>
      </c>
      <c r="H28" s="4" t="s">
        <v>158</v>
      </c>
      <c r="I28" s="4"/>
      <c r="J28" s="4"/>
      <c r="K28" s="4">
        <v>223</v>
      </c>
      <c r="L28" s="4">
        <v>9</v>
      </c>
      <c r="M28" s="4">
        <v>1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f>IF(SourceObSm!F29&lt;&gt;0,1,0)</f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159</v>
      </c>
      <c r="H29" s="4" t="s">
        <v>160</v>
      </c>
      <c r="I29" s="4"/>
      <c r="J29" s="4"/>
      <c r="K29" s="4">
        <v>229</v>
      </c>
      <c r="L29" s="4">
        <v>10</v>
      </c>
      <c r="M29" s="4">
        <v>1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f>IF(SourceObSm!F30&lt;&gt;0,1,0)</f>
        <v>1</v>
      </c>
      <c r="C30" s="4">
        <v>0</v>
      </c>
      <c r="D30" s="4">
        <v>1</v>
      </c>
      <c r="E30" s="4">
        <v>203</v>
      </c>
      <c r="F30" s="4">
        <v>31174.75</v>
      </c>
      <c r="G30" s="4" t="s">
        <v>161</v>
      </c>
      <c r="H30" s="4" t="s">
        <v>162</v>
      </c>
      <c r="I30" s="4"/>
      <c r="J30" s="4"/>
      <c r="K30" s="4">
        <v>203</v>
      </c>
      <c r="L30" s="4">
        <v>11</v>
      </c>
      <c r="M30" s="4">
        <v>1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163</v>
      </c>
      <c r="H31" s="4" t="s">
        <v>164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f>IF(SourceObSm!F32&lt;&gt;0,1,0)</f>
        <v>1</v>
      </c>
      <c r="C32" s="4">
        <v>0</v>
      </c>
      <c r="D32" s="4">
        <v>1</v>
      </c>
      <c r="E32" s="4">
        <v>204</v>
      </c>
      <c r="F32" s="4">
        <v>4699.66</v>
      </c>
      <c r="G32" s="4" t="s">
        <v>165</v>
      </c>
      <c r="H32" s="4" t="s">
        <v>166</v>
      </c>
      <c r="I32" s="4"/>
      <c r="J32" s="4"/>
      <c r="K32" s="4">
        <v>204</v>
      </c>
      <c r="L32" s="4">
        <v>13</v>
      </c>
      <c r="M32" s="4">
        <v>1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f>IF(SourceObSm!F33&lt;&gt;0,1,0)</f>
        <v>1</v>
      </c>
      <c r="C33" s="4">
        <v>0</v>
      </c>
      <c r="D33" s="4">
        <v>1</v>
      </c>
      <c r="E33" s="4">
        <v>205</v>
      </c>
      <c r="F33" s="4">
        <v>494553.56</v>
      </c>
      <c r="G33" s="4" t="s">
        <v>167</v>
      </c>
      <c r="H33" s="4" t="s">
        <v>168</v>
      </c>
      <c r="I33" s="4"/>
      <c r="J33" s="4"/>
      <c r="K33" s="4">
        <v>205</v>
      </c>
      <c r="L33" s="4">
        <v>14</v>
      </c>
      <c r="M33" s="4">
        <v>1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169</v>
      </c>
      <c r="H34" s="4" t="s">
        <v>170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f>IF(SourceObSm!F35&lt;&gt;0,1,0)</f>
        <v>1</v>
      </c>
      <c r="C35" s="4">
        <v>0</v>
      </c>
      <c r="D35" s="4">
        <v>1</v>
      </c>
      <c r="E35" s="4">
        <v>214</v>
      </c>
      <c r="F35" s="4">
        <v>2346635.5499999998</v>
      </c>
      <c r="G35" s="4" t="s">
        <v>171</v>
      </c>
      <c r="H35" s="4" t="s">
        <v>172</v>
      </c>
      <c r="I35" s="4"/>
      <c r="J35" s="4"/>
      <c r="K35" s="4">
        <v>214</v>
      </c>
      <c r="L35" s="4">
        <v>16</v>
      </c>
      <c r="M35" s="4">
        <v>1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f>IF(SourceObSm!F36&lt;&gt;0,1,0)</f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173</v>
      </c>
      <c r="H36" s="4" t="s">
        <v>174</v>
      </c>
      <c r="I36" s="4"/>
      <c r="J36" s="4"/>
      <c r="K36" s="4">
        <v>215</v>
      </c>
      <c r="L36" s="4">
        <v>17</v>
      </c>
      <c r="M36" s="4">
        <v>1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f>IF(SourceObSm!F37&lt;&gt;0,1,0)</f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175</v>
      </c>
      <c r="H37" s="4" t="s">
        <v>176</v>
      </c>
      <c r="I37" s="4"/>
      <c r="J37" s="4"/>
      <c r="K37" s="4">
        <v>217</v>
      </c>
      <c r="L37" s="4">
        <v>18</v>
      </c>
      <c r="M37" s="4">
        <v>1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177</v>
      </c>
      <c r="H38" s="4" t="s">
        <v>178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f>IF(SourceObSm!F39&lt;&gt;0,1,0)</f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179</v>
      </c>
      <c r="H39" s="4" t="s">
        <v>180</v>
      </c>
      <c r="I39" s="4"/>
      <c r="J39" s="4"/>
      <c r="K39" s="4">
        <v>206</v>
      </c>
      <c r="L39" s="4">
        <v>20</v>
      </c>
      <c r="M39" s="4">
        <v>1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f>IF(SourceObSm!F40&lt;&gt;0,1,0)</f>
        <v>1</v>
      </c>
      <c r="C40" s="4">
        <v>0</v>
      </c>
      <c r="D40" s="4">
        <v>1</v>
      </c>
      <c r="E40" s="4">
        <v>207</v>
      </c>
      <c r="F40" s="4">
        <v>1349.61204</v>
      </c>
      <c r="G40" s="4" t="s">
        <v>181</v>
      </c>
      <c r="H40" s="4" t="s">
        <v>182</v>
      </c>
      <c r="I40" s="4"/>
      <c r="J40" s="4"/>
      <c r="K40" s="4">
        <v>207</v>
      </c>
      <c r="L40" s="4">
        <v>21</v>
      </c>
      <c r="M40" s="4">
        <v>1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f>IF(SourceObSm!F41&lt;&gt;0,1,0)</f>
        <v>1</v>
      </c>
      <c r="C41" s="4">
        <v>0</v>
      </c>
      <c r="D41" s="4">
        <v>1</v>
      </c>
      <c r="E41" s="4">
        <v>208</v>
      </c>
      <c r="F41" s="4">
        <v>10.51332</v>
      </c>
      <c r="G41" s="4" t="s">
        <v>183</v>
      </c>
      <c r="H41" s="4" t="s">
        <v>184</v>
      </c>
      <c r="I41" s="4"/>
      <c r="J41" s="4"/>
      <c r="K41" s="4">
        <v>208</v>
      </c>
      <c r="L41" s="4">
        <v>22</v>
      </c>
      <c r="M41" s="4">
        <v>1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f>IF(SourceObSm!F42&lt;&gt;0,1,0)</f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185</v>
      </c>
      <c r="H42" s="4" t="s">
        <v>186</v>
      </c>
      <c r="I42" s="4"/>
      <c r="J42" s="4"/>
      <c r="K42" s="4">
        <v>209</v>
      </c>
      <c r="L42" s="4">
        <v>23</v>
      </c>
      <c r="M42" s="4">
        <v>1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f>IF(SourceObSm!F43&lt;&gt;0,1,0)</f>
        <v>1</v>
      </c>
      <c r="C43" s="4">
        <v>0</v>
      </c>
      <c r="D43" s="4">
        <v>1</v>
      </c>
      <c r="E43" s="4">
        <v>233</v>
      </c>
      <c r="F43" s="4">
        <v>1762.8</v>
      </c>
      <c r="G43" s="4" t="s">
        <v>187</v>
      </c>
      <c r="H43" s="4" t="s">
        <v>188</v>
      </c>
      <c r="I43" s="4"/>
      <c r="J43" s="4"/>
      <c r="K43" s="4">
        <v>233</v>
      </c>
      <c r="L43" s="4">
        <v>24</v>
      </c>
      <c r="M43" s="4">
        <v>1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f>IF(SourceObSm!F44&lt;&gt;0,1,0)</f>
        <v>1</v>
      </c>
      <c r="C44" s="4">
        <v>0</v>
      </c>
      <c r="D44" s="4">
        <v>1</v>
      </c>
      <c r="E44" s="4">
        <v>210</v>
      </c>
      <c r="F44" s="4">
        <v>470501.23</v>
      </c>
      <c r="G44" s="4" t="s">
        <v>189</v>
      </c>
      <c r="H44" s="4" t="s">
        <v>190</v>
      </c>
      <c r="I44" s="4"/>
      <c r="J44" s="4"/>
      <c r="K44" s="4">
        <v>210</v>
      </c>
      <c r="L44" s="4">
        <v>25</v>
      </c>
      <c r="M44" s="4">
        <v>1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f>IF(SourceObSm!F45&lt;&gt;0,1,0)</f>
        <v>1</v>
      </c>
      <c r="C45" s="4">
        <v>0</v>
      </c>
      <c r="D45" s="4">
        <v>1</v>
      </c>
      <c r="E45" s="4">
        <v>211</v>
      </c>
      <c r="F45" s="4">
        <v>233989.19</v>
      </c>
      <c r="G45" s="4" t="s">
        <v>191</v>
      </c>
      <c r="H45" s="4" t="s">
        <v>192</v>
      </c>
      <c r="I45" s="4"/>
      <c r="J45" s="4"/>
      <c r="K45" s="4">
        <v>211</v>
      </c>
      <c r="L45" s="4">
        <v>26</v>
      </c>
      <c r="M45" s="4">
        <v>1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f>IF(SourceObSm!F46&lt;&gt;0,1,0)</f>
        <v>1</v>
      </c>
      <c r="C46" s="4">
        <v>0</v>
      </c>
      <c r="D46" s="4">
        <v>1</v>
      </c>
      <c r="E46" s="4">
        <v>224</v>
      </c>
      <c r="F46" s="4">
        <v>2346635.5499999998</v>
      </c>
      <c r="G46" s="4" t="s">
        <v>193</v>
      </c>
      <c r="H46" s="4" t="s">
        <v>194</v>
      </c>
      <c r="I46" s="4"/>
      <c r="J46" s="4"/>
      <c r="K46" s="4">
        <v>224</v>
      </c>
      <c r="L46" s="4">
        <v>27</v>
      </c>
      <c r="M46" s="4">
        <v>1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469327.11</v>
      </c>
      <c r="G47" s="4" t="s">
        <v>195</v>
      </c>
      <c r="H47" s="4" t="s">
        <v>196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2815962.66</v>
      </c>
      <c r="G48" s="4" t="s">
        <v>197</v>
      </c>
      <c r="H48" s="4" t="s">
        <v>198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40" x14ac:dyDescent="0.2">
      <c r="A50">
        <v>-1</v>
      </c>
    </row>
    <row r="53" spans="1:40" x14ac:dyDescent="0.2">
      <c r="A53" s="3">
        <v>75</v>
      </c>
      <c r="B53" s="3" t="s">
        <v>266</v>
      </c>
      <c r="C53" s="3">
        <v>2024</v>
      </c>
      <c r="D53" s="3">
        <v>1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3</v>
      </c>
      <c r="K53" s="3">
        <v>0</v>
      </c>
      <c r="L53" s="3">
        <v>0</v>
      </c>
      <c r="M53" s="3">
        <v>0</v>
      </c>
      <c r="N53" s="3">
        <v>145184733</v>
      </c>
      <c r="O53" s="3">
        <v>1</v>
      </c>
    </row>
    <row r="54" spans="1:40" x14ac:dyDescent="0.2">
      <c r="A54" s="6">
        <v>3</v>
      </c>
      <c r="B54" s="6" t="s">
        <v>267</v>
      </c>
      <c r="C54" s="6">
        <v>13.41</v>
      </c>
      <c r="D54" s="6">
        <v>8.31</v>
      </c>
      <c r="E54" s="6">
        <v>13.04</v>
      </c>
      <c r="F54" s="6">
        <v>37.36</v>
      </c>
      <c r="G54" s="6">
        <v>37.36</v>
      </c>
      <c r="H54" s="6">
        <v>1</v>
      </c>
      <c r="I54" s="6">
        <v>1</v>
      </c>
      <c r="J54" s="6">
        <v>2</v>
      </c>
      <c r="K54" s="6">
        <v>37.36</v>
      </c>
      <c r="L54" s="6">
        <v>13.41</v>
      </c>
      <c r="M54" s="6">
        <v>13.41</v>
      </c>
      <c r="N54" s="6">
        <v>8.31</v>
      </c>
      <c r="O54" s="6">
        <v>1</v>
      </c>
      <c r="P54" s="6">
        <v>1</v>
      </c>
      <c r="Q54" s="6">
        <v>37.36</v>
      </c>
      <c r="R54" s="6">
        <v>13.41</v>
      </c>
      <c r="S54" s="6" t="s">
        <v>3</v>
      </c>
      <c r="T54" s="6" t="s">
        <v>3</v>
      </c>
      <c r="U54" s="6" t="s">
        <v>3</v>
      </c>
      <c r="V54" s="6" t="s">
        <v>3</v>
      </c>
      <c r="W54" s="6" t="s">
        <v>3</v>
      </c>
      <c r="X54" s="6" t="s">
        <v>3</v>
      </c>
      <c r="Y54" s="6" t="s">
        <v>3</v>
      </c>
      <c r="Z54" s="6" t="s">
        <v>3</v>
      </c>
      <c r="AA54" s="6" t="s">
        <v>3</v>
      </c>
      <c r="AB54" s="6" t="s">
        <v>3</v>
      </c>
      <c r="AC54" s="6" t="s">
        <v>3</v>
      </c>
      <c r="AD54" s="6" t="s">
        <v>3</v>
      </c>
      <c r="AE54" s="6" t="s">
        <v>3</v>
      </c>
      <c r="AF54" s="6" t="s">
        <v>3</v>
      </c>
      <c r="AG54" s="6" t="s">
        <v>3</v>
      </c>
      <c r="AH54" s="6" t="s">
        <v>3</v>
      </c>
      <c r="AI54" s="6"/>
      <c r="AJ54" s="6"/>
      <c r="AK54" s="6"/>
      <c r="AL54" s="6"/>
      <c r="AM54" s="6"/>
      <c r="AN54" s="6">
        <v>145184740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O6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ROW(Source!A24)</f>
        <v>24</v>
      </c>
      <c r="B1">
        <v>145184733</v>
      </c>
      <c r="C1">
        <v>145184784</v>
      </c>
      <c r="D1">
        <v>140759935</v>
      </c>
      <c r="E1">
        <v>70</v>
      </c>
      <c r="F1">
        <v>1</v>
      </c>
      <c r="G1">
        <v>1</v>
      </c>
      <c r="H1">
        <v>1</v>
      </c>
      <c r="I1" t="s">
        <v>269</v>
      </c>
      <c r="J1" t="s">
        <v>3</v>
      </c>
      <c r="K1" t="s">
        <v>270</v>
      </c>
      <c r="L1">
        <v>1191</v>
      </c>
      <c r="N1">
        <v>1013</v>
      </c>
      <c r="O1" t="s">
        <v>271</v>
      </c>
      <c r="P1" t="s">
        <v>271</v>
      </c>
      <c r="Q1">
        <v>1</v>
      </c>
      <c r="W1">
        <v>0</v>
      </c>
      <c r="X1">
        <v>2031828327</v>
      </c>
      <c r="Y1">
        <f>AT1</f>
        <v>14.38</v>
      </c>
      <c r="AA1">
        <v>0</v>
      </c>
      <c r="AB1">
        <v>0</v>
      </c>
      <c r="AC1">
        <v>0</v>
      </c>
      <c r="AD1">
        <v>291.41000000000003</v>
      </c>
      <c r="AE1">
        <v>0</v>
      </c>
      <c r="AF1">
        <v>0</v>
      </c>
      <c r="AG1">
        <v>0</v>
      </c>
      <c r="AH1">
        <v>7.8</v>
      </c>
      <c r="AI1">
        <v>1</v>
      </c>
      <c r="AJ1">
        <v>1</v>
      </c>
      <c r="AK1">
        <v>1</v>
      </c>
      <c r="AL1">
        <v>37.36</v>
      </c>
      <c r="AM1">
        <v>4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14.38</v>
      </c>
      <c r="AU1" t="s">
        <v>3</v>
      </c>
      <c r="AV1">
        <v>1</v>
      </c>
      <c r="AW1">
        <v>2</v>
      </c>
      <c r="AX1">
        <v>145184785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ROUND(Y1*Source!I24,9)</f>
        <v>15.357839999999999</v>
      </c>
      <c r="CY1">
        <f>AD1</f>
        <v>291.41000000000003</v>
      </c>
      <c r="CZ1">
        <f>AH1</f>
        <v>7.8</v>
      </c>
      <c r="DA1">
        <f>AL1</f>
        <v>37.36</v>
      </c>
      <c r="DB1">
        <f>ROUND(ROUND(AT1*CZ1,2),2)</f>
        <v>112.16</v>
      </c>
      <c r="DC1">
        <f>ROUND(ROUND(AT1*AG1,2),2)</f>
        <v>0</v>
      </c>
      <c r="DD1" t="s">
        <v>3</v>
      </c>
      <c r="DE1" t="s">
        <v>3</v>
      </c>
      <c r="DF1">
        <f t="shared" ref="DF1:DF7" si="0">ROUND(ROUND(AE1,2)*CX1,2)</f>
        <v>0</v>
      </c>
      <c r="DG1">
        <f>ROUND(ROUND(AF1,2)*CX1,2)</f>
        <v>0</v>
      </c>
      <c r="DH1">
        <f>ROUND(ROUND(AG1,2)*CX1,2)</f>
        <v>0</v>
      </c>
      <c r="DI1">
        <f>ROUND(ROUND(AH1*AL1,2)*CX1,2)</f>
        <v>4475.43</v>
      </c>
      <c r="DJ1">
        <f>DI1</f>
        <v>4475.43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ROW(Source!A24)</f>
        <v>24</v>
      </c>
      <c r="B2">
        <v>145184733</v>
      </c>
      <c r="C2">
        <v>145184784</v>
      </c>
      <c r="D2">
        <v>140923081</v>
      </c>
      <c r="E2">
        <v>1</v>
      </c>
      <c r="F2">
        <v>1</v>
      </c>
      <c r="G2">
        <v>1</v>
      </c>
      <c r="H2">
        <v>2</v>
      </c>
      <c r="I2" t="s">
        <v>272</v>
      </c>
      <c r="J2" t="s">
        <v>273</v>
      </c>
      <c r="K2" t="s">
        <v>274</v>
      </c>
      <c r="L2">
        <v>1367</v>
      </c>
      <c r="N2">
        <v>1011</v>
      </c>
      <c r="O2" t="s">
        <v>275</v>
      </c>
      <c r="P2" t="s">
        <v>275</v>
      </c>
      <c r="Q2">
        <v>1</v>
      </c>
      <c r="W2">
        <v>0</v>
      </c>
      <c r="X2">
        <v>-1424865896</v>
      </c>
      <c r="Y2">
        <f>AT2</f>
        <v>6.22</v>
      </c>
      <c r="AA2">
        <v>0</v>
      </c>
      <c r="AB2">
        <v>86.85</v>
      </c>
      <c r="AC2">
        <v>0</v>
      </c>
      <c r="AD2">
        <v>0</v>
      </c>
      <c r="AE2">
        <v>0</v>
      </c>
      <c r="AF2">
        <v>6.66</v>
      </c>
      <c r="AG2">
        <v>0</v>
      </c>
      <c r="AH2">
        <v>0</v>
      </c>
      <c r="AI2">
        <v>1</v>
      </c>
      <c r="AJ2">
        <v>13.04</v>
      </c>
      <c r="AK2">
        <v>37.36</v>
      </c>
      <c r="AL2">
        <v>1</v>
      </c>
      <c r="AM2">
        <v>4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6.22</v>
      </c>
      <c r="AU2" t="s">
        <v>3</v>
      </c>
      <c r="AV2">
        <v>0</v>
      </c>
      <c r="AW2">
        <v>2</v>
      </c>
      <c r="AX2">
        <v>145184786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ROUND(Y2*Source!I24,9)</f>
        <v>6.6429600000000004</v>
      </c>
      <c r="CY2">
        <f>AB2</f>
        <v>86.85</v>
      </c>
      <c r="CZ2">
        <f>AF2</f>
        <v>6.66</v>
      </c>
      <c r="DA2">
        <f>AJ2</f>
        <v>13.04</v>
      </c>
      <c r="DB2">
        <f>ROUND(ROUND(AT2*CZ2,2),2)</f>
        <v>41.43</v>
      </c>
      <c r="DC2">
        <f>ROUND(ROUND(AT2*AG2,2),2)</f>
        <v>0</v>
      </c>
      <c r="DD2" t="s">
        <v>3</v>
      </c>
      <c r="DE2" t="s">
        <v>3</v>
      </c>
      <c r="DF2">
        <f t="shared" si="0"/>
        <v>0</v>
      </c>
      <c r="DG2">
        <f>ROUND(ROUND(AF2*AJ2,2)*CX2,2)</f>
        <v>576.94000000000005</v>
      </c>
      <c r="DH2">
        <f>ROUND(ROUND(AG2*AK2,2)*CX2,2)</f>
        <v>0</v>
      </c>
      <c r="DI2">
        <f>ROUND(ROUND(AH2,2)*CX2,2)</f>
        <v>0</v>
      </c>
      <c r="DJ2">
        <f>DG2</f>
        <v>576.94000000000005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ROW(Source!A25)</f>
        <v>25</v>
      </c>
      <c r="B3">
        <v>145184733</v>
      </c>
      <c r="C3">
        <v>145184787</v>
      </c>
      <c r="D3">
        <v>140759982</v>
      </c>
      <c r="E3">
        <v>70</v>
      </c>
      <c r="F3">
        <v>1</v>
      </c>
      <c r="G3">
        <v>1</v>
      </c>
      <c r="H3">
        <v>1</v>
      </c>
      <c r="I3" t="s">
        <v>276</v>
      </c>
      <c r="J3" t="s">
        <v>3</v>
      </c>
      <c r="K3" t="s">
        <v>277</v>
      </c>
      <c r="L3">
        <v>1191</v>
      </c>
      <c r="N3">
        <v>1013</v>
      </c>
      <c r="O3" t="s">
        <v>271</v>
      </c>
      <c r="P3" t="s">
        <v>271</v>
      </c>
      <c r="Q3">
        <v>1</v>
      </c>
      <c r="W3">
        <v>0</v>
      </c>
      <c r="X3">
        <v>-983457869</v>
      </c>
      <c r="Y3">
        <f>(AT3*0.8)</f>
        <v>19.440000000000001</v>
      </c>
      <c r="AA3">
        <v>0</v>
      </c>
      <c r="AB3">
        <v>0</v>
      </c>
      <c r="AC3">
        <v>0</v>
      </c>
      <c r="AD3">
        <v>322.79000000000002</v>
      </c>
      <c r="AE3">
        <v>0</v>
      </c>
      <c r="AF3">
        <v>0</v>
      </c>
      <c r="AG3">
        <v>0</v>
      </c>
      <c r="AH3">
        <v>8.64</v>
      </c>
      <c r="AI3">
        <v>1</v>
      </c>
      <c r="AJ3">
        <v>1</v>
      </c>
      <c r="AK3">
        <v>1</v>
      </c>
      <c r="AL3">
        <v>37.36</v>
      </c>
      <c r="AM3">
        <v>4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24.3</v>
      </c>
      <c r="AU3" t="s">
        <v>33</v>
      </c>
      <c r="AV3">
        <v>1</v>
      </c>
      <c r="AW3">
        <v>2</v>
      </c>
      <c r="AX3">
        <v>145184788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ROUND(Y3*Source!I25,9)</f>
        <v>18.662400000000002</v>
      </c>
      <c r="CY3">
        <f>AD3</f>
        <v>322.79000000000002</v>
      </c>
      <c r="CZ3">
        <f>AH3</f>
        <v>8.64</v>
      </c>
      <c r="DA3">
        <f>AL3</f>
        <v>37.36</v>
      </c>
      <c r="DB3">
        <f>ROUND((ROUND(AT3*CZ3,2)*0.8),2)</f>
        <v>167.96</v>
      </c>
      <c r="DC3">
        <f>ROUND((ROUND(AT3*AG3,2)*0.8),2)</f>
        <v>0</v>
      </c>
      <c r="DD3" t="s">
        <v>3</v>
      </c>
      <c r="DE3" t="s">
        <v>3</v>
      </c>
      <c r="DF3">
        <f t="shared" si="0"/>
        <v>0</v>
      </c>
      <c r="DG3">
        <f>ROUND(ROUND(AF3,2)*CX3,2)</f>
        <v>0</v>
      </c>
      <c r="DH3">
        <f>ROUND(ROUND(AG3,2)*CX3,2)</f>
        <v>0</v>
      </c>
      <c r="DI3">
        <f>ROUND(ROUND(AH3*AL3,2)*CX3,2)</f>
        <v>6024.04</v>
      </c>
      <c r="DJ3">
        <f>DI3</f>
        <v>6024.04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ROW(Source!A25)</f>
        <v>25</v>
      </c>
      <c r="B4">
        <v>145184733</v>
      </c>
      <c r="C4">
        <v>145184787</v>
      </c>
      <c r="D4">
        <v>140760225</v>
      </c>
      <c r="E4">
        <v>70</v>
      </c>
      <c r="F4">
        <v>1</v>
      </c>
      <c r="G4">
        <v>1</v>
      </c>
      <c r="H4">
        <v>1</v>
      </c>
      <c r="I4" t="s">
        <v>278</v>
      </c>
      <c r="J4" t="s">
        <v>3</v>
      </c>
      <c r="K4" t="s">
        <v>279</v>
      </c>
      <c r="L4">
        <v>1191</v>
      </c>
      <c r="N4">
        <v>1013</v>
      </c>
      <c r="O4" t="s">
        <v>271</v>
      </c>
      <c r="P4" t="s">
        <v>271</v>
      </c>
      <c r="Q4">
        <v>1</v>
      </c>
      <c r="W4">
        <v>0</v>
      </c>
      <c r="X4">
        <v>-1417349443</v>
      </c>
      <c r="Y4">
        <f>(AT4*0.8)</f>
        <v>1.552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37.36</v>
      </c>
      <c r="AL4">
        <v>1</v>
      </c>
      <c r="AM4">
        <v>4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1.94</v>
      </c>
      <c r="AU4" t="s">
        <v>33</v>
      </c>
      <c r="AV4">
        <v>2</v>
      </c>
      <c r="AW4">
        <v>2</v>
      </c>
      <c r="AX4">
        <v>145184789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ROUND(Y4*Source!I25,9)</f>
        <v>1.4899199999999999</v>
      </c>
      <c r="CY4">
        <f>AD4</f>
        <v>0</v>
      </c>
      <c r="CZ4">
        <f>AH4</f>
        <v>0</v>
      </c>
      <c r="DA4">
        <f>AL4</f>
        <v>1</v>
      </c>
      <c r="DB4">
        <f>ROUND((ROUND(AT4*CZ4,2)*0.8),2)</f>
        <v>0</v>
      </c>
      <c r="DC4">
        <f>ROUND((ROUND(AT4*AG4,2)*0.8),2)</f>
        <v>0</v>
      </c>
      <c r="DD4" t="s">
        <v>3</v>
      </c>
      <c r="DE4" t="s">
        <v>3</v>
      </c>
      <c r="DF4">
        <f t="shared" si="0"/>
        <v>0</v>
      </c>
      <c r="DG4">
        <f>ROUND(ROUND(AF4,2)*CX4,2)</f>
        <v>0</v>
      </c>
      <c r="DH4">
        <f>ROUND(ROUND(AG4*AK4,2)*CX4,2)</f>
        <v>0</v>
      </c>
      <c r="DI4">
        <f t="shared" ref="DI4:DI10" si="1">ROUND(ROUND(AH4,2)*CX4,2)</f>
        <v>0</v>
      </c>
      <c r="DJ4">
        <f>DI4</f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ROW(Source!A25)</f>
        <v>25</v>
      </c>
      <c r="B5">
        <v>145184733</v>
      </c>
      <c r="C5">
        <v>145184787</v>
      </c>
      <c r="D5">
        <v>140922893</v>
      </c>
      <c r="E5">
        <v>1</v>
      </c>
      <c r="F5">
        <v>1</v>
      </c>
      <c r="G5">
        <v>1</v>
      </c>
      <c r="H5">
        <v>2</v>
      </c>
      <c r="I5" t="s">
        <v>280</v>
      </c>
      <c r="J5" t="s">
        <v>281</v>
      </c>
      <c r="K5" t="s">
        <v>282</v>
      </c>
      <c r="L5">
        <v>1367</v>
      </c>
      <c r="N5">
        <v>1011</v>
      </c>
      <c r="O5" t="s">
        <v>275</v>
      </c>
      <c r="P5" t="s">
        <v>275</v>
      </c>
      <c r="Q5">
        <v>1</v>
      </c>
      <c r="W5">
        <v>0</v>
      </c>
      <c r="X5">
        <v>-130837057</v>
      </c>
      <c r="Y5">
        <f>(AT5*0.8)</f>
        <v>0.54400000000000004</v>
      </c>
      <c r="AA5">
        <v>0</v>
      </c>
      <c r="AB5">
        <v>1126.6600000000001</v>
      </c>
      <c r="AC5">
        <v>504.36</v>
      </c>
      <c r="AD5">
        <v>0</v>
      </c>
      <c r="AE5">
        <v>0</v>
      </c>
      <c r="AF5">
        <v>86.4</v>
      </c>
      <c r="AG5">
        <v>13.5</v>
      </c>
      <c r="AH5">
        <v>0</v>
      </c>
      <c r="AI5">
        <v>1</v>
      </c>
      <c r="AJ5">
        <v>13.04</v>
      </c>
      <c r="AK5">
        <v>37.36</v>
      </c>
      <c r="AL5">
        <v>1</v>
      </c>
      <c r="AM5">
        <v>4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0.68</v>
      </c>
      <c r="AU5" t="s">
        <v>33</v>
      </c>
      <c r="AV5">
        <v>0</v>
      </c>
      <c r="AW5">
        <v>2</v>
      </c>
      <c r="AX5">
        <v>145184790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ROUND(Y5*Source!I25,9)</f>
        <v>0.52224000000000004</v>
      </c>
      <c r="CY5">
        <f>AB5</f>
        <v>1126.6600000000001</v>
      </c>
      <c r="CZ5">
        <f>AF5</f>
        <v>86.4</v>
      </c>
      <c r="DA5">
        <f>AJ5</f>
        <v>13.04</v>
      </c>
      <c r="DB5">
        <f>ROUND((ROUND(AT5*CZ5,2)*0.8),2)</f>
        <v>47</v>
      </c>
      <c r="DC5">
        <f>ROUND((ROUND(AT5*AG5,2)*0.8),2)</f>
        <v>7.34</v>
      </c>
      <c r="DD5" t="s">
        <v>3</v>
      </c>
      <c r="DE5" t="s">
        <v>3</v>
      </c>
      <c r="DF5">
        <f t="shared" si="0"/>
        <v>0</v>
      </c>
      <c r="DG5">
        <f>ROUND(ROUND(AF5*AJ5,2)*CX5,2)</f>
        <v>588.39</v>
      </c>
      <c r="DH5">
        <f>ROUND(ROUND(AG5*AK5,2)*CX5,2)</f>
        <v>263.39999999999998</v>
      </c>
      <c r="DI5">
        <f t="shared" si="1"/>
        <v>0</v>
      </c>
      <c r="DJ5">
        <f>DG5</f>
        <v>588.39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ROW(Source!A25)</f>
        <v>25</v>
      </c>
      <c r="B6">
        <v>145184733</v>
      </c>
      <c r="C6">
        <v>145184787</v>
      </c>
      <c r="D6">
        <v>140923105</v>
      </c>
      <c r="E6">
        <v>1</v>
      </c>
      <c r="F6">
        <v>1</v>
      </c>
      <c r="G6">
        <v>1</v>
      </c>
      <c r="H6">
        <v>2</v>
      </c>
      <c r="I6" t="s">
        <v>283</v>
      </c>
      <c r="J6" t="s">
        <v>284</v>
      </c>
      <c r="K6" t="s">
        <v>285</v>
      </c>
      <c r="L6">
        <v>1367</v>
      </c>
      <c r="N6">
        <v>1011</v>
      </c>
      <c r="O6" t="s">
        <v>275</v>
      </c>
      <c r="P6" t="s">
        <v>275</v>
      </c>
      <c r="Q6">
        <v>1</v>
      </c>
      <c r="W6">
        <v>0</v>
      </c>
      <c r="X6">
        <v>-896236776</v>
      </c>
      <c r="Y6">
        <f>(AT6*0.8)</f>
        <v>1.008</v>
      </c>
      <c r="AA6">
        <v>0</v>
      </c>
      <c r="AB6">
        <v>1173.47</v>
      </c>
      <c r="AC6">
        <v>375.84</v>
      </c>
      <c r="AD6">
        <v>0</v>
      </c>
      <c r="AE6">
        <v>0</v>
      </c>
      <c r="AF6">
        <v>89.99</v>
      </c>
      <c r="AG6">
        <v>10.06</v>
      </c>
      <c r="AH6">
        <v>0</v>
      </c>
      <c r="AI6">
        <v>1</v>
      </c>
      <c r="AJ6">
        <v>13.04</v>
      </c>
      <c r="AK6">
        <v>37.36</v>
      </c>
      <c r="AL6">
        <v>1</v>
      </c>
      <c r="AM6">
        <v>4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1.26</v>
      </c>
      <c r="AU6" t="s">
        <v>33</v>
      </c>
      <c r="AV6">
        <v>0</v>
      </c>
      <c r="AW6">
        <v>2</v>
      </c>
      <c r="AX6">
        <v>145184791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ROUND(Y6*Source!I25,9)</f>
        <v>0.96767999999999998</v>
      </c>
      <c r="CY6">
        <f>AB6</f>
        <v>1173.47</v>
      </c>
      <c r="CZ6">
        <f>AF6</f>
        <v>89.99</v>
      </c>
      <c r="DA6">
        <f>AJ6</f>
        <v>13.04</v>
      </c>
      <c r="DB6">
        <f>ROUND((ROUND(AT6*CZ6,2)*0.8),2)</f>
        <v>90.71</v>
      </c>
      <c r="DC6">
        <f>ROUND((ROUND(AT6*AG6,2)*0.8),2)</f>
        <v>10.14</v>
      </c>
      <c r="DD6" t="s">
        <v>3</v>
      </c>
      <c r="DE6" t="s">
        <v>3</v>
      </c>
      <c r="DF6">
        <f t="shared" si="0"/>
        <v>0</v>
      </c>
      <c r="DG6">
        <f>ROUND(ROUND(AF6*AJ6,2)*CX6,2)</f>
        <v>1135.54</v>
      </c>
      <c r="DH6">
        <f>ROUND(ROUND(AG6*AK6,2)*CX6,2)</f>
        <v>363.69</v>
      </c>
      <c r="DI6">
        <f t="shared" si="1"/>
        <v>0</v>
      </c>
      <c r="DJ6">
        <f>DG6</f>
        <v>1135.54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ROW(Source!A25)</f>
        <v>25</v>
      </c>
      <c r="B7">
        <v>145184733</v>
      </c>
      <c r="C7">
        <v>145184787</v>
      </c>
      <c r="D7">
        <v>140923250</v>
      </c>
      <c r="E7">
        <v>1</v>
      </c>
      <c r="F7">
        <v>1</v>
      </c>
      <c r="G7">
        <v>1</v>
      </c>
      <c r="H7">
        <v>2</v>
      </c>
      <c r="I7" t="s">
        <v>286</v>
      </c>
      <c r="J7" t="s">
        <v>287</v>
      </c>
      <c r="K7" t="s">
        <v>288</v>
      </c>
      <c r="L7">
        <v>1367</v>
      </c>
      <c r="N7">
        <v>1011</v>
      </c>
      <c r="O7" t="s">
        <v>275</v>
      </c>
      <c r="P7" t="s">
        <v>275</v>
      </c>
      <c r="Q7">
        <v>1</v>
      </c>
      <c r="W7">
        <v>0</v>
      </c>
      <c r="X7">
        <v>-1841954318</v>
      </c>
      <c r="Y7">
        <f>(AT7*0.8)</f>
        <v>1.8320000000000001</v>
      </c>
      <c r="AA7">
        <v>0</v>
      </c>
      <c r="AB7">
        <v>101.32</v>
      </c>
      <c r="AC7">
        <v>0</v>
      </c>
      <c r="AD7">
        <v>0</v>
      </c>
      <c r="AE7">
        <v>0</v>
      </c>
      <c r="AF7">
        <v>7.77</v>
      </c>
      <c r="AG7">
        <v>0</v>
      </c>
      <c r="AH7">
        <v>0</v>
      </c>
      <c r="AI7">
        <v>1</v>
      </c>
      <c r="AJ7">
        <v>13.04</v>
      </c>
      <c r="AK7">
        <v>37.36</v>
      </c>
      <c r="AL7">
        <v>1</v>
      </c>
      <c r="AM7">
        <v>4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2.29</v>
      </c>
      <c r="AU7" t="s">
        <v>33</v>
      </c>
      <c r="AV7">
        <v>0</v>
      </c>
      <c r="AW7">
        <v>2</v>
      </c>
      <c r="AX7">
        <v>145184792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ROUND(Y7*Source!I25,9)</f>
        <v>1.7587200000000001</v>
      </c>
      <c r="CY7">
        <f>AB7</f>
        <v>101.32</v>
      </c>
      <c r="CZ7">
        <f>AF7</f>
        <v>7.77</v>
      </c>
      <c r="DA7">
        <f>AJ7</f>
        <v>13.04</v>
      </c>
      <c r="DB7">
        <f>ROUND((ROUND(AT7*CZ7,2)*0.8),2)</f>
        <v>14.23</v>
      </c>
      <c r="DC7">
        <f>ROUND((ROUND(AT7*AG7,2)*0.8),2)</f>
        <v>0</v>
      </c>
      <c r="DD7" t="s">
        <v>3</v>
      </c>
      <c r="DE7" t="s">
        <v>3</v>
      </c>
      <c r="DF7">
        <f t="shared" si="0"/>
        <v>0</v>
      </c>
      <c r="DG7">
        <f>ROUND(ROUND(AF7*AJ7,2)*CX7,2)</f>
        <v>178.19</v>
      </c>
      <c r="DH7">
        <f>ROUND(ROUND(AG7*AK7,2)*CX7,2)</f>
        <v>0</v>
      </c>
      <c r="DI7">
        <f t="shared" si="1"/>
        <v>0</v>
      </c>
      <c r="DJ7">
        <f>DG7</f>
        <v>178.19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ROW(Source!A25)</f>
        <v>25</v>
      </c>
      <c r="B8">
        <v>145184733</v>
      </c>
      <c r="C8">
        <v>145184787</v>
      </c>
      <c r="D8">
        <v>140772680</v>
      </c>
      <c r="E8">
        <v>1</v>
      </c>
      <c r="F8">
        <v>1</v>
      </c>
      <c r="G8">
        <v>1</v>
      </c>
      <c r="H8">
        <v>3</v>
      </c>
      <c r="I8" t="s">
        <v>289</v>
      </c>
      <c r="J8" t="s">
        <v>290</v>
      </c>
      <c r="K8" t="s">
        <v>291</v>
      </c>
      <c r="L8">
        <v>1339</v>
      </c>
      <c r="N8">
        <v>1007</v>
      </c>
      <c r="O8" t="s">
        <v>68</v>
      </c>
      <c r="P8" t="s">
        <v>68</v>
      </c>
      <c r="Q8">
        <v>1</v>
      </c>
      <c r="W8">
        <v>0</v>
      </c>
      <c r="X8">
        <v>-143474561</v>
      </c>
      <c r="Y8">
        <f>(AT8*0)</f>
        <v>0</v>
      </c>
      <c r="AA8">
        <v>20.28</v>
      </c>
      <c r="AB8">
        <v>0</v>
      </c>
      <c r="AC8">
        <v>0</v>
      </c>
      <c r="AD8">
        <v>0</v>
      </c>
      <c r="AE8">
        <v>2.44</v>
      </c>
      <c r="AF8">
        <v>0</v>
      </c>
      <c r="AG8">
        <v>0</v>
      </c>
      <c r="AH8">
        <v>0</v>
      </c>
      <c r="AI8">
        <v>8.31</v>
      </c>
      <c r="AJ8">
        <v>1</v>
      </c>
      <c r="AK8">
        <v>1</v>
      </c>
      <c r="AL8">
        <v>1</v>
      </c>
      <c r="AM8">
        <v>4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3.85</v>
      </c>
      <c r="AU8" t="s">
        <v>32</v>
      </c>
      <c r="AV8">
        <v>0</v>
      </c>
      <c r="AW8">
        <v>2</v>
      </c>
      <c r="AX8">
        <v>145184793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ROUND(Y8*Source!I25,9)</f>
        <v>0</v>
      </c>
      <c r="CY8">
        <f>AA8</f>
        <v>20.28</v>
      </c>
      <c r="CZ8">
        <f>AE8</f>
        <v>2.44</v>
      </c>
      <c r="DA8">
        <f>AI8</f>
        <v>8.31</v>
      </c>
      <c r="DB8">
        <f>ROUND((ROUND(AT8*CZ8,2)*0),2)</f>
        <v>0</v>
      </c>
      <c r="DC8">
        <f>ROUND((ROUND(AT8*AG8,2)*0),2)</f>
        <v>0</v>
      </c>
      <c r="DD8" t="s">
        <v>3</v>
      </c>
      <c r="DE8" t="s">
        <v>3</v>
      </c>
      <c r="DF8">
        <f>ROUND(ROUND(AE8*AI8,2)*CX8,2)</f>
        <v>0</v>
      </c>
      <c r="DG8">
        <f>ROUND(ROUND(AF8,2)*CX8,2)</f>
        <v>0</v>
      </c>
      <c r="DH8">
        <f>ROUND(ROUND(AG8,2)*CX8,2)</f>
        <v>0</v>
      </c>
      <c r="DI8">
        <f t="shared" si="1"/>
        <v>0</v>
      </c>
      <c r="DJ8">
        <f>DF8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ROW(Source!A25)</f>
        <v>25</v>
      </c>
      <c r="B9">
        <v>145184733</v>
      </c>
      <c r="C9">
        <v>145184787</v>
      </c>
      <c r="D9">
        <v>140761125</v>
      </c>
      <c r="E9">
        <v>70</v>
      </c>
      <c r="F9">
        <v>1</v>
      </c>
      <c r="G9">
        <v>1</v>
      </c>
      <c r="H9">
        <v>3</v>
      </c>
      <c r="I9" t="s">
        <v>292</v>
      </c>
      <c r="J9" t="s">
        <v>3</v>
      </c>
      <c r="K9" t="s">
        <v>293</v>
      </c>
      <c r="L9">
        <v>1339</v>
      </c>
      <c r="N9">
        <v>1007</v>
      </c>
      <c r="O9" t="s">
        <v>68</v>
      </c>
      <c r="P9" t="s">
        <v>68</v>
      </c>
      <c r="Q9">
        <v>1</v>
      </c>
      <c r="W9">
        <v>0</v>
      </c>
      <c r="X9">
        <v>-2113302258</v>
      </c>
      <c r="Y9">
        <f>(AT9*0)</f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8.31</v>
      </c>
      <c r="AJ9">
        <v>1</v>
      </c>
      <c r="AK9">
        <v>1</v>
      </c>
      <c r="AL9">
        <v>1</v>
      </c>
      <c r="AM9">
        <v>4</v>
      </c>
      <c r="AN9">
        <v>0</v>
      </c>
      <c r="AO9">
        <v>0</v>
      </c>
      <c r="AP9">
        <v>1</v>
      </c>
      <c r="AQ9">
        <v>0</v>
      </c>
      <c r="AR9">
        <v>0</v>
      </c>
      <c r="AS9" t="s">
        <v>3</v>
      </c>
      <c r="AT9">
        <v>1.53</v>
      </c>
      <c r="AU9" t="s">
        <v>32</v>
      </c>
      <c r="AV9">
        <v>0</v>
      </c>
      <c r="AW9">
        <v>2</v>
      </c>
      <c r="AX9">
        <v>145184794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ROUND(Y9*Source!I25,9)</f>
        <v>0</v>
      </c>
      <c r="CY9">
        <f>AA9</f>
        <v>0</v>
      </c>
      <c r="CZ9">
        <f>AE9</f>
        <v>0</v>
      </c>
      <c r="DA9">
        <f>AI9</f>
        <v>8.31</v>
      </c>
      <c r="DB9">
        <f>ROUND((ROUND(AT9*CZ9,2)*0),2)</f>
        <v>0</v>
      </c>
      <c r="DC9">
        <f>ROUND((ROUND(AT9*AG9,2)*0),2)</f>
        <v>0</v>
      </c>
      <c r="DD9" t="s">
        <v>3</v>
      </c>
      <c r="DE9" t="s">
        <v>3</v>
      </c>
      <c r="DF9">
        <f>ROUND(ROUND(AE9*AI9,2)*CX9,2)</f>
        <v>0</v>
      </c>
      <c r="DG9">
        <f>ROUND(ROUND(AF9,2)*CX9,2)</f>
        <v>0</v>
      </c>
      <c r="DH9">
        <f>ROUND(ROUND(AG9,2)*CX9,2)</f>
        <v>0</v>
      </c>
      <c r="DI9">
        <f t="shared" si="1"/>
        <v>0</v>
      </c>
      <c r="DJ9">
        <f>DF9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ROW(Source!A25)</f>
        <v>25</v>
      </c>
      <c r="B10">
        <v>145184733</v>
      </c>
      <c r="C10">
        <v>145184787</v>
      </c>
      <c r="D10">
        <v>140798958</v>
      </c>
      <c r="E10">
        <v>1</v>
      </c>
      <c r="F10">
        <v>1</v>
      </c>
      <c r="G10">
        <v>1</v>
      </c>
      <c r="H10">
        <v>3</v>
      </c>
      <c r="I10" t="s">
        <v>294</v>
      </c>
      <c r="J10" t="s">
        <v>295</v>
      </c>
      <c r="K10" t="s">
        <v>296</v>
      </c>
      <c r="L10">
        <v>1327</v>
      </c>
      <c r="N10">
        <v>1005</v>
      </c>
      <c r="O10" t="s">
        <v>73</v>
      </c>
      <c r="P10" t="s">
        <v>73</v>
      </c>
      <c r="Q10">
        <v>1</v>
      </c>
      <c r="W10">
        <v>0</v>
      </c>
      <c r="X10">
        <v>1282098800</v>
      </c>
      <c r="Y10">
        <f>(AT10*0)</f>
        <v>0</v>
      </c>
      <c r="AA10">
        <v>51.52</v>
      </c>
      <c r="AB10">
        <v>0</v>
      </c>
      <c r="AC10">
        <v>0</v>
      </c>
      <c r="AD10">
        <v>0</v>
      </c>
      <c r="AE10">
        <v>6.2</v>
      </c>
      <c r="AF10">
        <v>0</v>
      </c>
      <c r="AG10">
        <v>0</v>
      </c>
      <c r="AH10">
        <v>0</v>
      </c>
      <c r="AI10">
        <v>8.31</v>
      </c>
      <c r="AJ10">
        <v>1</v>
      </c>
      <c r="AK10">
        <v>1</v>
      </c>
      <c r="AL10">
        <v>1</v>
      </c>
      <c r="AM10">
        <v>4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4.4000000000000004</v>
      </c>
      <c r="AU10" t="s">
        <v>32</v>
      </c>
      <c r="AV10">
        <v>0</v>
      </c>
      <c r="AW10">
        <v>2</v>
      </c>
      <c r="AX10">
        <v>145184795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ROUND(Y10*Source!I25,9)</f>
        <v>0</v>
      </c>
      <c r="CY10">
        <f>AA10</f>
        <v>51.52</v>
      </c>
      <c r="CZ10">
        <f>AE10</f>
        <v>6.2</v>
      </c>
      <c r="DA10">
        <f>AI10</f>
        <v>8.31</v>
      </c>
      <c r="DB10">
        <f>ROUND((ROUND(AT10*CZ10,2)*0),2)</f>
        <v>0</v>
      </c>
      <c r="DC10">
        <f>ROUND((ROUND(AT10*AG10,2)*0),2)</f>
        <v>0</v>
      </c>
      <c r="DD10" t="s">
        <v>3</v>
      </c>
      <c r="DE10" t="s">
        <v>3</v>
      </c>
      <c r="DF10">
        <f>ROUND(ROUND(AE10*AI10,2)*CX10,2)</f>
        <v>0</v>
      </c>
      <c r="DG10">
        <f>ROUND(ROUND(AF10,2)*CX10,2)</f>
        <v>0</v>
      </c>
      <c r="DH10">
        <f>ROUND(ROUND(AG10,2)*CX10,2)</f>
        <v>0</v>
      </c>
      <c r="DI10">
        <f t="shared" si="1"/>
        <v>0</v>
      </c>
      <c r="DJ10">
        <f>DF10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ROW(Source!A26)</f>
        <v>26</v>
      </c>
      <c r="B11">
        <v>145184733</v>
      </c>
      <c r="C11">
        <v>145184796</v>
      </c>
      <c r="D11">
        <v>140759982</v>
      </c>
      <c r="E11">
        <v>70</v>
      </c>
      <c r="F11">
        <v>1</v>
      </c>
      <c r="G11">
        <v>1</v>
      </c>
      <c r="H11">
        <v>1</v>
      </c>
      <c r="I11" t="s">
        <v>276</v>
      </c>
      <c r="J11" t="s">
        <v>3</v>
      </c>
      <c r="K11" t="s">
        <v>277</v>
      </c>
      <c r="L11">
        <v>1191</v>
      </c>
      <c r="N11">
        <v>1013</v>
      </c>
      <c r="O11" t="s">
        <v>271</v>
      </c>
      <c r="P11" t="s">
        <v>271</v>
      </c>
      <c r="Q11">
        <v>1</v>
      </c>
      <c r="W11">
        <v>0</v>
      </c>
      <c r="X11">
        <v>-983457869</v>
      </c>
      <c r="Y11">
        <f>((AT11*0.8)*35)</f>
        <v>28</v>
      </c>
      <c r="AA11">
        <v>0</v>
      </c>
      <c r="AB11">
        <v>0</v>
      </c>
      <c r="AC11">
        <v>0</v>
      </c>
      <c r="AD11">
        <v>322.79000000000002</v>
      </c>
      <c r="AE11">
        <v>0</v>
      </c>
      <c r="AF11">
        <v>0</v>
      </c>
      <c r="AG11">
        <v>0</v>
      </c>
      <c r="AH11">
        <v>8.64</v>
      </c>
      <c r="AI11">
        <v>1</v>
      </c>
      <c r="AJ11">
        <v>1</v>
      </c>
      <c r="AK11">
        <v>1</v>
      </c>
      <c r="AL11">
        <v>37.36</v>
      </c>
      <c r="AM11">
        <v>4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1</v>
      </c>
      <c r="AU11" t="s">
        <v>44</v>
      </c>
      <c r="AV11">
        <v>1</v>
      </c>
      <c r="AW11">
        <v>2</v>
      </c>
      <c r="AX11">
        <v>145184797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ROUND(Y11*Source!I26,9)</f>
        <v>26.88</v>
      </c>
      <c r="CY11">
        <f>AD11</f>
        <v>322.79000000000002</v>
      </c>
      <c r="CZ11">
        <f>AH11</f>
        <v>8.64</v>
      </c>
      <c r="DA11">
        <f>AL11</f>
        <v>37.36</v>
      </c>
      <c r="DB11">
        <f>ROUND(((ROUND(AT11*CZ11,2)*0.8)*35),2)</f>
        <v>241.92</v>
      </c>
      <c r="DC11">
        <f>ROUND(((ROUND(AT11*AG11,2)*0.8)*35),2)</f>
        <v>0</v>
      </c>
      <c r="DD11" t="s">
        <v>3</v>
      </c>
      <c r="DE11" t="s">
        <v>3</v>
      </c>
      <c r="DF11">
        <f>ROUND(ROUND(AE11,2)*CX11,2)</f>
        <v>0</v>
      </c>
      <c r="DG11">
        <f>ROUND(ROUND(AF11,2)*CX11,2)</f>
        <v>0</v>
      </c>
      <c r="DH11">
        <f>ROUND(ROUND(AG11,2)*CX11,2)</f>
        <v>0</v>
      </c>
      <c r="DI11">
        <f>ROUND(ROUND(AH11*AL11,2)*CX11,2)</f>
        <v>8676.6</v>
      </c>
      <c r="DJ11">
        <f>DI11</f>
        <v>8676.6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ROW(Source!A26)</f>
        <v>26</v>
      </c>
      <c r="B12">
        <v>145184733</v>
      </c>
      <c r="C12">
        <v>145184796</v>
      </c>
      <c r="D12">
        <v>140760225</v>
      </c>
      <c r="E12">
        <v>70</v>
      </c>
      <c r="F12">
        <v>1</v>
      </c>
      <c r="G12">
        <v>1</v>
      </c>
      <c r="H12">
        <v>1</v>
      </c>
      <c r="I12" t="s">
        <v>278</v>
      </c>
      <c r="J12" t="s">
        <v>3</v>
      </c>
      <c r="K12" t="s">
        <v>279</v>
      </c>
      <c r="L12">
        <v>1191</v>
      </c>
      <c r="N12">
        <v>1013</v>
      </c>
      <c r="O12" t="s">
        <v>271</v>
      </c>
      <c r="P12" t="s">
        <v>271</v>
      </c>
      <c r="Q12">
        <v>1</v>
      </c>
      <c r="W12">
        <v>0</v>
      </c>
      <c r="X12">
        <v>-1417349443</v>
      </c>
      <c r="Y12">
        <f>((AT12*0.8)*35)</f>
        <v>0.84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37.36</v>
      </c>
      <c r="AL12">
        <v>1</v>
      </c>
      <c r="AM12">
        <v>4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0.03</v>
      </c>
      <c r="AU12" t="s">
        <v>44</v>
      </c>
      <c r="AV12">
        <v>2</v>
      </c>
      <c r="AW12">
        <v>2</v>
      </c>
      <c r="AX12">
        <v>145184798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ROUND(Y12*Source!I26,9)</f>
        <v>0.80640000000000001</v>
      </c>
      <c r="CY12">
        <f>AD12</f>
        <v>0</v>
      </c>
      <c r="CZ12">
        <f>AH12</f>
        <v>0</v>
      </c>
      <c r="DA12">
        <f>AL12</f>
        <v>1</v>
      </c>
      <c r="DB12">
        <f>ROUND(((ROUND(AT12*CZ12,2)*0.8)*35),2)</f>
        <v>0</v>
      </c>
      <c r="DC12">
        <f>ROUND(((ROUND(AT12*AG12,2)*0.8)*35),2)</f>
        <v>0</v>
      </c>
      <c r="DD12" t="s">
        <v>3</v>
      </c>
      <c r="DE12" t="s">
        <v>3</v>
      </c>
      <c r="DF12">
        <f>ROUND(ROUND(AE12,2)*CX12,2)</f>
        <v>0</v>
      </c>
      <c r="DG12">
        <f>ROUND(ROUND(AF12,2)*CX12,2)</f>
        <v>0</v>
      </c>
      <c r="DH12">
        <f>ROUND(ROUND(AG12*AK12,2)*CX12,2)</f>
        <v>0</v>
      </c>
      <c r="DI12">
        <f>ROUND(ROUND(AH12,2)*CX12,2)</f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ROW(Source!A26)</f>
        <v>26</v>
      </c>
      <c r="B13">
        <v>145184733</v>
      </c>
      <c r="C13">
        <v>145184796</v>
      </c>
      <c r="D13">
        <v>140922893</v>
      </c>
      <c r="E13">
        <v>1</v>
      </c>
      <c r="F13">
        <v>1</v>
      </c>
      <c r="G13">
        <v>1</v>
      </c>
      <c r="H13">
        <v>2</v>
      </c>
      <c r="I13" t="s">
        <v>280</v>
      </c>
      <c r="J13" t="s">
        <v>281</v>
      </c>
      <c r="K13" t="s">
        <v>282</v>
      </c>
      <c r="L13">
        <v>1367</v>
      </c>
      <c r="N13">
        <v>1011</v>
      </c>
      <c r="O13" t="s">
        <v>275</v>
      </c>
      <c r="P13" t="s">
        <v>275</v>
      </c>
      <c r="Q13">
        <v>1</v>
      </c>
      <c r="W13">
        <v>0</v>
      </c>
      <c r="X13">
        <v>-130837057</v>
      </c>
      <c r="Y13">
        <f>((AT13*0.8)*35)</f>
        <v>0.28000000000000003</v>
      </c>
      <c r="AA13">
        <v>0</v>
      </c>
      <c r="AB13">
        <v>1126.6600000000001</v>
      </c>
      <c r="AC13">
        <v>504.36</v>
      </c>
      <c r="AD13">
        <v>0</v>
      </c>
      <c r="AE13">
        <v>0</v>
      </c>
      <c r="AF13">
        <v>86.4</v>
      </c>
      <c r="AG13">
        <v>13.5</v>
      </c>
      <c r="AH13">
        <v>0</v>
      </c>
      <c r="AI13">
        <v>1</v>
      </c>
      <c r="AJ13">
        <v>13.04</v>
      </c>
      <c r="AK13">
        <v>37.36</v>
      </c>
      <c r="AL13">
        <v>1</v>
      </c>
      <c r="AM13">
        <v>4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0.01</v>
      </c>
      <c r="AU13" t="s">
        <v>44</v>
      </c>
      <c r="AV13">
        <v>0</v>
      </c>
      <c r="AW13">
        <v>2</v>
      </c>
      <c r="AX13">
        <v>145184799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ROUND(Y13*Source!I26,9)</f>
        <v>0.26879999999999998</v>
      </c>
      <c r="CY13">
        <f>AB13</f>
        <v>1126.6600000000001</v>
      </c>
      <c r="CZ13">
        <f>AF13</f>
        <v>86.4</v>
      </c>
      <c r="DA13">
        <f>AJ13</f>
        <v>13.04</v>
      </c>
      <c r="DB13">
        <f>ROUND(((ROUND(AT13*CZ13,2)*0.8)*35),2)</f>
        <v>24.08</v>
      </c>
      <c r="DC13">
        <f>ROUND(((ROUND(AT13*AG13,2)*0.8)*35),2)</f>
        <v>3.92</v>
      </c>
      <c r="DD13" t="s">
        <v>3</v>
      </c>
      <c r="DE13" t="s">
        <v>3</v>
      </c>
      <c r="DF13">
        <f>ROUND(ROUND(AE13,2)*CX13,2)</f>
        <v>0</v>
      </c>
      <c r="DG13">
        <f>ROUND(ROUND(AF13*AJ13,2)*CX13,2)</f>
        <v>302.85000000000002</v>
      </c>
      <c r="DH13">
        <f>ROUND(ROUND(AG13*AK13,2)*CX13,2)</f>
        <v>135.57</v>
      </c>
      <c r="DI13">
        <f>ROUND(ROUND(AH13,2)*CX13,2)</f>
        <v>0</v>
      </c>
      <c r="DJ13">
        <f>DG13</f>
        <v>302.85000000000002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ROW(Source!A26)</f>
        <v>26</v>
      </c>
      <c r="B14">
        <v>145184733</v>
      </c>
      <c r="C14">
        <v>145184796</v>
      </c>
      <c r="D14">
        <v>140923105</v>
      </c>
      <c r="E14">
        <v>1</v>
      </c>
      <c r="F14">
        <v>1</v>
      </c>
      <c r="G14">
        <v>1</v>
      </c>
      <c r="H14">
        <v>2</v>
      </c>
      <c r="I14" t="s">
        <v>283</v>
      </c>
      <c r="J14" t="s">
        <v>284</v>
      </c>
      <c r="K14" t="s">
        <v>285</v>
      </c>
      <c r="L14">
        <v>1367</v>
      </c>
      <c r="N14">
        <v>1011</v>
      </c>
      <c r="O14" t="s">
        <v>275</v>
      </c>
      <c r="P14" t="s">
        <v>275</v>
      </c>
      <c r="Q14">
        <v>1</v>
      </c>
      <c r="W14">
        <v>0</v>
      </c>
      <c r="X14">
        <v>-896236776</v>
      </c>
      <c r="Y14">
        <f>((AT14*0.8)*35)</f>
        <v>0.56000000000000005</v>
      </c>
      <c r="AA14">
        <v>0</v>
      </c>
      <c r="AB14">
        <v>1173.47</v>
      </c>
      <c r="AC14">
        <v>375.84</v>
      </c>
      <c r="AD14">
        <v>0</v>
      </c>
      <c r="AE14">
        <v>0</v>
      </c>
      <c r="AF14">
        <v>89.99</v>
      </c>
      <c r="AG14">
        <v>10.06</v>
      </c>
      <c r="AH14">
        <v>0</v>
      </c>
      <c r="AI14">
        <v>1</v>
      </c>
      <c r="AJ14">
        <v>13.04</v>
      </c>
      <c r="AK14">
        <v>37.36</v>
      </c>
      <c r="AL14">
        <v>1</v>
      </c>
      <c r="AM14">
        <v>4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0.02</v>
      </c>
      <c r="AU14" t="s">
        <v>44</v>
      </c>
      <c r="AV14">
        <v>0</v>
      </c>
      <c r="AW14">
        <v>2</v>
      </c>
      <c r="AX14">
        <v>145184800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ROUND(Y14*Source!I26,9)</f>
        <v>0.53759999999999997</v>
      </c>
      <c r="CY14">
        <f>AB14</f>
        <v>1173.47</v>
      </c>
      <c r="CZ14">
        <f>AF14</f>
        <v>89.99</v>
      </c>
      <c r="DA14">
        <f>AJ14</f>
        <v>13.04</v>
      </c>
      <c r="DB14">
        <f>ROUND(((ROUND(AT14*CZ14,2)*0.8)*35),2)</f>
        <v>50.4</v>
      </c>
      <c r="DC14">
        <f>ROUND(((ROUND(AT14*AG14,2)*0.8)*35),2)</f>
        <v>5.6</v>
      </c>
      <c r="DD14" t="s">
        <v>3</v>
      </c>
      <c r="DE14" t="s">
        <v>3</v>
      </c>
      <c r="DF14">
        <f>ROUND(ROUND(AE14,2)*CX14,2)</f>
        <v>0</v>
      </c>
      <c r="DG14">
        <f>ROUND(ROUND(AF14*AJ14,2)*CX14,2)</f>
        <v>630.86</v>
      </c>
      <c r="DH14">
        <f>ROUND(ROUND(AG14*AK14,2)*CX14,2)</f>
        <v>202.05</v>
      </c>
      <c r="DI14">
        <f>ROUND(ROUND(AH14,2)*CX14,2)</f>
        <v>0</v>
      </c>
      <c r="DJ14">
        <f>DG14</f>
        <v>630.86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ROW(Source!A26)</f>
        <v>26</v>
      </c>
      <c r="B15">
        <v>145184733</v>
      </c>
      <c r="C15">
        <v>145184796</v>
      </c>
      <c r="D15">
        <v>140761125</v>
      </c>
      <c r="E15">
        <v>70</v>
      </c>
      <c r="F15">
        <v>1</v>
      </c>
      <c r="G15">
        <v>1</v>
      </c>
      <c r="H15">
        <v>3</v>
      </c>
      <c r="I15" t="s">
        <v>292</v>
      </c>
      <c r="J15" t="s">
        <v>3</v>
      </c>
      <c r="K15" t="s">
        <v>293</v>
      </c>
      <c r="L15">
        <v>1339</v>
      </c>
      <c r="N15">
        <v>1007</v>
      </c>
      <c r="O15" t="s">
        <v>68</v>
      </c>
      <c r="P15" t="s">
        <v>68</v>
      </c>
      <c r="Q15">
        <v>1</v>
      </c>
      <c r="W15">
        <v>0</v>
      </c>
      <c r="X15">
        <v>-2113302258</v>
      </c>
      <c r="Y15">
        <f>((AT15*0)*35)</f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8.31</v>
      </c>
      <c r="AJ15">
        <v>1</v>
      </c>
      <c r="AK15">
        <v>1</v>
      </c>
      <c r="AL15">
        <v>1</v>
      </c>
      <c r="AM15">
        <v>4</v>
      </c>
      <c r="AN15">
        <v>0</v>
      </c>
      <c r="AO15">
        <v>0</v>
      </c>
      <c r="AP15">
        <v>1</v>
      </c>
      <c r="AQ15">
        <v>0</v>
      </c>
      <c r="AR15">
        <v>0</v>
      </c>
      <c r="AS15" t="s">
        <v>3</v>
      </c>
      <c r="AT15">
        <v>0.10199999999999999</v>
      </c>
      <c r="AU15" t="s">
        <v>43</v>
      </c>
      <c r="AV15">
        <v>0</v>
      </c>
      <c r="AW15">
        <v>2</v>
      </c>
      <c r="AX15">
        <v>145184801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ROUND(Y15*Source!I26,9)</f>
        <v>0</v>
      </c>
      <c r="CY15">
        <f>AA15</f>
        <v>0</v>
      </c>
      <c r="CZ15">
        <f>AE15</f>
        <v>0</v>
      </c>
      <c r="DA15">
        <f>AI15</f>
        <v>8.31</v>
      </c>
      <c r="DB15">
        <f>ROUND(((ROUND(AT15*CZ15,2)*0)*35),2)</f>
        <v>0</v>
      </c>
      <c r="DC15">
        <f>ROUND(((ROUND(AT15*AG15,2)*0)*35),2)</f>
        <v>0</v>
      </c>
      <c r="DD15" t="s">
        <v>3</v>
      </c>
      <c r="DE15" t="s">
        <v>3</v>
      </c>
      <c r="DF15">
        <f>ROUND(ROUND(AE15*AI15,2)*CX15,2)</f>
        <v>0</v>
      </c>
      <c r="DG15">
        <f>ROUND(ROUND(AF15,2)*CX15,2)</f>
        <v>0</v>
      </c>
      <c r="DH15">
        <f>ROUND(ROUND(AG15,2)*CX15,2)</f>
        <v>0</v>
      </c>
      <c r="DI15">
        <f>ROUND(ROUND(AH15,2)*CX15,2)</f>
        <v>0</v>
      </c>
      <c r="DJ15">
        <f>DF15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ROW(Source!A28)</f>
        <v>28</v>
      </c>
      <c r="B16">
        <v>145184733</v>
      </c>
      <c r="C16">
        <v>145184803</v>
      </c>
      <c r="D16">
        <v>140759982</v>
      </c>
      <c r="E16">
        <v>70</v>
      </c>
      <c r="F16">
        <v>1</v>
      </c>
      <c r="G16">
        <v>1</v>
      </c>
      <c r="H16">
        <v>1</v>
      </c>
      <c r="I16" t="s">
        <v>276</v>
      </c>
      <c r="J16" t="s">
        <v>3</v>
      </c>
      <c r="K16" t="s">
        <v>277</v>
      </c>
      <c r="L16">
        <v>1191</v>
      </c>
      <c r="N16">
        <v>1013</v>
      </c>
      <c r="O16" t="s">
        <v>271</v>
      </c>
      <c r="P16" t="s">
        <v>271</v>
      </c>
      <c r="Q16">
        <v>1</v>
      </c>
      <c r="W16">
        <v>0</v>
      </c>
      <c r="X16">
        <v>-983457869</v>
      </c>
      <c r="Y16">
        <f>(AT16*1.15)</f>
        <v>27.945</v>
      </c>
      <c r="AA16">
        <v>0</v>
      </c>
      <c r="AB16">
        <v>0</v>
      </c>
      <c r="AC16">
        <v>0</v>
      </c>
      <c r="AD16">
        <v>322.79000000000002</v>
      </c>
      <c r="AE16">
        <v>0</v>
      </c>
      <c r="AF16">
        <v>0</v>
      </c>
      <c r="AG16">
        <v>0</v>
      </c>
      <c r="AH16">
        <v>8.64</v>
      </c>
      <c r="AI16">
        <v>1</v>
      </c>
      <c r="AJ16">
        <v>1</v>
      </c>
      <c r="AK16">
        <v>1</v>
      </c>
      <c r="AL16">
        <v>37.36</v>
      </c>
      <c r="AM16">
        <v>4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24.3</v>
      </c>
      <c r="AU16" t="s">
        <v>58</v>
      </c>
      <c r="AV16">
        <v>1</v>
      </c>
      <c r="AW16">
        <v>2</v>
      </c>
      <c r="AX16">
        <v>145184804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ROUND(Y16*Source!I28,9)</f>
        <v>26.827200000000001</v>
      </c>
      <c r="CY16">
        <f>AD16</f>
        <v>322.79000000000002</v>
      </c>
      <c r="CZ16">
        <f>AH16</f>
        <v>8.64</v>
      </c>
      <c r="DA16">
        <f>AL16</f>
        <v>37.36</v>
      </c>
      <c r="DB16">
        <f>ROUND((ROUND(AT16*CZ16,2)*1.15),2)</f>
        <v>241.44</v>
      </c>
      <c r="DC16">
        <f>ROUND((ROUND(AT16*AG16,2)*1.15),2)</f>
        <v>0</v>
      </c>
      <c r="DD16" t="s">
        <v>3</v>
      </c>
      <c r="DE16" t="s">
        <v>3</v>
      </c>
      <c r="DF16">
        <f>ROUND(ROUND(AE16,2)*CX16,2)</f>
        <v>0</v>
      </c>
      <c r="DG16">
        <f>ROUND(ROUND(AF16,2)*CX16,2)</f>
        <v>0</v>
      </c>
      <c r="DH16">
        <f>ROUND(ROUND(AG16,2)*CX16,2)</f>
        <v>0</v>
      </c>
      <c r="DI16">
        <f>ROUND(ROUND(AH16*AL16,2)*CX16,2)</f>
        <v>8659.5499999999993</v>
      </c>
      <c r="DJ16">
        <f>DI16</f>
        <v>8659.5499999999993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ROW(Source!A28)</f>
        <v>28</v>
      </c>
      <c r="B17">
        <v>145184733</v>
      </c>
      <c r="C17">
        <v>145184803</v>
      </c>
      <c r="D17">
        <v>140760225</v>
      </c>
      <c r="E17">
        <v>70</v>
      </c>
      <c r="F17">
        <v>1</v>
      </c>
      <c r="G17">
        <v>1</v>
      </c>
      <c r="H17">
        <v>1</v>
      </c>
      <c r="I17" t="s">
        <v>278</v>
      </c>
      <c r="J17" t="s">
        <v>3</v>
      </c>
      <c r="K17" t="s">
        <v>279</v>
      </c>
      <c r="L17">
        <v>1191</v>
      </c>
      <c r="N17">
        <v>1013</v>
      </c>
      <c r="O17" t="s">
        <v>271</v>
      </c>
      <c r="P17" t="s">
        <v>271</v>
      </c>
      <c r="Q17">
        <v>1</v>
      </c>
      <c r="W17">
        <v>0</v>
      </c>
      <c r="X17">
        <v>-1417349443</v>
      </c>
      <c r="Y17">
        <f>(AT17*1.25)</f>
        <v>2.4249999999999998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37.36</v>
      </c>
      <c r="AL17">
        <v>1</v>
      </c>
      <c r="AM17">
        <v>4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1.94</v>
      </c>
      <c r="AU17" t="s">
        <v>57</v>
      </c>
      <c r="AV17">
        <v>2</v>
      </c>
      <c r="AW17">
        <v>2</v>
      </c>
      <c r="AX17">
        <v>145184805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ROUND(Y17*Source!I28,9)</f>
        <v>2.3279999999999998</v>
      </c>
      <c r="CY17">
        <f>AD17</f>
        <v>0</v>
      </c>
      <c r="CZ17">
        <f>AH17</f>
        <v>0</v>
      </c>
      <c r="DA17">
        <f>AL17</f>
        <v>1</v>
      </c>
      <c r="DB17">
        <f>ROUND((ROUND(AT17*CZ17,2)*1.25),2)</f>
        <v>0</v>
      </c>
      <c r="DC17">
        <f>ROUND((ROUND(AT17*AG17,2)*1.25),2)</f>
        <v>0</v>
      </c>
      <c r="DD17" t="s">
        <v>3</v>
      </c>
      <c r="DE17" t="s">
        <v>3</v>
      </c>
      <c r="DF17">
        <f>ROUND(ROUND(AE17,2)*CX17,2)</f>
        <v>0</v>
      </c>
      <c r="DG17">
        <f>ROUND(ROUND(AF17,2)*CX17,2)</f>
        <v>0</v>
      </c>
      <c r="DH17">
        <f>ROUND(ROUND(AG17*AK17,2)*CX17,2)</f>
        <v>0</v>
      </c>
      <c r="DI17">
        <f t="shared" ref="DI17:DI23" si="2">ROUND(ROUND(AH17,2)*CX17,2)</f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ROW(Source!A28)</f>
        <v>28</v>
      </c>
      <c r="B18">
        <v>145184733</v>
      </c>
      <c r="C18">
        <v>145184803</v>
      </c>
      <c r="D18">
        <v>140922893</v>
      </c>
      <c r="E18">
        <v>1</v>
      </c>
      <c r="F18">
        <v>1</v>
      </c>
      <c r="G18">
        <v>1</v>
      </c>
      <c r="H18">
        <v>2</v>
      </c>
      <c r="I18" t="s">
        <v>280</v>
      </c>
      <c r="J18" t="s">
        <v>281</v>
      </c>
      <c r="K18" t="s">
        <v>282</v>
      </c>
      <c r="L18">
        <v>1367</v>
      </c>
      <c r="N18">
        <v>1011</v>
      </c>
      <c r="O18" t="s">
        <v>275</v>
      </c>
      <c r="P18" t="s">
        <v>275</v>
      </c>
      <c r="Q18">
        <v>1</v>
      </c>
      <c r="W18">
        <v>0</v>
      </c>
      <c r="X18">
        <v>-130837057</v>
      </c>
      <c r="Y18">
        <f>(AT18*1.25)</f>
        <v>0.85000000000000009</v>
      </c>
      <c r="AA18">
        <v>0</v>
      </c>
      <c r="AB18">
        <v>1126.6600000000001</v>
      </c>
      <c r="AC18">
        <v>504.36</v>
      </c>
      <c r="AD18">
        <v>0</v>
      </c>
      <c r="AE18">
        <v>0</v>
      </c>
      <c r="AF18">
        <v>86.4</v>
      </c>
      <c r="AG18">
        <v>13.5</v>
      </c>
      <c r="AH18">
        <v>0</v>
      </c>
      <c r="AI18">
        <v>1</v>
      </c>
      <c r="AJ18">
        <v>13.04</v>
      </c>
      <c r="AK18">
        <v>37.36</v>
      </c>
      <c r="AL18">
        <v>1</v>
      </c>
      <c r="AM18">
        <v>4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0.68</v>
      </c>
      <c r="AU18" t="s">
        <v>57</v>
      </c>
      <c r="AV18">
        <v>0</v>
      </c>
      <c r="AW18">
        <v>2</v>
      </c>
      <c r="AX18">
        <v>145184806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ROUND(Y18*Source!I28,9)</f>
        <v>0.81599999999999995</v>
      </c>
      <c r="CY18">
        <f>AB18</f>
        <v>1126.6600000000001</v>
      </c>
      <c r="CZ18">
        <f>AF18</f>
        <v>86.4</v>
      </c>
      <c r="DA18">
        <f>AJ18</f>
        <v>13.04</v>
      </c>
      <c r="DB18">
        <f>ROUND((ROUND(AT18*CZ18,2)*1.25),2)</f>
        <v>73.44</v>
      </c>
      <c r="DC18">
        <f>ROUND((ROUND(AT18*AG18,2)*1.25),2)</f>
        <v>11.48</v>
      </c>
      <c r="DD18" t="s">
        <v>3</v>
      </c>
      <c r="DE18" t="s">
        <v>3</v>
      </c>
      <c r="DF18">
        <f>ROUND(ROUND(AE18,2)*CX18,2)</f>
        <v>0</v>
      </c>
      <c r="DG18">
        <f>ROUND(ROUND(AF18*AJ18,2)*CX18,2)</f>
        <v>919.35</v>
      </c>
      <c r="DH18">
        <f>ROUND(ROUND(AG18*AK18,2)*CX18,2)</f>
        <v>411.56</v>
      </c>
      <c r="DI18">
        <f t="shared" si="2"/>
        <v>0</v>
      </c>
      <c r="DJ18">
        <f>DG18</f>
        <v>919.35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ROW(Source!A28)</f>
        <v>28</v>
      </c>
      <c r="B19">
        <v>145184733</v>
      </c>
      <c r="C19">
        <v>145184803</v>
      </c>
      <c r="D19">
        <v>140923105</v>
      </c>
      <c r="E19">
        <v>1</v>
      </c>
      <c r="F19">
        <v>1</v>
      </c>
      <c r="G19">
        <v>1</v>
      </c>
      <c r="H19">
        <v>2</v>
      </c>
      <c r="I19" t="s">
        <v>283</v>
      </c>
      <c r="J19" t="s">
        <v>284</v>
      </c>
      <c r="K19" t="s">
        <v>285</v>
      </c>
      <c r="L19">
        <v>1367</v>
      </c>
      <c r="N19">
        <v>1011</v>
      </c>
      <c r="O19" t="s">
        <v>275</v>
      </c>
      <c r="P19" t="s">
        <v>275</v>
      </c>
      <c r="Q19">
        <v>1</v>
      </c>
      <c r="W19">
        <v>0</v>
      </c>
      <c r="X19">
        <v>-896236776</v>
      </c>
      <c r="Y19">
        <f>(AT19*1.25)</f>
        <v>1.575</v>
      </c>
      <c r="AA19">
        <v>0</v>
      </c>
      <c r="AB19">
        <v>1173.47</v>
      </c>
      <c r="AC19">
        <v>375.84</v>
      </c>
      <c r="AD19">
        <v>0</v>
      </c>
      <c r="AE19">
        <v>0</v>
      </c>
      <c r="AF19">
        <v>89.99</v>
      </c>
      <c r="AG19">
        <v>10.06</v>
      </c>
      <c r="AH19">
        <v>0</v>
      </c>
      <c r="AI19">
        <v>1</v>
      </c>
      <c r="AJ19">
        <v>13.04</v>
      </c>
      <c r="AK19">
        <v>37.36</v>
      </c>
      <c r="AL19">
        <v>1</v>
      </c>
      <c r="AM19">
        <v>4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1.26</v>
      </c>
      <c r="AU19" t="s">
        <v>57</v>
      </c>
      <c r="AV19">
        <v>0</v>
      </c>
      <c r="AW19">
        <v>2</v>
      </c>
      <c r="AX19">
        <v>145184807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ROUND(Y19*Source!I28,9)</f>
        <v>1.512</v>
      </c>
      <c r="CY19">
        <f>AB19</f>
        <v>1173.47</v>
      </c>
      <c r="CZ19">
        <f>AF19</f>
        <v>89.99</v>
      </c>
      <c r="DA19">
        <f>AJ19</f>
        <v>13.04</v>
      </c>
      <c r="DB19">
        <f>ROUND((ROUND(AT19*CZ19,2)*1.25),2)</f>
        <v>141.74</v>
      </c>
      <c r="DC19">
        <f>ROUND((ROUND(AT19*AG19,2)*1.25),2)</f>
        <v>15.85</v>
      </c>
      <c r="DD19" t="s">
        <v>3</v>
      </c>
      <c r="DE19" t="s">
        <v>3</v>
      </c>
      <c r="DF19">
        <f>ROUND(ROUND(AE19,2)*CX19,2)</f>
        <v>0</v>
      </c>
      <c r="DG19">
        <f>ROUND(ROUND(AF19*AJ19,2)*CX19,2)</f>
        <v>1774.29</v>
      </c>
      <c r="DH19">
        <f>ROUND(ROUND(AG19*AK19,2)*CX19,2)</f>
        <v>568.27</v>
      </c>
      <c r="DI19">
        <f t="shared" si="2"/>
        <v>0</v>
      </c>
      <c r="DJ19">
        <f>DG19</f>
        <v>1774.29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ROW(Source!A28)</f>
        <v>28</v>
      </c>
      <c r="B20">
        <v>145184733</v>
      </c>
      <c r="C20">
        <v>145184803</v>
      </c>
      <c r="D20">
        <v>140923250</v>
      </c>
      <c r="E20">
        <v>1</v>
      </c>
      <c r="F20">
        <v>1</v>
      </c>
      <c r="G20">
        <v>1</v>
      </c>
      <c r="H20">
        <v>2</v>
      </c>
      <c r="I20" t="s">
        <v>286</v>
      </c>
      <c r="J20" t="s">
        <v>287</v>
      </c>
      <c r="K20" t="s">
        <v>288</v>
      </c>
      <c r="L20">
        <v>1367</v>
      </c>
      <c r="N20">
        <v>1011</v>
      </c>
      <c r="O20" t="s">
        <v>275</v>
      </c>
      <c r="P20" t="s">
        <v>275</v>
      </c>
      <c r="Q20">
        <v>1</v>
      </c>
      <c r="W20">
        <v>0</v>
      </c>
      <c r="X20">
        <v>-1841954318</v>
      </c>
      <c r="Y20">
        <f>(AT20*1.25)</f>
        <v>2.8624999999999998</v>
      </c>
      <c r="AA20">
        <v>0</v>
      </c>
      <c r="AB20">
        <v>101.32</v>
      </c>
      <c r="AC20">
        <v>0</v>
      </c>
      <c r="AD20">
        <v>0</v>
      </c>
      <c r="AE20">
        <v>0</v>
      </c>
      <c r="AF20">
        <v>7.77</v>
      </c>
      <c r="AG20">
        <v>0</v>
      </c>
      <c r="AH20">
        <v>0</v>
      </c>
      <c r="AI20">
        <v>1</v>
      </c>
      <c r="AJ20">
        <v>13.04</v>
      </c>
      <c r="AK20">
        <v>37.36</v>
      </c>
      <c r="AL20">
        <v>1</v>
      </c>
      <c r="AM20">
        <v>4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2.29</v>
      </c>
      <c r="AU20" t="s">
        <v>57</v>
      </c>
      <c r="AV20">
        <v>0</v>
      </c>
      <c r="AW20">
        <v>2</v>
      </c>
      <c r="AX20">
        <v>145184808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ROUND(Y20*Source!I28,9)</f>
        <v>2.7480000000000002</v>
      </c>
      <c r="CY20">
        <f>AB20</f>
        <v>101.32</v>
      </c>
      <c r="CZ20">
        <f>AF20</f>
        <v>7.77</v>
      </c>
      <c r="DA20">
        <f>AJ20</f>
        <v>13.04</v>
      </c>
      <c r="DB20">
        <f>ROUND((ROUND(AT20*CZ20,2)*1.25),2)</f>
        <v>22.24</v>
      </c>
      <c r="DC20">
        <f>ROUND((ROUND(AT20*AG20,2)*1.25),2)</f>
        <v>0</v>
      </c>
      <c r="DD20" t="s">
        <v>3</v>
      </c>
      <c r="DE20" t="s">
        <v>3</v>
      </c>
      <c r="DF20">
        <f>ROUND(ROUND(AE20,2)*CX20,2)</f>
        <v>0</v>
      </c>
      <c r="DG20">
        <f>ROUND(ROUND(AF20*AJ20,2)*CX20,2)</f>
        <v>278.43</v>
      </c>
      <c r="DH20">
        <f>ROUND(ROUND(AG20*AK20,2)*CX20,2)</f>
        <v>0</v>
      </c>
      <c r="DI20">
        <f t="shared" si="2"/>
        <v>0</v>
      </c>
      <c r="DJ20">
        <f>DG20</f>
        <v>278.43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ROW(Source!A28)</f>
        <v>28</v>
      </c>
      <c r="B21">
        <v>145184733</v>
      </c>
      <c r="C21">
        <v>145184803</v>
      </c>
      <c r="D21">
        <v>140772680</v>
      </c>
      <c r="E21">
        <v>1</v>
      </c>
      <c r="F21">
        <v>1</v>
      </c>
      <c r="G21">
        <v>1</v>
      </c>
      <c r="H21">
        <v>3</v>
      </c>
      <c r="I21" t="s">
        <v>289</v>
      </c>
      <c r="J21" t="s">
        <v>290</v>
      </c>
      <c r="K21" t="s">
        <v>291</v>
      </c>
      <c r="L21">
        <v>1339</v>
      </c>
      <c r="N21">
        <v>1007</v>
      </c>
      <c r="O21" t="s">
        <v>68</v>
      </c>
      <c r="P21" t="s">
        <v>68</v>
      </c>
      <c r="Q21">
        <v>1</v>
      </c>
      <c r="W21">
        <v>0</v>
      </c>
      <c r="X21">
        <v>-143474561</v>
      </c>
      <c r="Y21">
        <f>AT21</f>
        <v>3.85</v>
      </c>
      <c r="AA21">
        <v>20.28</v>
      </c>
      <c r="AB21">
        <v>0</v>
      </c>
      <c r="AC21">
        <v>0</v>
      </c>
      <c r="AD21">
        <v>0</v>
      </c>
      <c r="AE21">
        <v>2.44</v>
      </c>
      <c r="AF21">
        <v>0</v>
      </c>
      <c r="AG21">
        <v>0</v>
      </c>
      <c r="AH21">
        <v>0</v>
      </c>
      <c r="AI21">
        <v>8.31</v>
      </c>
      <c r="AJ21">
        <v>1</v>
      </c>
      <c r="AK21">
        <v>1</v>
      </c>
      <c r="AL21">
        <v>1</v>
      </c>
      <c r="AM21">
        <v>4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3.85</v>
      </c>
      <c r="AU21" t="s">
        <v>3</v>
      </c>
      <c r="AV21">
        <v>0</v>
      </c>
      <c r="AW21">
        <v>2</v>
      </c>
      <c r="AX21">
        <v>145184809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ROUND(Y21*Source!I28,9)</f>
        <v>3.6960000000000002</v>
      </c>
      <c r="CY21">
        <f>AA21</f>
        <v>20.28</v>
      </c>
      <c r="CZ21">
        <f>AE21</f>
        <v>2.44</v>
      </c>
      <c r="DA21">
        <f>AI21</f>
        <v>8.31</v>
      </c>
      <c r="DB21">
        <f>ROUND(ROUND(AT21*CZ21,2),2)</f>
        <v>9.39</v>
      </c>
      <c r="DC21">
        <f>ROUND(ROUND(AT21*AG21,2),2)</f>
        <v>0</v>
      </c>
      <c r="DD21" t="s">
        <v>3</v>
      </c>
      <c r="DE21" t="s">
        <v>3</v>
      </c>
      <c r="DF21">
        <f>ROUND(ROUND(AE21*AI21,2)*CX21,2)</f>
        <v>74.95</v>
      </c>
      <c r="DG21">
        <f>ROUND(ROUND(AF21,2)*CX21,2)</f>
        <v>0</v>
      </c>
      <c r="DH21">
        <f>ROUND(ROUND(AG21,2)*CX21,2)</f>
        <v>0</v>
      </c>
      <c r="DI21">
        <f t="shared" si="2"/>
        <v>0</v>
      </c>
      <c r="DJ21">
        <f>DF21</f>
        <v>74.95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ROW(Source!A28)</f>
        <v>28</v>
      </c>
      <c r="B22">
        <v>145184733</v>
      </c>
      <c r="C22">
        <v>145184803</v>
      </c>
      <c r="D22">
        <v>140761125</v>
      </c>
      <c r="E22">
        <v>70</v>
      </c>
      <c r="F22">
        <v>1</v>
      </c>
      <c r="G22">
        <v>1</v>
      </c>
      <c r="H22">
        <v>3</v>
      </c>
      <c r="I22" t="s">
        <v>292</v>
      </c>
      <c r="J22" t="s">
        <v>3</v>
      </c>
      <c r="K22" t="s">
        <v>293</v>
      </c>
      <c r="L22">
        <v>1339</v>
      </c>
      <c r="N22">
        <v>1007</v>
      </c>
      <c r="O22" t="s">
        <v>68</v>
      </c>
      <c r="P22" t="s">
        <v>68</v>
      </c>
      <c r="Q22">
        <v>1</v>
      </c>
      <c r="W22">
        <v>0</v>
      </c>
      <c r="X22">
        <v>-2113302258</v>
      </c>
      <c r="Y22">
        <f>AT22</f>
        <v>1.53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8.31</v>
      </c>
      <c r="AJ22">
        <v>1</v>
      </c>
      <c r="AK22">
        <v>1</v>
      </c>
      <c r="AL22">
        <v>1</v>
      </c>
      <c r="AM22">
        <v>4</v>
      </c>
      <c r="AN22">
        <v>0</v>
      </c>
      <c r="AO22">
        <v>0</v>
      </c>
      <c r="AP22">
        <v>1</v>
      </c>
      <c r="AQ22">
        <v>0</v>
      </c>
      <c r="AR22">
        <v>0</v>
      </c>
      <c r="AS22" t="s">
        <v>3</v>
      </c>
      <c r="AT22">
        <v>1.53</v>
      </c>
      <c r="AU22" t="s">
        <v>3</v>
      </c>
      <c r="AV22">
        <v>0</v>
      </c>
      <c r="AW22">
        <v>2</v>
      </c>
      <c r="AX22">
        <v>145184810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ROUND(Y22*Source!I28,9)</f>
        <v>1.4688000000000001</v>
      </c>
      <c r="CY22">
        <f>AA22</f>
        <v>0</v>
      </c>
      <c r="CZ22">
        <f>AE22</f>
        <v>0</v>
      </c>
      <c r="DA22">
        <f>AI22</f>
        <v>8.31</v>
      </c>
      <c r="DB22">
        <f>ROUND(ROUND(AT22*CZ22,2),2)</f>
        <v>0</v>
      </c>
      <c r="DC22">
        <f>ROUND(ROUND(AT22*AG22,2),2)</f>
        <v>0</v>
      </c>
      <c r="DD22" t="s">
        <v>3</v>
      </c>
      <c r="DE22" t="s">
        <v>3</v>
      </c>
      <c r="DF22">
        <f>ROUND(ROUND(AE22*AI22,2)*CX22,2)</f>
        <v>0</v>
      </c>
      <c r="DG22">
        <f>ROUND(ROUND(AF22,2)*CX22,2)</f>
        <v>0</v>
      </c>
      <c r="DH22">
        <f>ROUND(ROUND(AG22,2)*CX22,2)</f>
        <v>0</v>
      </c>
      <c r="DI22">
        <f t="shared" si="2"/>
        <v>0</v>
      </c>
      <c r="DJ22">
        <f>DF22</f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ROW(Source!A28)</f>
        <v>28</v>
      </c>
      <c r="B23">
        <v>145184733</v>
      </c>
      <c r="C23">
        <v>145184803</v>
      </c>
      <c r="D23">
        <v>140798958</v>
      </c>
      <c r="E23">
        <v>1</v>
      </c>
      <c r="F23">
        <v>1</v>
      </c>
      <c r="G23">
        <v>1</v>
      </c>
      <c r="H23">
        <v>3</v>
      </c>
      <c r="I23" t="s">
        <v>294</v>
      </c>
      <c r="J23" t="s">
        <v>295</v>
      </c>
      <c r="K23" t="s">
        <v>296</v>
      </c>
      <c r="L23">
        <v>1327</v>
      </c>
      <c r="N23">
        <v>1005</v>
      </c>
      <c r="O23" t="s">
        <v>73</v>
      </c>
      <c r="P23" t="s">
        <v>73</v>
      </c>
      <c r="Q23">
        <v>1</v>
      </c>
      <c r="W23">
        <v>0</v>
      </c>
      <c r="X23">
        <v>1282098800</v>
      </c>
      <c r="Y23">
        <f>AT23</f>
        <v>4.4000000000000004</v>
      </c>
      <c r="AA23">
        <v>51.52</v>
      </c>
      <c r="AB23">
        <v>0</v>
      </c>
      <c r="AC23">
        <v>0</v>
      </c>
      <c r="AD23">
        <v>0</v>
      </c>
      <c r="AE23">
        <v>6.2</v>
      </c>
      <c r="AF23">
        <v>0</v>
      </c>
      <c r="AG23">
        <v>0</v>
      </c>
      <c r="AH23">
        <v>0</v>
      </c>
      <c r="AI23">
        <v>8.31</v>
      </c>
      <c r="AJ23">
        <v>1</v>
      </c>
      <c r="AK23">
        <v>1</v>
      </c>
      <c r="AL23">
        <v>1</v>
      </c>
      <c r="AM23">
        <v>4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4.4000000000000004</v>
      </c>
      <c r="AU23" t="s">
        <v>3</v>
      </c>
      <c r="AV23">
        <v>0</v>
      </c>
      <c r="AW23">
        <v>2</v>
      </c>
      <c r="AX23">
        <v>145184811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ROUND(Y23*Source!I28,9)</f>
        <v>4.2240000000000002</v>
      </c>
      <c r="CY23">
        <f>AA23</f>
        <v>51.52</v>
      </c>
      <c r="CZ23">
        <f>AE23</f>
        <v>6.2</v>
      </c>
      <c r="DA23">
        <f>AI23</f>
        <v>8.31</v>
      </c>
      <c r="DB23">
        <f>ROUND(ROUND(AT23*CZ23,2),2)</f>
        <v>27.28</v>
      </c>
      <c r="DC23">
        <f>ROUND(ROUND(AT23*AG23,2),2)</f>
        <v>0</v>
      </c>
      <c r="DD23" t="s">
        <v>3</v>
      </c>
      <c r="DE23" t="s">
        <v>3</v>
      </c>
      <c r="DF23">
        <f>ROUND(ROUND(AE23*AI23,2)*CX23,2)</f>
        <v>217.62</v>
      </c>
      <c r="DG23">
        <f>ROUND(ROUND(AF23,2)*CX23,2)</f>
        <v>0</v>
      </c>
      <c r="DH23">
        <f>ROUND(ROUND(AG23,2)*CX23,2)</f>
        <v>0</v>
      </c>
      <c r="DI23">
        <f t="shared" si="2"/>
        <v>0</v>
      </c>
      <c r="DJ23">
        <f>DF23</f>
        <v>217.62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ROW(Source!A29)</f>
        <v>29</v>
      </c>
      <c r="B24">
        <v>145184733</v>
      </c>
      <c r="C24">
        <v>145184812</v>
      </c>
      <c r="D24">
        <v>140759982</v>
      </c>
      <c r="E24">
        <v>70</v>
      </c>
      <c r="F24">
        <v>1</v>
      </c>
      <c r="G24">
        <v>1</v>
      </c>
      <c r="H24">
        <v>1</v>
      </c>
      <c r="I24" t="s">
        <v>276</v>
      </c>
      <c r="J24" t="s">
        <v>3</v>
      </c>
      <c r="K24" t="s">
        <v>277</v>
      </c>
      <c r="L24">
        <v>1191</v>
      </c>
      <c r="N24">
        <v>1013</v>
      </c>
      <c r="O24" t="s">
        <v>271</v>
      </c>
      <c r="P24" t="s">
        <v>271</v>
      </c>
      <c r="Q24">
        <v>1</v>
      </c>
      <c r="W24">
        <v>0</v>
      </c>
      <c r="X24">
        <v>-983457869</v>
      </c>
      <c r="Y24">
        <f>((AT24*1.15)*35)</f>
        <v>40.25</v>
      </c>
      <c r="AA24">
        <v>0</v>
      </c>
      <c r="AB24">
        <v>0</v>
      </c>
      <c r="AC24">
        <v>0</v>
      </c>
      <c r="AD24">
        <v>322.79000000000002</v>
      </c>
      <c r="AE24">
        <v>0</v>
      </c>
      <c r="AF24">
        <v>0</v>
      </c>
      <c r="AG24">
        <v>0</v>
      </c>
      <c r="AH24">
        <v>8.64</v>
      </c>
      <c r="AI24">
        <v>1</v>
      </c>
      <c r="AJ24">
        <v>1</v>
      </c>
      <c r="AK24">
        <v>1</v>
      </c>
      <c r="AL24">
        <v>37.36</v>
      </c>
      <c r="AM24">
        <v>4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</v>
      </c>
      <c r="AU24" t="s">
        <v>64</v>
      </c>
      <c r="AV24">
        <v>1</v>
      </c>
      <c r="AW24">
        <v>2</v>
      </c>
      <c r="AX24">
        <v>145184813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ROUND(Y24*Source!I29,9)</f>
        <v>38.64</v>
      </c>
      <c r="CY24">
        <f>AD24</f>
        <v>322.79000000000002</v>
      </c>
      <c r="CZ24">
        <f>AH24</f>
        <v>8.64</v>
      </c>
      <c r="DA24">
        <f>AL24</f>
        <v>37.36</v>
      </c>
      <c r="DB24">
        <f>ROUND(((ROUND(AT24*CZ24,2)*1.15)*35),2)</f>
        <v>347.76</v>
      </c>
      <c r="DC24">
        <f>ROUND(((ROUND(AT24*AG24,2)*1.15)*35),2)</f>
        <v>0</v>
      </c>
      <c r="DD24" t="s">
        <v>3</v>
      </c>
      <c r="DE24" t="s">
        <v>3</v>
      </c>
      <c r="DF24">
        <f>ROUND(ROUND(AE24,2)*CX24,2)</f>
        <v>0</v>
      </c>
      <c r="DG24">
        <f>ROUND(ROUND(AF24,2)*CX24,2)</f>
        <v>0</v>
      </c>
      <c r="DH24">
        <f>ROUND(ROUND(AG24,2)*CX24,2)</f>
        <v>0</v>
      </c>
      <c r="DI24">
        <f>ROUND(ROUND(AH24*AL24,2)*CX24,2)</f>
        <v>12472.61</v>
      </c>
      <c r="DJ24">
        <f>DI24</f>
        <v>12472.61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ROW(Source!A29)</f>
        <v>29</v>
      </c>
      <c r="B25">
        <v>145184733</v>
      </c>
      <c r="C25">
        <v>145184812</v>
      </c>
      <c r="D25">
        <v>140760225</v>
      </c>
      <c r="E25">
        <v>70</v>
      </c>
      <c r="F25">
        <v>1</v>
      </c>
      <c r="G25">
        <v>1</v>
      </c>
      <c r="H25">
        <v>1</v>
      </c>
      <c r="I25" t="s">
        <v>278</v>
      </c>
      <c r="J25" t="s">
        <v>3</v>
      </c>
      <c r="K25" t="s">
        <v>279</v>
      </c>
      <c r="L25">
        <v>1191</v>
      </c>
      <c r="N25">
        <v>1013</v>
      </c>
      <c r="O25" t="s">
        <v>271</v>
      </c>
      <c r="P25" t="s">
        <v>271</v>
      </c>
      <c r="Q25">
        <v>1</v>
      </c>
      <c r="W25">
        <v>0</v>
      </c>
      <c r="X25">
        <v>-1417349443</v>
      </c>
      <c r="Y25">
        <f>((AT25*1.25)*35)</f>
        <v>1.3125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37.36</v>
      </c>
      <c r="AL25">
        <v>1</v>
      </c>
      <c r="AM25">
        <v>4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0.03</v>
      </c>
      <c r="AU25" t="s">
        <v>63</v>
      </c>
      <c r="AV25">
        <v>2</v>
      </c>
      <c r="AW25">
        <v>2</v>
      </c>
      <c r="AX25">
        <v>145184814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ROUND(Y25*Source!I29,9)</f>
        <v>1.26</v>
      </c>
      <c r="CY25">
        <f>AD25</f>
        <v>0</v>
      </c>
      <c r="CZ25">
        <f>AH25</f>
        <v>0</v>
      </c>
      <c r="DA25">
        <f>AL25</f>
        <v>1</v>
      </c>
      <c r="DB25">
        <f>ROUND(((ROUND(AT25*CZ25,2)*1.25)*35),2)</f>
        <v>0</v>
      </c>
      <c r="DC25">
        <f>ROUND(((ROUND(AT25*AG25,2)*1.25)*35),2)</f>
        <v>0</v>
      </c>
      <c r="DD25" t="s">
        <v>3</v>
      </c>
      <c r="DE25" t="s">
        <v>3</v>
      </c>
      <c r="DF25">
        <f>ROUND(ROUND(AE25,2)*CX25,2)</f>
        <v>0</v>
      </c>
      <c r="DG25">
        <f>ROUND(ROUND(AF25,2)*CX25,2)</f>
        <v>0</v>
      </c>
      <c r="DH25">
        <f>ROUND(ROUND(AG25*AK25,2)*CX25,2)</f>
        <v>0</v>
      </c>
      <c r="DI25">
        <f>ROUND(ROUND(AH25,2)*CX25,2)</f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ROW(Source!A29)</f>
        <v>29</v>
      </c>
      <c r="B26">
        <v>145184733</v>
      </c>
      <c r="C26">
        <v>145184812</v>
      </c>
      <c r="D26">
        <v>140922893</v>
      </c>
      <c r="E26">
        <v>1</v>
      </c>
      <c r="F26">
        <v>1</v>
      </c>
      <c r="G26">
        <v>1</v>
      </c>
      <c r="H26">
        <v>2</v>
      </c>
      <c r="I26" t="s">
        <v>280</v>
      </c>
      <c r="J26" t="s">
        <v>281</v>
      </c>
      <c r="K26" t="s">
        <v>282</v>
      </c>
      <c r="L26">
        <v>1367</v>
      </c>
      <c r="N26">
        <v>1011</v>
      </c>
      <c r="O26" t="s">
        <v>275</v>
      </c>
      <c r="P26" t="s">
        <v>275</v>
      </c>
      <c r="Q26">
        <v>1</v>
      </c>
      <c r="W26">
        <v>0</v>
      </c>
      <c r="X26">
        <v>-130837057</v>
      </c>
      <c r="Y26">
        <f>((AT26*1.25)*35)</f>
        <v>0.4375</v>
      </c>
      <c r="AA26">
        <v>0</v>
      </c>
      <c r="AB26">
        <v>1126.6600000000001</v>
      </c>
      <c r="AC26">
        <v>504.36</v>
      </c>
      <c r="AD26">
        <v>0</v>
      </c>
      <c r="AE26">
        <v>0</v>
      </c>
      <c r="AF26">
        <v>86.4</v>
      </c>
      <c r="AG26">
        <v>13.5</v>
      </c>
      <c r="AH26">
        <v>0</v>
      </c>
      <c r="AI26">
        <v>1</v>
      </c>
      <c r="AJ26">
        <v>13.04</v>
      </c>
      <c r="AK26">
        <v>37.36</v>
      </c>
      <c r="AL26">
        <v>1</v>
      </c>
      <c r="AM26">
        <v>4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0.01</v>
      </c>
      <c r="AU26" t="s">
        <v>63</v>
      </c>
      <c r="AV26">
        <v>0</v>
      </c>
      <c r="AW26">
        <v>2</v>
      </c>
      <c r="AX26">
        <v>145184815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ROUND(Y26*Source!I29,9)</f>
        <v>0.42</v>
      </c>
      <c r="CY26">
        <f>AB26</f>
        <v>1126.6600000000001</v>
      </c>
      <c r="CZ26">
        <f>AF26</f>
        <v>86.4</v>
      </c>
      <c r="DA26">
        <f>AJ26</f>
        <v>13.04</v>
      </c>
      <c r="DB26">
        <f>ROUND(((ROUND(AT26*CZ26,2)*1.25)*35),2)</f>
        <v>37.630000000000003</v>
      </c>
      <c r="DC26">
        <f>ROUND(((ROUND(AT26*AG26,2)*1.25)*35),2)</f>
        <v>6.13</v>
      </c>
      <c r="DD26" t="s">
        <v>3</v>
      </c>
      <c r="DE26" t="s">
        <v>3</v>
      </c>
      <c r="DF26">
        <f>ROUND(ROUND(AE26,2)*CX26,2)</f>
        <v>0</v>
      </c>
      <c r="DG26">
        <f>ROUND(ROUND(AF26*AJ26,2)*CX26,2)</f>
        <v>473.2</v>
      </c>
      <c r="DH26">
        <f>ROUND(ROUND(AG26*AK26,2)*CX26,2)</f>
        <v>211.83</v>
      </c>
      <c r="DI26">
        <f>ROUND(ROUND(AH26,2)*CX26,2)</f>
        <v>0</v>
      </c>
      <c r="DJ26">
        <f>DG26</f>
        <v>473.2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ROW(Source!A29)</f>
        <v>29</v>
      </c>
      <c r="B27">
        <v>145184733</v>
      </c>
      <c r="C27">
        <v>145184812</v>
      </c>
      <c r="D27">
        <v>140923105</v>
      </c>
      <c r="E27">
        <v>1</v>
      </c>
      <c r="F27">
        <v>1</v>
      </c>
      <c r="G27">
        <v>1</v>
      </c>
      <c r="H27">
        <v>2</v>
      </c>
      <c r="I27" t="s">
        <v>283</v>
      </c>
      <c r="J27" t="s">
        <v>284</v>
      </c>
      <c r="K27" t="s">
        <v>285</v>
      </c>
      <c r="L27">
        <v>1367</v>
      </c>
      <c r="N27">
        <v>1011</v>
      </c>
      <c r="O27" t="s">
        <v>275</v>
      </c>
      <c r="P27" t="s">
        <v>275</v>
      </c>
      <c r="Q27">
        <v>1</v>
      </c>
      <c r="W27">
        <v>0</v>
      </c>
      <c r="X27">
        <v>-896236776</v>
      </c>
      <c r="Y27">
        <f>((AT27*1.25)*35)</f>
        <v>0.875</v>
      </c>
      <c r="AA27">
        <v>0</v>
      </c>
      <c r="AB27">
        <v>1173.47</v>
      </c>
      <c r="AC27">
        <v>375.84</v>
      </c>
      <c r="AD27">
        <v>0</v>
      </c>
      <c r="AE27">
        <v>0</v>
      </c>
      <c r="AF27">
        <v>89.99</v>
      </c>
      <c r="AG27">
        <v>10.06</v>
      </c>
      <c r="AH27">
        <v>0</v>
      </c>
      <c r="AI27">
        <v>1</v>
      </c>
      <c r="AJ27">
        <v>13.04</v>
      </c>
      <c r="AK27">
        <v>37.36</v>
      </c>
      <c r="AL27">
        <v>1</v>
      </c>
      <c r="AM27">
        <v>4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0.02</v>
      </c>
      <c r="AU27" t="s">
        <v>63</v>
      </c>
      <c r="AV27">
        <v>0</v>
      </c>
      <c r="AW27">
        <v>2</v>
      </c>
      <c r="AX27">
        <v>145184816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ROUND(Y27*Source!I29,9)</f>
        <v>0.84</v>
      </c>
      <c r="CY27">
        <f>AB27</f>
        <v>1173.47</v>
      </c>
      <c r="CZ27">
        <f>AF27</f>
        <v>89.99</v>
      </c>
      <c r="DA27">
        <f>AJ27</f>
        <v>13.04</v>
      </c>
      <c r="DB27">
        <f>ROUND(((ROUND(AT27*CZ27,2)*1.25)*35),2)</f>
        <v>78.75</v>
      </c>
      <c r="DC27">
        <f>ROUND(((ROUND(AT27*AG27,2)*1.25)*35),2)</f>
        <v>8.75</v>
      </c>
      <c r="DD27" t="s">
        <v>3</v>
      </c>
      <c r="DE27" t="s">
        <v>3</v>
      </c>
      <c r="DF27">
        <f>ROUND(ROUND(AE27,2)*CX27,2)</f>
        <v>0</v>
      </c>
      <c r="DG27">
        <f>ROUND(ROUND(AF27*AJ27,2)*CX27,2)</f>
        <v>985.71</v>
      </c>
      <c r="DH27">
        <f>ROUND(ROUND(AG27*AK27,2)*CX27,2)</f>
        <v>315.70999999999998</v>
      </c>
      <c r="DI27">
        <f>ROUND(ROUND(AH27,2)*CX27,2)</f>
        <v>0</v>
      </c>
      <c r="DJ27">
        <f>DG27</f>
        <v>985.71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ROW(Source!A29)</f>
        <v>29</v>
      </c>
      <c r="B28">
        <v>145184733</v>
      </c>
      <c r="C28">
        <v>145184812</v>
      </c>
      <c r="D28">
        <v>140761125</v>
      </c>
      <c r="E28">
        <v>70</v>
      </c>
      <c r="F28">
        <v>1</v>
      </c>
      <c r="G28">
        <v>1</v>
      </c>
      <c r="H28">
        <v>3</v>
      </c>
      <c r="I28" t="s">
        <v>292</v>
      </c>
      <c r="J28" t="s">
        <v>3</v>
      </c>
      <c r="K28" t="s">
        <v>293</v>
      </c>
      <c r="L28">
        <v>1339</v>
      </c>
      <c r="N28">
        <v>1007</v>
      </c>
      <c r="O28" t="s">
        <v>68</v>
      </c>
      <c r="P28" t="s">
        <v>68</v>
      </c>
      <c r="Q28">
        <v>1</v>
      </c>
      <c r="W28">
        <v>0</v>
      </c>
      <c r="X28">
        <v>-2113302258</v>
      </c>
      <c r="Y28">
        <f>(AT28*35)</f>
        <v>3.57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8.31</v>
      </c>
      <c r="AJ28">
        <v>1</v>
      </c>
      <c r="AK28">
        <v>1</v>
      </c>
      <c r="AL28">
        <v>1</v>
      </c>
      <c r="AM28">
        <v>4</v>
      </c>
      <c r="AN28">
        <v>0</v>
      </c>
      <c r="AO28">
        <v>0</v>
      </c>
      <c r="AP28">
        <v>1</v>
      </c>
      <c r="AQ28">
        <v>0</v>
      </c>
      <c r="AR28">
        <v>0</v>
      </c>
      <c r="AS28" t="s">
        <v>3</v>
      </c>
      <c r="AT28">
        <v>0.10199999999999999</v>
      </c>
      <c r="AU28" t="s">
        <v>45</v>
      </c>
      <c r="AV28">
        <v>0</v>
      </c>
      <c r="AW28">
        <v>2</v>
      </c>
      <c r="AX28">
        <v>145184817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ROUND(Y28*Source!I29,9)</f>
        <v>3.4272</v>
      </c>
      <c r="CY28">
        <f>AA28</f>
        <v>0</v>
      </c>
      <c r="CZ28">
        <f>AE28</f>
        <v>0</v>
      </c>
      <c r="DA28">
        <f>AI28</f>
        <v>8.31</v>
      </c>
      <c r="DB28">
        <f>ROUND((ROUND(AT28*CZ28,2)*35),2)</f>
        <v>0</v>
      </c>
      <c r="DC28">
        <f>ROUND((ROUND(AT28*AG28,2)*35),2)</f>
        <v>0</v>
      </c>
      <c r="DD28" t="s">
        <v>3</v>
      </c>
      <c r="DE28" t="s">
        <v>3</v>
      </c>
      <c r="DF28">
        <f>ROUND(ROUND(AE28*AI28,2)*CX28,2)</f>
        <v>0</v>
      </c>
      <c r="DG28">
        <f>ROUND(ROUND(AF28,2)*CX28,2)</f>
        <v>0</v>
      </c>
      <c r="DH28">
        <f>ROUND(ROUND(AG28,2)*CX28,2)</f>
        <v>0</v>
      </c>
      <c r="DI28">
        <f>ROUND(ROUND(AH28,2)*CX28,2)</f>
        <v>0</v>
      </c>
      <c r="DJ28">
        <f>DF28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ROW(Source!A31)</f>
        <v>31</v>
      </c>
      <c r="B29">
        <v>145184733</v>
      </c>
      <c r="C29">
        <v>145184876</v>
      </c>
      <c r="D29">
        <v>140760051</v>
      </c>
      <c r="E29">
        <v>70</v>
      </c>
      <c r="F29">
        <v>1</v>
      </c>
      <c r="G29">
        <v>1</v>
      </c>
      <c r="H29">
        <v>1</v>
      </c>
      <c r="I29" t="s">
        <v>297</v>
      </c>
      <c r="J29" t="s">
        <v>3</v>
      </c>
      <c r="K29" t="s">
        <v>298</v>
      </c>
      <c r="L29">
        <v>1191</v>
      </c>
      <c r="N29">
        <v>1013</v>
      </c>
      <c r="O29" t="s">
        <v>271</v>
      </c>
      <c r="P29" t="s">
        <v>271</v>
      </c>
      <c r="Q29">
        <v>1</v>
      </c>
      <c r="W29">
        <v>0</v>
      </c>
      <c r="X29">
        <v>-632984526</v>
      </c>
      <c r="Y29">
        <f>AT29</f>
        <v>1.08</v>
      </c>
      <c r="AA29">
        <v>0</v>
      </c>
      <c r="AB29">
        <v>0</v>
      </c>
      <c r="AC29">
        <v>0</v>
      </c>
      <c r="AD29">
        <v>381.45</v>
      </c>
      <c r="AE29">
        <v>0</v>
      </c>
      <c r="AF29">
        <v>0</v>
      </c>
      <c r="AG29">
        <v>0</v>
      </c>
      <c r="AH29">
        <v>10.210000000000001</v>
      </c>
      <c r="AI29">
        <v>1</v>
      </c>
      <c r="AJ29">
        <v>1</v>
      </c>
      <c r="AK29">
        <v>1</v>
      </c>
      <c r="AL29">
        <v>37.36</v>
      </c>
      <c r="AM29">
        <v>4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1.08</v>
      </c>
      <c r="AU29" t="s">
        <v>3</v>
      </c>
      <c r="AV29">
        <v>1</v>
      </c>
      <c r="AW29">
        <v>2</v>
      </c>
      <c r="AX29">
        <v>145184877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ROUND(Y29*Source!I31,9)</f>
        <v>933.12</v>
      </c>
      <c r="CY29">
        <f>AD29</f>
        <v>381.45</v>
      </c>
      <c r="CZ29">
        <f>AH29</f>
        <v>10.210000000000001</v>
      </c>
      <c r="DA29">
        <f>AL29</f>
        <v>37.36</v>
      </c>
      <c r="DB29">
        <f>ROUND(ROUND(AT29*CZ29,2),2)</f>
        <v>11.03</v>
      </c>
      <c r="DC29">
        <f>ROUND(ROUND(AT29*AG29,2),2)</f>
        <v>0</v>
      </c>
      <c r="DD29" t="s">
        <v>3</v>
      </c>
      <c r="DE29" t="s">
        <v>3</v>
      </c>
      <c r="DF29">
        <f>ROUND(ROUND(AE29,2)*CX29,2)</f>
        <v>0</v>
      </c>
      <c r="DG29">
        <f>ROUND(ROUND(AF29,2)*CX29,2)</f>
        <v>0</v>
      </c>
      <c r="DH29">
        <f>ROUND(ROUND(AG29,2)*CX29,2)</f>
        <v>0</v>
      </c>
      <c r="DI29">
        <f>ROUND(ROUND(AH29*AL29,2)*CX29,2)</f>
        <v>355938.62</v>
      </c>
      <c r="DJ29">
        <f>DI29</f>
        <v>355938.62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ROW(Source!A31)</f>
        <v>31</v>
      </c>
      <c r="B30">
        <v>145184733</v>
      </c>
      <c r="C30">
        <v>145184876</v>
      </c>
      <c r="D30">
        <v>140924682</v>
      </c>
      <c r="E30">
        <v>1</v>
      </c>
      <c r="F30">
        <v>1</v>
      </c>
      <c r="G30">
        <v>1</v>
      </c>
      <c r="H30">
        <v>2</v>
      </c>
      <c r="I30" t="s">
        <v>299</v>
      </c>
      <c r="J30" t="s">
        <v>300</v>
      </c>
      <c r="K30" t="s">
        <v>301</v>
      </c>
      <c r="L30">
        <v>1367</v>
      </c>
      <c r="N30">
        <v>1011</v>
      </c>
      <c r="O30" t="s">
        <v>275</v>
      </c>
      <c r="P30" t="s">
        <v>275</v>
      </c>
      <c r="Q30">
        <v>1</v>
      </c>
      <c r="W30">
        <v>0</v>
      </c>
      <c r="X30">
        <v>351354655</v>
      </c>
      <c r="Y30">
        <f>AT30</f>
        <v>0.09</v>
      </c>
      <c r="AA30">
        <v>0</v>
      </c>
      <c r="AB30">
        <v>237.46</v>
      </c>
      <c r="AC30">
        <v>0</v>
      </c>
      <c r="AD30">
        <v>0</v>
      </c>
      <c r="AE30">
        <v>0</v>
      </c>
      <c r="AF30">
        <v>18.21</v>
      </c>
      <c r="AG30">
        <v>0</v>
      </c>
      <c r="AH30">
        <v>0</v>
      </c>
      <c r="AI30">
        <v>1</v>
      </c>
      <c r="AJ30">
        <v>13.04</v>
      </c>
      <c r="AK30">
        <v>37.36</v>
      </c>
      <c r="AL30">
        <v>1</v>
      </c>
      <c r="AM30">
        <v>4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0.09</v>
      </c>
      <c r="AU30" t="s">
        <v>3</v>
      </c>
      <c r="AV30">
        <v>0</v>
      </c>
      <c r="AW30">
        <v>2</v>
      </c>
      <c r="AX30">
        <v>145184878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ROUND(Y30*Source!I31,9)</f>
        <v>77.760000000000005</v>
      </c>
      <c r="CY30">
        <f>AB30</f>
        <v>237.46</v>
      </c>
      <c r="CZ30">
        <f>AF30</f>
        <v>18.21</v>
      </c>
      <c r="DA30">
        <f>AJ30</f>
        <v>13.04</v>
      </c>
      <c r="DB30">
        <f>ROUND(ROUND(AT30*CZ30,2),2)</f>
        <v>1.64</v>
      </c>
      <c r="DC30">
        <f>ROUND(ROUND(AT30*AG30,2),2)</f>
        <v>0</v>
      </c>
      <c r="DD30" t="s">
        <v>3</v>
      </c>
      <c r="DE30" t="s">
        <v>3</v>
      </c>
      <c r="DF30">
        <f>ROUND(ROUND(AE30,2)*CX30,2)</f>
        <v>0</v>
      </c>
      <c r="DG30">
        <f>ROUND(ROUND(AF30*AJ30,2)*CX30,2)</f>
        <v>18464.89</v>
      </c>
      <c r="DH30">
        <f>ROUND(ROUND(AG30*AK30,2)*CX30,2)</f>
        <v>0</v>
      </c>
      <c r="DI30">
        <f>ROUND(ROUND(AH30,2)*CX30,2)</f>
        <v>0</v>
      </c>
      <c r="DJ30">
        <f>DG30</f>
        <v>18464.89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ROW(Source!A31)</f>
        <v>31</v>
      </c>
      <c r="B31">
        <v>145184733</v>
      </c>
      <c r="C31">
        <v>145184876</v>
      </c>
      <c r="D31">
        <v>140770712</v>
      </c>
      <c r="E31">
        <v>1</v>
      </c>
      <c r="F31">
        <v>1</v>
      </c>
      <c r="G31">
        <v>1</v>
      </c>
      <c r="H31">
        <v>3</v>
      </c>
      <c r="I31" t="s">
        <v>302</v>
      </c>
      <c r="J31" t="s">
        <v>303</v>
      </c>
      <c r="K31" t="s">
        <v>304</v>
      </c>
      <c r="L31">
        <v>1348</v>
      </c>
      <c r="N31">
        <v>1009</v>
      </c>
      <c r="O31" t="s">
        <v>88</v>
      </c>
      <c r="P31" t="s">
        <v>88</v>
      </c>
      <c r="Q31">
        <v>1000</v>
      </c>
      <c r="W31">
        <v>0</v>
      </c>
      <c r="X31">
        <v>-1164543382</v>
      </c>
      <c r="Y31">
        <f>AT31</f>
        <v>2.3E-3</v>
      </c>
      <c r="AA31">
        <v>12714.3</v>
      </c>
      <c r="AB31">
        <v>0</v>
      </c>
      <c r="AC31">
        <v>0</v>
      </c>
      <c r="AD31">
        <v>0</v>
      </c>
      <c r="AE31">
        <v>1530</v>
      </c>
      <c r="AF31">
        <v>0</v>
      </c>
      <c r="AG31">
        <v>0</v>
      </c>
      <c r="AH31">
        <v>0</v>
      </c>
      <c r="AI31">
        <v>8.31</v>
      </c>
      <c r="AJ31">
        <v>1</v>
      </c>
      <c r="AK31">
        <v>1</v>
      </c>
      <c r="AL31">
        <v>1</v>
      </c>
      <c r="AM31">
        <v>4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2.3E-3</v>
      </c>
      <c r="AU31" t="s">
        <v>3</v>
      </c>
      <c r="AV31">
        <v>0</v>
      </c>
      <c r="AW31">
        <v>2</v>
      </c>
      <c r="AX31">
        <v>145184879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ROUND(Y31*Source!I31,9)</f>
        <v>1.9872000000000001</v>
      </c>
      <c r="CY31">
        <f>AA31</f>
        <v>12714.3</v>
      </c>
      <c r="CZ31">
        <f>AE31</f>
        <v>1530</v>
      </c>
      <c r="DA31">
        <f>AI31</f>
        <v>8.31</v>
      </c>
      <c r="DB31">
        <f>ROUND(ROUND(AT31*CZ31,2),2)</f>
        <v>3.52</v>
      </c>
      <c r="DC31">
        <f>ROUND(ROUND(AT31*AG31,2),2)</f>
        <v>0</v>
      </c>
      <c r="DD31" t="s">
        <v>3</v>
      </c>
      <c r="DE31" t="s">
        <v>3</v>
      </c>
      <c r="DF31">
        <f>ROUND(ROUND(AE31*AI31,2)*CX31,2)</f>
        <v>25265.86</v>
      </c>
      <c r="DG31">
        <f>ROUND(ROUND(AF31,2)*CX31,2)</f>
        <v>0</v>
      </c>
      <c r="DH31">
        <f>ROUND(ROUND(AG31,2)*CX31,2)</f>
        <v>0</v>
      </c>
      <c r="DI31">
        <f>ROUND(ROUND(AH31,2)*CX31,2)</f>
        <v>0</v>
      </c>
      <c r="DJ31">
        <f>DF31</f>
        <v>25265.86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ROW(Source!A31)</f>
        <v>31</v>
      </c>
      <c r="B32">
        <v>145184733</v>
      </c>
      <c r="C32">
        <v>145184876</v>
      </c>
      <c r="D32">
        <v>140771086</v>
      </c>
      <c r="E32">
        <v>1</v>
      </c>
      <c r="F32">
        <v>1</v>
      </c>
      <c r="G32">
        <v>1</v>
      </c>
      <c r="H32">
        <v>3</v>
      </c>
      <c r="I32" t="s">
        <v>305</v>
      </c>
      <c r="J32" t="s">
        <v>306</v>
      </c>
      <c r="K32" t="s">
        <v>307</v>
      </c>
      <c r="L32">
        <v>1346</v>
      </c>
      <c r="N32">
        <v>1009</v>
      </c>
      <c r="O32" t="s">
        <v>92</v>
      </c>
      <c r="P32" t="s">
        <v>92</v>
      </c>
      <c r="Q32">
        <v>1</v>
      </c>
      <c r="W32">
        <v>0</v>
      </c>
      <c r="X32">
        <v>-87020092</v>
      </c>
      <c r="Y32">
        <f>AT32</f>
        <v>2.5</v>
      </c>
      <c r="AA32">
        <v>33.24</v>
      </c>
      <c r="AB32">
        <v>0</v>
      </c>
      <c r="AC32">
        <v>0</v>
      </c>
      <c r="AD32">
        <v>0</v>
      </c>
      <c r="AE32">
        <v>4</v>
      </c>
      <c r="AF32">
        <v>0</v>
      </c>
      <c r="AG32">
        <v>0</v>
      </c>
      <c r="AH32">
        <v>0</v>
      </c>
      <c r="AI32">
        <v>8.31</v>
      </c>
      <c r="AJ32">
        <v>1</v>
      </c>
      <c r="AK32">
        <v>1</v>
      </c>
      <c r="AL32">
        <v>1</v>
      </c>
      <c r="AM32">
        <v>4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2.5</v>
      </c>
      <c r="AU32" t="s">
        <v>3</v>
      </c>
      <c r="AV32">
        <v>0</v>
      </c>
      <c r="AW32">
        <v>2</v>
      </c>
      <c r="AX32">
        <v>145184880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ROUND(Y32*Source!I31,9)</f>
        <v>2160</v>
      </c>
      <c r="CY32">
        <f>AA32</f>
        <v>33.24</v>
      </c>
      <c r="CZ32">
        <f>AE32</f>
        <v>4</v>
      </c>
      <c r="DA32">
        <f>AI32</f>
        <v>8.31</v>
      </c>
      <c r="DB32">
        <f>ROUND(ROUND(AT32*CZ32,2),2)</f>
        <v>10</v>
      </c>
      <c r="DC32">
        <f>ROUND(ROUND(AT32*AG32,2),2)</f>
        <v>0</v>
      </c>
      <c r="DD32" t="s">
        <v>3</v>
      </c>
      <c r="DE32" t="s">
        <v>3</v>
      </c>
      <c r="DF32">
        <f>ROUND(ROUND(AE32*AI32,2)*CX32,2)</f>
        <v>71798.399999999994</v>
      </c>
      <c r="DG32">
        <f>ROUND(ROUND(AF32,2)*CX32,2)</f>
        <v>0</v>
      </c>
      <c r="DH32">
        <f>ROUND(ROUND(AG32,2)*CX32,2)</f>
        <v>0</v>
      </c>
      <c r="DI32">
        <f>ROUND(ROUND(AH32,2)*CX32,2)</f>
        <v>0</v>
      </c>
      <c r="DJ32">
        <f>DF32</f>
        <v>71798.399999999994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ROW(Source!A31)</f>
        <v>31</v>
      </c>
      <c r="B33">
        <v>145184733</v>
      </c>
      <c r="C33">
        <v>145184876</v>
      </c>
      <c r="D33">
        <v>140798958</v>
      </c>
      <c r="E33">
        <v>1</v>
      </c>
      <c r="F33">
        <v>1</v>
      </c>
      <c r="G33">
        <v>1</v>
      </c>
      <c r="H33">
        <v>3</v>
      </c>
      <c r="I33" t="s">
        <v>294</v>
      </c>
      <c r="J33" t="s">
        <v>295</v>
      </c>
      <c r="K33" t="s">
        <v>296</v>
      </c>
      <c r="L33">
        <v>1327</v>
      </c>
      <c r="N33">
        <v>1005</v>
      </c>
      <c r="O33" t="s">
        <v>73</v>
      </c>
      <c r="P33" t="s">
        <v>73</v>
      </c>
      <c r="Q33">
        <v>1</v>
      </c>
      <c r="W33">
        <v>0</v>
      </c>
      <c r="X33">
        <v>1282098800</v>
      </c>
      <c r="Y33">
        <f>AT33</f>
        <v>0.05</v>
      </c>
      <c r="AA33">
        <v>51.52</v>
      </c>
      <c r="AB33">
        <v>0</v>
      </c>
      <c r="AC33">
        <v>0</v>
      </c>
      <c r="AD33">
        <v>0</v>
      </c>
      <c r="AE33">
        <v>6.2</v>
      </c>
      <c r="AF33">
        <v>0</v>
      </c>
      <c r="AG33">
        <v>0</v>
      </c>
      <c r="AH33">
        <v>0</v>
      </c>
      <c r="AI33">
        <v>8.31</v>
      </c>
      <c r="AJ33">
        <v>1</v>
      </c>
      <c r="AK33">
        <v>1</v>
      </c>
      <c r="AL33">
        <v>1</v>
      </c>
      <c r="AM33">
        <v>4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0.05</v>
      </c>
      <c r="AU33" t="s">
        <v>3</v>
      </c>
      <c r="AV33">
        <v>0</v>
      </c>
      <c r="AW33">
        <v>2</v>
      </c>
      <c r="AX33">
        <v>145184881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ROUND(Y33*Source!I31,9)</f>
        <v>43.2</v>
      </c>
      <c r="CY33">
        <f>AA33</f>
        <v>51.52</v>
      </c>
      <c r="CZ33">
        <f>AE33</f>
        <v>6.2</v>
      </c>
      <c r="DA33">
        <f>AI33</f>
        <v>8.31</v>
      </c>
      <c r="DB33">
        <f>ROUND(ROUND(AT33*CZ33,2),2)</f>
        <v>0.31</v>
      </c>
      <c r="DC33">
        <f>ROUND(ROUND(AT33*AG33,2),2)</f>
        <v>0</v>
      </c>
      <c r="DD33" t="s">
        <v>3</v>
      </c>
      <c r="DE33" t="s">
        <v>3</v>
      </c>
      <c r="DF33">
        <f>ROUND(ROUND(AE33*AI33,2)*CX33,2)</f>
        <v>2225.66</v>
      </c>
      <c r="DG33">
        <f>ROUND(ROUND(AF33,2)*CX33,2)</f>
        <v>0</v>
      </c>
      <c r="DH33">
        <f>ROUND(ROUND(AG33,2)*CX33,2)</f>
        <v>0</v>
      </c>
      <c r="DI33">
        <f>ROUND(ROUND(AH33,2)*CX33,2)</f>
        <v>0</v>
      </c>
      <c r="DJ33">
        <f>DF33</f>
        <v>2225.66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ROW(Source!A32)</f>
        <v>32</v>
      </c>
      <c r="B34">
        <v>145184733</v>
      </c>
      <c r="C34">
        <v>145185560</v>
      </c>
      <c r="D34">
        <v>140759985</v>
      </c>
      <c r="E34">
        <v>70</v>
      </c>
      <c r="F34">
        <v>1</v>
      </c>
      <c r="G34">
        <v>1</v>
      </c>
      <c r="H34">
        <v>1</v>
      </c>
      <c r="I34" t="s">
        <v>308</v>
      </c>
      <c r="J34" t="s">
        <v>3</v>
      </c>
      <c r="K34" t="s">
        <v>309</v>
      </c>
      <c r="L34">
        <v>1191</v>
      </c>
      <c r="N34">
        <v>1013</v>
      </c>
      <c r="O34" t="s">
        <v>271</v>
      </c>
      <c r="P34" t="s">
        <v>271</v>
      </c>
      <c r="Q34">
        <v>1</v>
      </c>
      <c r="W34">
        <v>0</v>
      </c>
      <c r="X34">
        <v>784619160</v>
      </c>
      <c r="Y34">
        <f>(AT34*1.15)</f>
        <v>3.2199999999999998</v>
      </c>
      <c r="AA34">
        <v>0</v>
      </c>
      <c r="AB34">
        <v>0</v>
      </c>
      <c r="AC34">
        <v>0</v>
      </c>
      <c r="AD34">
        <v>326.52999999999997</v>
      </c>
      <c r="AE34">
        <v>0</v>
      </c>
      <c r="AF34">
        <v>0</v>
      </c>
      <c r="AG34">
        <v>0</v>
      </c>
      <c r="AH34">
        <v>8.74</v>
      </c>
      <c r="AI34">
        <v>1</v>
      </c>
      <c r="AJ34">
        <v>1</v>
      </c>
      <c r="AK34">
        <v>1</v>
      </c>
      <c r="AL34">
        <v>37.36</v>
      </c>
      <c r="AM34">
        <v>4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2.8</v>
      </c>
      <c r="AU34" t="s">
        <v>58</v>
      </c>
      <c r="AV34">
        <v>1</v>
      </c>
      <c r="AW34">
        <v>2</v>
      </c>
      <c r="AX34">
        <v>145185561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ROUND(Y34*Source!I32,9)</f>
        <v>30.911999999999999</v>
      </c>
      <c r="CY34">
        <f>AD34</f>
        <v>326.52999999999997</v>
      </c>
      <c r="CZ34">
        <f>AH34</f>
        <v>8.74</v>
      </c>
      <c r="DA34">
        <f>AL34</f>
        <v>37.36</v>
      </c>
      <c r="DB34">
        <f>ROUND((ROUND(AT34*CZ34,2)*1.15),2)</f>
        <v>28.14</v>
      </c>
      <c r="DC34">
        <f>ROUND((ROUND(AT34*AG34,2)*1.15),2)</f>
        <v>0</v>
      </c>
      <c r="DD34" t="s">
        <v>3</v>
      </c>
      <c r="DE34" t="s">
        <v>3</v>
      </c>
      <c r="DF34">
        <f>ROUND(ROUND(AE34,2)*CX34,2)</f>
        <v>0</v>
      </c>
      <c r="DG34">
        <f>ROUND(ROUND(AF34,2)*CX34,2)</f>
        <v>0</v>
      </c>
      <c r="DH34">
        <f>ROUND(ROUND(AG34,2)*CX34,2)</f>
        <v>0</v>
      </c>
      <c r="DI34">
        <f>ROUND(ROUND(AH34*AL34,2)*CX34,2)</f>
        <v>10093.700000000001</v>
      </c>
      <c r="DJ34">
        <f>DI34</f>
        <v>10093.700000000001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ROW(Source!A32)</f>
        <v>32</v>
      </c>
      <c r="B35">
        <v>145184733</v>
      </c>
      <c r="C35">
        <v>145185560</v>
      </c>
      <c r="D35">
        <v>140760225</v>
      </c>
      <c r="E35">
        <v>70</v>
      </c>
      <c r="F35">
        <v>1</v>
      </c>
      <c r="G35">
        <v>1</v>
      </c>
      <c r="H35">
        <v>1</v>
      </c>
      <c r="I35" t="s">
        <v>278</v>
      </c>
      <c r="J35" t="s">
        <v>3</v>
      </c>
      <c r="K35" t="s">
        <v>279</v>
      </c>
      <c r="L35">
        <v>1191</v>
      </c>
      <c r="N35">
        <v>1013</v>
      </c>
      <c r="O35" t="s">
        <v>271</v>
      </c>
      <c r="P35" t="s">
        <v>271</v>
      </c>
      <c r="Q35">
        <v>1</v>
      </c>
      <c r="W35">
        <v>0</v>
      </c>
      <c r="X35">
        <v>-1417349443</v>
      </c>
      <c r="Y35">
        <f>(AT35*1.25)</f>
        <v>0.05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37.36</v>
      </c>
      <c r="AL35">
        <v>1</v>
      </c>
      <c r="AM35">
        <v>4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0.04</v>
      </c>
      <c r="AU35" t="s">
        <v>57</v>
      </c>
      <c r="AV35">
        <v>2</v>
      </c>
      <c r="AW35">
        <v>2</v>
      </c>
      <c r="AX35">
        <v>145185562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ROUND(Y35*Source!I32,9)</f>
        <v>0.48</v>
      </c>
      <c r="CY35">
        <f>AD35</f>
        <v>0</v>
      </c>
      <c r="CZ35">
        <f>AH35</f>
        <v>0</v>
      </c>
      <c r="DA35">
        <f>AL35</f>
        <v>1</v>
      </c>
      <c r="DB35">
        <f>ROUND((ROUND(AT35*CZ35,2)*1.25),2)</f>
        <v>0</v>
      </c>
      <c r="DC35">
        <f>ROUND((ROUND(AT35*AG35,2)*1.25),2)</f>
        <v>0</v>
      </c>
      <c r="DD35" t="s">
        <v>3</v>
      </c>
      <c r="DE35" t="s">
        <v>3</v>
      </c>
      <c r="DF35">
        <f>ROUND(ROUND(AE35,2)*CX35,2)</f>
        <v>0</v>
      </c>
      <c r="DG35">
        <f>ROUND(ROUND(AF35,2)*CX35,2)</f>
        <v>0</v>
      </c>
      <c r="DH35">
        <f>ROUND(ROUND(AG35*AK35,2)*CX35,2)</f>
        <v>0</v>
      </c>
      <c r="DI35">
        <f>ROUND(ROUND(AH35,2)*CX35,2)</f>
        <v>0</v>
      </c>
      <c r="DJ35">
        <f>DI35</f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ROW(Source!A32)</f>
        <v>32</v>
      </c>
      <c r="B36">
        <v>145184733</v>
      </c>
      <c r="C36">
        <v>145185560</v>
      </c>
      <c r="D36">
        <v>140923885</v>
      </c>
      <c r="E36">
        <v>1</v>
      </c>
      <c r="F36">
        <v>1</v>
      </c>
      <c r="G36">
        <v>1</v>
      </c>
      <c r="H36">
        <v>2</v>
      </c>
      <c r="I36" t="s">
        <v>310</v>
      </c>
      <c r="J36" t="s">
        <v>311</v>
      </c>
      <c r="K36" t="s">
        <v>312</v>
      </c>
      <c r="L36">
        <v>1367</v>
      </c>
      <c r="N36">
        <v>1011</v>
      </c>
      <c r="O36" t="s">
        <v>275</v>
      </c>
      <c r="P36" t="s">
        <v>275</v>
      </c>
      <c r="Q36">
        <v>1</v>
      </c>
      <c r="W36">
        <v>0</v>
      </c>
      <c r="X36">
        <v>509054691</v>
      </c>
      <c r="Y36">
        <f>(AT36*1.25)</f>
        <v>0.05</v>
      </c>
      <c r="AA36">
        <v>0</v>
      </c>
      <c r="AB36">
        <v>856.86</v>
      </c>
      <c r="AC36">
        <v>433.38</v>
      </c>
      <c r="AD36">
        <v>0</v>
      </c>
      <c r="AE36">
        <v>0</v>
      </c>
      <c r="AF36">
        <v>65.709999999999994</v>
      </c>
      <c r="AG36">
        <v>11.6</v>
      </c>
      <c r="AH36">
        <v>0</v>
      </c>
      <c r="AI36">
        <v>1</v>
      </c>
      <c r="AJ36">
        <v>13.04</v>
      </c>
      <c r="AK36">
        <v>37.36</v>
      </c>
      <c r="AL36">
        <v>1</v>
      </c>
      <c r="AM36">
        <v>4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0.04</v>
      </c>
      <c r="AU36" t="s">
        <v>57</v>
      </c>
      <c r="AV36">
        <v>0</v>
      </c>
      <c r="AW36">
        <v>2</v>
      </c>
      <c r="AX36">
        <v>145185563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ROUND(Y36*Source!I32,9)</f>
        <v>0.48</v>
      </c>
      <c r="CY36">
        <f>AB36</f>
        <v>856.86</v>
      </c>
      <c r="CZ36">
        <f>AF36</f>
        <v>65.709999999999994</v>
      </c>
      <c r="DA36">
        <f>AJ36</f>
        <v>13.04</v>
      </c>
      <c r="DB36">
        <f>ROUND((ROUND(AT36*CZ36,2)*1.25),2)</f>
        <v>3.29</v>
      </c>
      <c r="DC36">
        <f>ROUND((ROUND(AT36*AG36,2)*1.25),2)</f>
        <v>0.57999999999999996</v>
      </c>
      <c r="DD36" t="s">
        <v>3</v>
      </c>
      <c r="DE36" t="s">
        <v>3</v>
      </c>
      <c r="DF36">
        <f>ROUND(ROUND(AE36,2)*CX36,2)</f>
        <v>0</v>
      </c>
      <c r="DG36">
        <f>ROUND(ROUND(AF36*AJ36,2)*CX36,2)</f>
        <v>411.29</v>
      </c>
      <c r="DH36">
        <f>ROUND(ROUND(AG36*AK36,2)*CX36,2)</f>
        <v>208.02</v>
      </c>
      <c r="DI36">
        <f>ROUND(ROUND(AH36,2)*CX36,2)</f>
        <v>0</v>
      </c>
      <c r="DJ36">
        <f>DG36</f>
        <v>411.29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ROW(Source!A32)</f>
        <v>32</v>
      </c>
      <c r="B37">
        <v>145184733</v>
      </c>
      <c r="C37">
        <v>145185560</v>
      </c>
      <c r="D37">
        <v>140770862</v>
      </c>
      <c r="E37">
        <v>1</v>
      </c>
      <c r="F37">
        <v>1</v>
      </c>
      <c r="G37">
        <v>1</v>
      </c>
      <c r="H37">
        <v>3</v>
      </c>
      <c r="I37" t="s">
        <v>86</v>
      </c>
      <c r="J37" t="s">
        <v>89</v>
      </c>
      <c r="K37" t="s">
        <v>87</v>
      </c>
      <c r="L37">
        <v>1348</v>
      </c>
      <c r="N37">
        <v>1009</v>
      </c>
      <c r="O37" t="s">
        <v>88</v>
      </c>
      <c r="P37" t="s">
        <v>88</v>
      </c>
      <c r="Q37">
        <v>1000</v>
      </c>
      <c r="W37">
        <v>1</v>
      </c>
      <c r="X37">
        <v>-2105186236</v>
      </c>
      <c r="Y37">
        <f>AT37</f>
        <v>-4.4999999999999998E-2</v>
      </c>
      <c r="AA37">
        <v>16620</v>
      </c>
      <c r="AB37">
        <v>0</v>
      </c>
      <c r="AC37">
        <v>0</v>
      </c>
      <c r="AD37">
        <v>0</v>
      </c>
      <c r="AE37">
        <v>2000</v>
      </c>
      <c r="AF37">
        <v>0</v>
      </c>
      <c r="AG37">
        <v>0</v>
      </c>
      <c r="AH37">
        <v>0</v>
      </c>
      <c r="AI37">
        <v>8.31</v>
      </c>
      <c r="AJ37">
        <v>1</v>
      </c>
      <c r="AK37">
        <v>1</v>
      </c>
      <c r="AL37">
        <v>1</v>
      </c>
      <c r="AM37">
        <v>4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-4.4999999999999998E-2</v>
      </c>
      <c r="AU37" t="s">
        <v>3</v>
      </c>
      <c r="AV37">
        <v>0</v>
      </c>
      <c r="AW37">
        <v>2</v>
      </c>
      <c r="AX37">
        <v>145185564</v>
      </c>
      <c r="AY37">
        <v>1</v>
      </c>
      <c r="AZ37">
        <v>6144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ROUND(Y37*Source!I32,9)</f>
        <v>-0.432</v>
      </c>
      <c r="CY37">
        <f>AA37</f>
        <v>16620</v>
      </c>
      <c r="CZ37">
        <f>AE37</f>
        <v>2000</v>
      </c>
      <c r="DA37">
        <f>AI37</f>
        <v>8.31</v>
      </c>
      <c r="DB37">
        <f>ROUND(ROUND(AT37*CZ37,2),2)</f>
        <v>-90</v>
      </c>
      <c r="DC37">
        <f>ROUND(ROUND(AT37*AG37,2),2)</f>
        <v>0</v>
      </c>
      <c r="DD37" t="s">
        <v>3</v>
      </c>
      <c r="DE37" t="s">
        <v>3</v>
      </c>
      <c r="DF37">
        <f>ROUND(ROUND(AE37*AI37,2)*CX37,2)</f>
        <v>-7179.84</v>
      </c>
      <c r="DG37">
        <f>ROUND(ROUND(AF37,2)*CX37,2)</f>
        <v>0</v>
      </c>
      <c r="DH37">
        <f>ROUND(ROUND(AG37,2)*CX37,2)</f>
        <v>0</v>
      </c>
      <c r="DI37">
        <f>ROUND(ROUND(AH37,2)*CX37,2)</f>
        <v>0</v>
      </c>
      <c r="DJ37">
        <f>DF37</f>
        <v>-7179.84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ROW(Source!A35)</f>
        <v>35</v>
      </c>
      <c r="B38">
        <v>145184733</v>
      </c>
      <c r="C38">
        <v>145185568</v>
      </c>
      <c r="D38">
        <v>140760022</v>
      </c>
      <c r="E38">
        <v>70</v>
      </c>
      <c r="F38">
        <v>1</v>
      </c>
      <c r="G38">
        <v>1</v>
      </c>
      <c r="H38">
        <v>1</v>
      </c>
      <c r="I38" t="s">
        <v>313</v>
      </c>
      <c r="J38" t="s">
        <v>3</v>
      </c>
      <c r="K38" t="s">
        <v>314</v>
      </c>
      <c r="L38">
        <v>1191</v>
      </c>
      <c r="N38">
        <v>1013</v>
      </c>
      <c r="O38" t="s">
        <v>271</v>
      </c>
      <c r="P38" t="s">
        <v>271</v>
      </c>
      <c r="Q38">
        <v>1</v>
      </c>
      <c r="W38">
        <v>0</v>
      </c>
      <c r="X38">
        <v>-2012709214</v>
      </c>
      <c r="Y38">
        <f>(AT38*1.15)</f>
        <v>16.513999999999999</v>
      </c>
      <c r="AA38">
        <v>0</v>
      </c>
      <c r="AB38">
        <v>0</v>
      </c>
      <c r="AC38">
        <v>0</v>
      </c>
      <c r="AD38">
        <v>351.18</v>
      </c>
      <c r="AE38">
        <v>0</v>
      </c>
      <c r="AF38">
        <v>0</v>
      </c>
      <c r="AG38">
        <v>0</v>
      </c>
      <c r="AH38">
        <v>9.4</v>
      </c>
      <c r="AI38">
        <v>1</v>
      </c>
      <c r="AJ38">
        <v>1</v>
      </c>
      <c r="AK38">
        <v>1</v>
      </c>
      <c r="AL38">
        <v>37.36</v>
      </c>
      <c r="AM38">
        <v>4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14.36</v>
      </c>
      <c r="AU38" t="s">
        <v>58</v>
      </c>
      <c r="AV38">
        <v>1</v>
      </c>
      <c r="AW38">
        <v>2</v>
      </c>
      <c r="AX38">
        <v>145185569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ROUND(Y38*Source!I35,9)</f>
        <v>158.53440000000001</v>
      </c>
      <c r="CY38">
        <f>AD38</f>
        <v>351.18</v>
      </c>
      <c r="CZ38">
        <f>AH38</f>
        <v>9.4</v>
      </c>
      <c r="DA38">
        <f>AL38</f>
        <v>37.36</v>
      </c>
      <c r="DB38">
        <f>ROUND((ROUND(AT38*CZ38,2)*1.15),2)</f>
        <v>155.22999999999999</v>
      </c>
      <c r="DC38">
        <f>ROUND((ROUND(AT38*AG38,2)*1.15),2)</f>
        <v>0</v>
      </c>
      <c r="DD38" t="s">
        <v>3</v>
      </c>
      <c r="DE38" t="s">
        <v>3</v>
      </c>
      <c r="DF38">
        <f>ROUND(ROUND(AE38,2)*CX38,2)</f>
        <v>0</v>
      </c>
      <c r="DG38">
        <f>ROUND(ROUND(AF38,2)*CX38,2)</f>
        <v>0</v>
      </c>
      <c r="DH38">
        <f>ROUND(ROUND(AG38,2)*CX38,2)</f>
        <v>0</v>
      </c>
      <c r="DI38">
        <f>ROUND(ROUND(AH38*AL38,2)*CX38,2)</f>
        <v>55674.11</v>
      </c>
      <c r="DJ38">
        <f>DI38</f>
        <v>55674.11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ROW(Source!A35)</f>
        <v>35</v>
      </c>
      <c r="B39">
        <v>145184733</v>
      </c>
      <c r="C39">
        <v>145185568</v>
      </c>
      <c r="D39">
        <v>140760225</v>
      </c>
      <c r="E39">
        <v>70</v>
      </c>
      <c r="F39">
        <v>1</v>
      </c>
      <c r="G39">
        <v>1</v>
      </c>
      <c r="H39">
        <v>1</v>
      </c>
      <c r="I39" t="s">
        <v>278</v>
      </c>
      <c r="J39" t="s">
        <v>3</v>
      </c>
      <c r="K39" t="s">
        <v>279</v>
      </c>
      <c r="L39">
        <v>1191</v>
      </c>
      <c r="N39">
        <v>1013</v>
      </c>
      <c r="O39" t="s">
        <v>271</v>
      </c>
      <c r="P39" t="s">
        <v>271</v>
      </c>
      <c r="Q39">
        <v>1</v>
      </c>
      <c r="W39">
        <v>0</v>
      </c>
      <c r="X39">
        <v>-1417349443</v>
      </c>
      <c r="Y39">
        <f>(AT39*1.25)</f>
        <v>0.36249999999999999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37.36</v>
      </c>
      <c r="AL39">
        <v>1</v>
      </c>
      <c r="AM39">
        <v>4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0.28999999999999998</v>
      </c>
      <c r="AU39" t="s">
        <v>57</v>
      </c>
      <c r="AV39">
        <v>2</v>
      </c>
      <c r="AW39">
        <v>2</v>
      </c>
      <c r="AX39">
        <v>145185570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ROUND(Y39*Source!I35,9)</f>
        <v>3.48</v>
      </c>
      <c r="CY39">
        <f>AD39</f>
        <v>0</v>
      </c>
      <c r="CZ39">
        <f>AH39</f>
        <v>0</v>
      </c>
      <c r="DA39">
        <f>AL39</f>
        <v>1</v>
      </c>
      <c r="DB39">
        <f>ROUND((ROUND(AT39*CZ39,2)*1.25),2)</f>
        <v>0</v>
      </c>
      <c r="DC39">
        <f>ROUND((ROUND(AT39*AG39,2)*1.25),2)</f>
        <v>0</v>
      </c>
      <c r="DD39" t="s">
        <v>3</v>
      </c>
      <c r="DE39" t="s">
        <v>3</v>
      </c>
      <c r="DF39">
        <f>ROUND(ROUND(AE39,2)*CX39,2)</f>
        <v>0</v>
      </c>
      <c r="DG39">
        <f>ROUND(ROUND(AF39,2)*CX39,2)</f>
        <v>0</v>
      </c>
      <c r="DH39">
        <f>ROUND(ROUND(AG39*AK39,2)*CX39,2)</f>
        <v>0</v>
      </c>
      <c r="DI39">
        <f t="shared" ref="DI39:DI45" si="3">ROUND(ROUND(AH39,2)*CX39,2)</f>
        <v>0</v>
      </c>
      <c r="DJ39">
        <f>DI39</f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ROW(Source!A35)</f>
        <v>35</v>
      </c>
      <c r="B40">
        <v>145184733</v>
      </c>
      <c r="C40">
        <v>145185568</v>
      </c>
      <c r="D40">
        <v>140922893</v>
      </c>
      <c r="E40">
        <v>1</v>
      </c>
      <c r="F40">
        <v>1</v>
      </c>
      <c r="G40">
        <v>1</v>
      </c>
      <c r="H40">
        <v>2</v>
      </c>
      <c r="I40" t="s">
        <v>280</v>
      </c>
      <c r="J40" t="s">
        <v>281</v>
      </c>
      <c r="K40" t="s">
        <v>282</v>
      </c>
      <c r="L40">
        <v>1367</v>
      </c>
      <c r="N40">
        <v>1011</v>
      </c>
      <c r="O40" t="s">
        <v>275</v>
      </c>
      <c r="P40" t="s">
        <v>275</v>
      </c>
      <c r="Q40">
        <v>1</v>
      </c>
      <c r="W40">
        <v>0</v>
      </c>
      <c r="X40">
        <v>-130837057</v>
      </c>
      <c r="Y40">
        <f>(AT40*1.25)</f>
        <v>0.1875</v>
      </c>
      <c r="AA40">
        <v>0</v>
      </c>
      <c r="AB40">
        <v>1126.6600000000001</v>
      </c>
      <c r="AC40">
        <v>504.36</v>
      </c>
      <c r="AD40">
        <v>0</v>
      </c>
      <c r="AE40">
        <v>0</v>
      </c>
      <c r="AF40">
        <v>86.4</v>
      </c>
      <c r="AG40">
        <v>13.5</v>
      </c>
      <c r="AH40">
        <v>0</v>
      </c>
      <c r="AI40">
        <v>1</v>
      </c>
      <c r="AJ40">
        <v>13.04</v>
      </c>
      <c r="AK40">
        <v>37.36</v>
      </c>
      <c r="AL40">
        <v>1</v>
      </c>
      <c r="AM40">
        <v>4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0.15</v>
      </c>
      <c r="AU40" t="s">
        <v>57</v>
      </c>
      <c r="AV40">
        <v>0</v>
      </c>
      <c r="AW40">
        <v>2</v>
      </c>
      <c r="AX40">
        <v>145185571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ROUND(Y40*Source!I35,9)</f>
        <v>1.8</v>
      </c>
      <c r="CY40">
        <f>AB40</f>
        <v>1126.6600000000001</v>
      </c>
      <c r="CZ40">
        <f>AF40</f>
        <v>86.4</v>
      </c>
      <c r="DA40">
        <f>AJ40</f>
        <v>13.04</v>
      </c>
      <c r="DB40">
        <f>ROUND((ROUND(AT40*CZ40,2)*1.25),2)</f>
        <v>16.2</v>
      </c>
      <c r="DC40">
        <f>ROUND((ROUND(AT40*AG40,2)*1.25),2)</f>
        <v>2.54</v>
      </c>
      <c r="DD40" t="s">
        <v>3</v>
      </c>
      <c r="DE40" t="s">
        <v>3</v>
      </c>
      <c r="DF40">
        <f>ROUND(ROUND(AE40,2)*CX40,2)</f>
        <v>0</v>
      </c>
      <c r="DG40">
        <f>ROUND(ROUND(AF40*AJ40,2)*CX40,2)</f>
        <v>2027.99</v>
      </c>
      <c r="DH40">
        <f>ROUND(ROUND(AG40*AK40,2)*CX40,2)</f>
        <v>907.85</v>
      </c>
      <c r="DI40">
        <f t="shared" si="3"/>
        <v>0</v>
      </c>
      <c r="DJ40">
        <f>DG40</f>
        <v>2027.99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ROW(Source!A35)</f>
        <v>35</v>
      </c>
      <c r="B41">
        <v>145184733</v>
      </c>
      <c r="C41">
        <v>145185568</v>
      </c>
      <c r="D41">
        <v>140922951</v>
      </c>
      <c r="E41">
        <v>1</v>
      </c>
      <c r="F41">
        <v>1</v>
      </c>
      <c r="G41">
        <v>1</v>
      </c>
      <c r="H41">
        <v>2</v>
      </c>
      <c r="I41" t="s">
        <v>315</v>
      </c>
      <c r="J41" t="s">
        <v>316</v>
      </c>
      <c r="K41" t="s">
        <v>317</v>
      </c>
      <c r="L41">
        <v>1367</v>
      </c>
      <c r="N41">
        <v>1011</v>
      </c>
      <c r="O41" t="s">
        <v>275</v>
      </c>
      <c r="P41" t="s">
        <v>275</v>
      </c>
      <c r="Q41">
        <v>1</v>
      </c>
      <c r="W41">
        <v>0</v>
      </c>
      <c r="X41">
        <v>-430484415</v>
      </c>
      <c r="Y41">
        <f>(AT41*1.25)</f>
        <v>6.25E-2</v>
      </c>
      <c r="AA41">
        <v>0</v>
      </c>
      <c r="AB41">
        <v>1504.82</v>
      </c>
      <c r="AC41">
        <v>504.36</v>
      </c>
      <c r="AD41">
        <v>0</v>
      </c>
      <c r="AE41">
        <v>0</v>
      </c>
      <c r="AF41">
        <v>115.4</v>
      </c>
      <c r="AG41">
        <v>13.5</v>
      </c>
      <c r="AH41">
        <v>0</v>
      </c>
      <c r="AI41">
        <v>1</v>
      </c>
      <c r="AJ41">
        <v>13.04</v>
      </c>
      <c r="AK41">
        <v>37.36</v>
      </c>
      <c r="AL41">
        <v>1</v>
      </c>
      <c r="AM41">
        <v>4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0.05</v>
      </c>
      <c r="AU41" t="s">
        <v>57</v>
      </c>
      <c r="AV41">
        <v>0</v>
      </c>
      <c r="AW41">
        <v>2</v>
      </c>
      <c r="AX41">
        <v>145185572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ROUND(Y41*Source!I35,9)</f>
        <v>0.6</v>
      </c>
      <c r="CY41">
        <f>AB41</f>
        <v>1504.82</v>
      </c>
      <c r="CZ41">
        <f>AF41</f>
        <v>115.4</v>
      </c>
      <c r="DA41">
        <f>AJ41</f>
        <v>13.04</v>
      </c>
      <c r="DB41">
        <f>ROUND((ROUND(AT41*CZ41,2)*1.25),2)</f>
        <v>7.21</v>
      </c>
      <c r="DC41">
        <f>ROUND((ROUND(AT41*AG41,2)*1.25),2)</f>
        <v>0.85</v>
      </c>
      <c r="DD41" t="s">
        <v>3</v>
      </c>
      <c r="DE41" t="s">
        <v>3</v>
      </c>
      <c r="DF41">
        <f>ROUND(ROUND(AE41,2)*CX41,2)</f>
        <v>0</v>
      </c>
      <c r="DG41">
        <f>ROUND(ROUND(AF41*AJ41,2)*CX41,2)</f>
        <v>902.89</v>
      </c>
      <c r="DH41">
        <f>ROUND(ROUND(AG41*AK41,2)*CX41,2)</f>
        <v>302.62</v>
      </c>
      <c r="DI41">
        <f t="shared" si="3"/>
        <v>0</v>
      </c>
      <c r="DJ41">
        <f>DG41</f>
        <v>902.89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ROW(Source!A35)</f>
        <v>35</v>
      </c>
      <c r="B42">
        <v>145184733</v>
      </c>
      <c r="C42">
        <v>145185568</v>
      </c>
      <c r="D42">
        <v>140923885</v>
      </c>
      <c r="E42">
        <v>1</v>
      </c>
      <c r="F42">
        <v>1</v>
      </c>
      <c r="G42">
        <v>1</v>
      </c>
      <c r="H42">
        <v>2</v>
      </c>
      <c r="I42" t="s">
        <v>310</v>
      </c>
      <c r="J42" t="s">
        <v>311</v>
      </c>
      <c r="K42" t="s">
        <v>312</v>
      </c>
      <c r="L42">
        <v>1367</v>
      </c>
      <c r="N42">
        <v>1011</v>
      </c>
      <c r="O42" t="s">
        <v>275</v>
      </c>
      <c r="P42" t="s">
        <v>275</v>
      </c>
      <c r="Q42">
        <v>1</v>
      </c>
      <c r="W42">
        <v>0</v>
      </c>
      <c r="X42">
        <v>509054691</v>
      </c>
      <c r="Y42">
        <f>(AT42*1.25)</f>
        <v>0.11249999999999999</v>
      </c>
      <c r="AA42">
        <v>0</v>
      </c>
      <c r="AB42">
        <v>856.86</v>
      </c>
      <c r="AC42">
        <v>433.38</v>
      </c>
      <c r="AD42">
        <v>0</v>
      </c>
      <c r="AE42">
        <v>0</v>
      </c>
      <c r="AF42">
        <v>65.709999999999994</v>
      </c>
      <c r="AG42">
        <v>11.6</v>
      </c>
      <c r="AH42">
        <v>0</v>
      </c>
      <c r="AI42">
        <v>1</v>
      </c>
      <c r="AJ42">
        <v>13.04</v>
      </c>
      <c r="AK42">
        <v>37.36</v>
      </c>
      <c r="AL42">
        <v>1</v>
      </c>
      <c r="AM42">
        <v>4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0.09</v>
      </c>
      <c r="AU42" t="s">
        <v>57</v>
      </c>
      <c r="AV42">
        <v>0</v>
      </c>
      <c r="AW42">
        <v>2</v>
      </c>
      <c r="AX42">
        <v>145185573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ROUND(Y42*Source!I35,9)</f>
        <v>1.08</v>
      </c>
      <c r="CY42">
        <f>AB42</f>
        <v>856.86</v>
      </c>
      <c r="CZ42">
        <f>AF42</f>
        <v>65.709999999999994</v>
      </c>
      <c r="DA42">
        <f>AJ42</f>
        <v>13.04</v>
      </c>
      <c r="DB42">
        <f>ROUND((ROUND(AT42*CZ42,2)*1.25),2)</f>
        <v>7.39</v>
      </c>
      <c r="DC42">
        <f>ROUND((ROUND(AT42*AG42,2)*1.25),2)</f>
        <v>1.3</v>
      </c>
      <c r="DD42" t="s">
        <v>3</v>
      </c>
      <c r="DE42" t="s">
        <v>3</v>
      </c>
      <c r="DF42">
        <f>ROUND(ROUND(AE42,2)*CX42,2)</f>
        <v>0</v>
      </c>
      <c r="DG42">
        <f>ROUND(ROUND(AF42*AJ42,2)*CX42,2)</f>
        <v>925.41</v>
      </c>
      <c r="DH42">
        <f>ROUND(ROUND(AG42*AK42,2)*CX42,2)</f>
        <v>468.05</v>
      </c>
      <c r="DI42">
        <f t="shared" si="3"/>
        <v>0</v>
      </c>
      <c r="DJ42">
        <f>DG42</f>
        <v>925.41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ROW(Source!A35)</f>
        <v>35</v>
      </c>
      <c r="B43">
        <v>145184733</v>
      </c>
      <c r="C43">
        <v>145185568</v>
      </c>
      <c r="D43">
        <v>140771011</v>
      </c>
      <c r="E43">
        <v>1</v>
      </c>
      <c r="F43">
        <v>1</v>
      </c>
      <c r="G43">
        <v>1</v>
      </c>
      <c r="H43">
        <v>3</v>
      </c>
      <c r="I43" t="s">
        <v>318</v>
      </c>
      <c r="J43" t="s">
        <v>319</v>
      </c>
      <c r="K43" t="s">
        <v>320</v>
      </c>
      <c r="L43">
        <v>1346</v>
      </c>
      <c r="N43">
        <v>1009</v>
      </c>
      <c r="O43" t="s">
        <v>92</v>
      </c>
      <c r="P43" t="s">
        <v>92</v>
      </c>
      <c r="Q43">
        <v>1</v>
      </c>
      <c r="W43">
        <v>0</v>
      </c>
      <c r="X43">
        <v>-2118006079</v>
      </c>
      <c r="Y43">
        <f>AT43</f>
        <v>29.94</v>
      </c>
      <c r="AA43">
        <v>50.61</v>
      </c>
      <c r="AB43">
        <v>0</v>
      </c>
      <c r="AC43">
        <v>0</v>
      </c>
      <c r="AD43">
        <v>0</v>
      </c>
      <c r="AE43">
        <v>6.09</v>
      </c>
      <c r="AF43">
        <v>0</v>
      </c>
      <c r="AG43">
        <v>0</v>
      </c>
      <c r="AH43">
        <v>0</v>
      </c>
      <c r="AI43">
        <v>8.31</v>
      </c>
      <c r="AJ43">
        <v>1</v>
      </c>
      <c r="AK43">
        <v>1</v>
      </c>
      <c r="AL43">
        <v>1</v>
      </c>
      <c r="AM43">
        <v>4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29.94</v>
      </c>
      <c r="AU43" t="s">
        <v>3</v>
      </c>
      <c r="AV43">
        <v>0</v>
      </c>
      <c r="AW43">
        <v>2</v>
      </c>
      <c r="AX43">
        <v>145185574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ROUND(Y43*Source!I35,9)</f>
        <v>287.42399999999998</v>
      </c>
      <c r="CY43">
        <f>AA43</f>
        <v>50.61</v>
      </c>
      <c r="CZ43">
        <f>AE43</f>
        <v>6.09</v>
      </c>
      <c r="DA43">
        <f>AI43</f>
        <v>8.31</v>
      </c>
      <c r="DB43">
        <f>ROUND(ROUND(AT43*CZ43,2),2)</f>
        <v>182.33</v>
      </c>
      <c r="DC43">
        <f>ROUND(ROUND(AT43*AG43,2),2)</f>
        <v>0</v>
      </c>
      <c r="DD43" t="s">
        <v>3</v>
      </c>
      <c r="DE43" t="s">
        <v>3</v>
      </c>
      <c r="DF43">
        <f>ROUND(ROUND(AE43*AI43,2)*CX43,2)</f>
        <v>14546.53</v>
      </c>
      <c r="DG43">
        <f>ROUND(ROUND(AF43,2)*CX43,2)</f>
        <v>0</v>
      </c>
      <c r="DH43">
        <f>ROUND(ROUND(AG43,2)*CX43,2)</f>
        <v>0</v>
      </c>
      <c r="DI43">
        <f t="shared" si="3"/>
        <v>0</v>
      </c>
      <c r="DJ43">
        <f>DF43</f>
        <v>14546.53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ROW(Source!A35)</f>
        <v>35</v>
      </c>
      <c r="B44">
        <v>145184733</v>
      </c>
      <c r="C44">
        <v>145185568</v>
      </c>
      <c r="D44">
        <v>140762870</v>
      </c>
      <c r="E44">
        <v>70</v>
      </c>
      <c r="F44">
        <v>1</v>
      </c>
      <c r="G44">
        <v>1</v>
      </c>
      <c r="H44">
        <v>3</v>
      </c>
      <c r="I44" t="s">
        <v>321</v>
      </c>
      <c r="J44" t="s">
        <v>3</v>
      </c>
      <c r="K44" t="s">
        <v>322</v>
      </c>
      <c r="L44">
        <v>1327</v>
      </c>
      <c r="N44">
        <v>1005</v>
      </c>
      <c r="O44" t="s">
        <v>73</v>
      </c>
      <c r="P44" t="s">
        <v>73</v>
      </c>
      <c r="Q44">
        <v>1</v>
      </c>
      <c r="W44">
        <v>0</v>
      </c>
      <c r="X44">
        <v>-867060388</v>
      </c>
      <c r="Y44">
        <f>AT44</f>
        <v>114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8.31</v>
      </c>
      <c r="AJ44">
        <v>1</v>
      </c>
      <c r="AK44">
        <v>1</v>
      </c>
      <c r="AL44">
        <v>1</v>
      </c>
      <c r="AM44">
        <v>4</v>
      </c>
      <c r="AN44">
        <v>0</v>
      </c>
      <c r="AO44">
        <v>0</v>
      </c>
      <c r="AP44">
        <v>0</v>
      </c>
      <c r="AQ44">
        <v>0</v>
      </c>
      <c r="AR44">
        <v>0</v>
      </c>
      <c r="AS44" t="s">
        <v>3</v>
      </c>
      <c r="AT44">
        <v>114</v>
      </c>
      <c r="AU44" t="s">
        <v>3</v>
      </c>
      <c r="AV44">
        <v>0</v>
      </c>
      <c r="AW44">
        <v>2</v>
      </c>
      <c r="AX44">
        <v>145185575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ROUND(Y44*Source!I35,9)</f>
        <v>1094.4000000000001</v>
      </c>
      <c r="CY44">
        <f>AA44</f>
        <v>0</v>
      </c>
      <c r="CZ44">
        <f>AE44</f>
        <v>0</v>
      </c>
      <c r="DA44">
        <f>AI44</f>
        <v>8.31</v>
      </c>
      <c r="DB44">
        <f>ROUND(ROUND(AT44*CZ44,2),2)</f>
        <v>0</v>
      </c>
      <c r="DC44">
        <f>ROUND(ROUND(AT44*AG44,2),2)</f>
        <v>0</v>
      </c>
      <c r="DD44" t="s">
        <v>3</v>
      </c>
      <c r="DE44" t="s">
        <v>3</v>
      </c>
      <c r="DF44">
        <f>ROUND(ROUND(AE44*AI44,2)*CX44,2)</f>
        <v>0</v>
      </c>
      <c r="DG44">
        <f>ROUND(ROUND(AF44,2)*CX44,2)</f>
        <v>0</v>
      </c>
      <c r="DH44">
        <f>ROUND(ROUND(AG44,2)*CX44,2)</f>
        <v>0</v>
      </c>
      <c r="DI44">
        <f t="shared" si="3"/>
        <v>0</v>
      </c>
      <c r="DJ44">
        <f>DF44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ROW(Source!A35)</f>
        <v>35</v>
      </c>
      <c r="B45">
        <v>145184733</v>
      </c>
      <c r="C45">
        <v>145185568</v>
      </c>
      <c r="D45">
        <v>140762867</v>
      </c>
      <c r="E45">
        <v>70</v>
      </c>
      <c r="F45">
        <v>1</v>
      </c>
      <c r="G45">
        <v>1</v>
      </c>
      <c r="H45">
        <v>3</v>
      </c>
      <c r="I45" t="s">
        <v>321</v>
      </c>
      <c r="J45" t="s">
        <v>3</v>
      </c>
      <c r="K45" t="s">
        <v>323</v>
      </c>
      <c r="L45">
        <v>1327</v>
      </c>
      <c r="N45">
        <v>1005</v>
      </c>
      <c r="O45" t="s">
        <v>73</v>
      </c>
      <c r="P45" t="s">
        <v>73</v>
      </c>
      <c r="Q45">
        <v>1</v>
      </c>
      <c r="W45">
        <v>0</v>
      </c>
      <c r="X45">
        <v>-1441358911</v>
      </c>
      <c r="Y45">
        <f>AT45</f>
        <v>116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8.31</v>
      </c>
      <c r="AJ45">
        <v>1</v>
      </c>
      <c r="AK45">
        <v>1</v>
      </c>
      <c r="AL45">
        <v>1</v>
      </c>
      <c r="AM45">
        <v>4</v>
      </c>
      <c r="AN45">
        <v>0</v>
      </c>
      <c r="AO45">
        <v>0</v>
      </c>
      <c r="AP45">
        <v>0</v>
      </c>
      <c r="AQ45">
        <v>0</v>
      </c>
      <c r="AR45">
        <v>0</v>
      </c>
      <c r="AS45" t="s">
        <v>3</v>
      </c>
      <c r="AT45">
        <v>116</v>
      </c>
      <c r="AU45" t="s">
        <v>3</v>
      </c>
      <c r="AV45">
        <v>0</v>
      </c>
      <c r="AW45">
        <v>2</v>
      </c>
      <c r="AX45">
        <v>145185576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ROUND(Y45*Source!I35,9)</f>
        <v>1113.5999999999999</v>
      </c>
      <c r="CY45">
        <f>AA45</f>
        <v>0</v>
      </c>
      <c r="CZ45">
        <f>AE45</f>
        <v>0</v>
      </c>
      <c r="DA45">
        <f>AI45</f>
        <v>8.31</v>
      </c>
      <c r="DB45">
        <f>ROUND(ROUND(AT45*CZ45,2),2)</f>
        <v>0</v>
      </c>
      <c r="DC45">
        <f>ROUND(ROUND(AT45*AG45,2),2)</f>
        <v>0</v>
      </c>
      <c r="DD45" t="s">
        <v>3</v>
      </c>
      <c r="DE45" t="s">
        <v>3</v>
      </c>
      <c r="DF45">
        <f>ROUND(ROUND(AE45*AI45,2)*CX45,2)</f>
        <v>0</v>
      </c>
      <c r="DG45">
        <f>ROUND(ROUND(AF45,2)*CX45,2)</f>
        <v>0</v>
      </c>
      <c r="DH45">
        <f>ROUND(ROUND(AG45,2)*CX45,2)</f>
        <v>0</v>
      </c>
      <c r="DI45">
        <f t="shared" si="3"/>
        <v>0</v>
      </c>
      <c r="DJ45">
        <f>DF45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ROW(Source!A38)</f>
        <v>38</v>
      </c>
      <c r="B46">
        <v>145184733</v>
      </c>
      <c r="C46">
        <v>145185581</v>
      </c>
      <c r="D46">
        <v>140760008</v>
      </c>
      <c r="E46">
        <v>70</v>
      </c>
      <c r="F46">
        <v>1</v>
      </c>
      <c r="G46">
        <v>1</v>
      </c>
      <c r="H46">
        <v>1</v>
      </c>
      <c r="I46" t="s">
        <v>324</v>
      </c>
      <c r="J46" t="s">
        <v>3</v>
      </c>
      <c r="K46" t="s">
        <v>325</v>
      </c>
      <c r="L46">
        <v>1191</v>
      </c>
      <c r="N46">
        <v>1013</v>
      </c>
      <c r="O46" t="s">
        <v>271</v>
      </c>
      <c r="P46" t="s">
        <v>271</v>
      </c>
      <c r="Q46">
        <v>1</v>
      </c>
      <c r="W46">
        <v>0</v>
      </c>
      <c r="X46">
        <v>-1810713292</v>
      </c>
      <c r="Y46">
        <f>(AT46*1.15)</f>
        <v>40.824999999999996</v>
      </c>
      <c r="AA46">
        <v>0</v>
      </c>
      <c r="AB46">
        <v>0</v>
      </c>
      <c r="AC46">
        <v>0</v>
      </c>
      <c r="AD46">
        <v>342.96</v>
      </c>
      <c r="AE46">
        <v>0</v>
      </c>
      <c r="AF46">
        <v>0</v>
      </c>
      <c r="AG46">
        <v>0</v>
      </c>
      <c r="AH46">
        <v>9.18</v>
      </c>
      <c r="AI46">
        <v>1</v>
      </c>
      <c r="AJ46">
        <v>1</v>
      </c>
      <c r="AK46">
        <v>1</v>
      </c>
      <c r="AL46">
        <v>37.36</v>
      </c>
      <c r="AM46">
        <v>4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35.5</v>
      </c>
      <c r="AU46" t="s">
        <v>58</v>
      </c>
      <c r="AV46">
        <v>1</v>
      </c>
      <c r="AW46">
        <v>2</v>
      </c>
      <c r="AX46">
        <v>145185582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ROUND(Y46*Source!I38,9)</f>
        <v>14.696999999999999</v>
      </c>
      <c r="CY46">
        <f>AD46</f>
        <v>342.96</v>
      </c>
      <c r="CZ46">
        <f>AH46</f>
        <v>9.18</v>
      </c>
      <c r="DA46">
        <f>AL46</f>
        <v>37.36</v>
      </c>
      <c r="DB46">
        <f>ROUND((ROUND(AT46*CZ46,2)*1.15),2)</f>
        <v>374.77</v>
      </c>
      <c r="DC46">
        <f>ROUND((ROUND(AT46*AG46,2)*1.15),2)</f>
        <v>0</v>
      </c>
      <c r="DD46" t="s">
        <v>3</v>
      </c>
      <c r="DE46" t="s">
        <v>3</v>
      </c>
      <c r="DF46">
        <f>ROUND(ROUND(AE46,2)*CX46,2)</f>
        <v>0</v>
      </c>
      <c r="DG46">
        <f>ROUND(ROUND(AF46,2)*CX46,2)</f>
        <v>0</v>
      </c>
      <c r="DH46">
        <f>ROUND(ROUND(AG46,2)*CX46,2)</f>
        <v>0</v>
      </c>
      <c r="DI46">
        <f>ROUND(ROUND(AH46*AL46,2)*CX46,2)</f>
        <v>5040.4799999999996</v>
      </c>
      <c r="DJ46">
        <f>DI46</f>
        <v>5040.4799999999996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ROW(Source!A38)</f>
        <v>38</v>
      </c>
      <c r="B47">
        <v>145184733</v>
      </c>
      <c r="C47">
        <v>145185581</v>
      </c>
      <c r="D47">
        <v>140760225</v>
      </c>
      <c r="E47">
        <v>70</v>
      </c>
      <c r="F47">
        <v>1</v>
      </c>
      <c r="G47">
        <v>1</v>
      </c>
      <c r="H47">
        <v>1</v>
      </c>
      <c r="I47" t="s">
        <v>278</v>
      </c>
      <c r="J47" t="s">
        <v>3</v>
      </c>
      <c r="K47" t="s">
        <v>279</v>
      </c>
      <c r="L47">
        <v>1191</v>
      </c>
      <c r="N47">
        <v>1013</v>
      </c>
      <c r="O47" t="s">
        <v>271</v>
      </c>
      <c r="P47" t="s">
        <v>271</v>
      </c>
      <c r="Q47">
        <v>1</v>
      </c>
      <c r="W47">
        <v>0</v>
      </c>
      <c r="X47">
        <v>-1417349443</v>
      </c>
      <c r="Y47">
        <f>(AT47*1.25)</f>
        <v>1.075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37.36</v>
      </c>
      <c r="AL47">
        <v>1</v>
      </c>
      <c r="AM47">
        <v>4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0.86</v>
      </c>
      <c r="AU47" t="s">
        <v>57</v>
      </c>
      <c r="AV47">
        <v>2</v>
      </c>
      <c r="AW47">
        <v>2</v>
      </c>
      <c r="AX47">
        <v>145185583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ROUND(Y47*Source!I38,9)</f>
        <v>0.38700000000000001</v>
      </c>
      <c r="CY47">
        <f>AD47</f>
        <v>0</v>
      </c>
      <c r="CZ47">
        <f>AH47</f>
        <v>0</v>
      </c>
      <c r="DA47">
        <f>AL47</f>
        <v>1</v>
      </c>
      <c r="DB47">
        <f>ROUND((ROUND(AT47*CZ47,2)*1.25),2)</f>
        <v>0</v>
      </c>
      <c r="DC47">
        <f>ROUND((ROUND(AT47*AG47,2)*1.25),2)</f>
        <v>0</v>
      </c>
      <c r="DD47" t="s">
        <v>3</v>
      </c>
      <c r="DE47" t="s">
        <v>3</v>
      </c>
      <c r="DF47">
        <f>ROUND(ROUND(AE47,2)*CX47,2)</f>
        <v>0</v>
      </c>
      <c r="DG47">
        <f>ROUND(ROUND(AF47,2)*CX47,2)</f>
        <v>0</v>
      </c>
      <c r="DH47">
        <f>ROUND(ROUND(AG47*AK47,2)*CX47,2)</f>
        <v>0</v>
      </c>
      <c r="DI47">
        <f t="shared" ref="DI47:DI53" si="4">ROUND(ROUND(AH47,2)*CX47,2)</f>
        <v>0</v>
      </c>
      <c r="DJ47">
        <f>DI47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ROW(Source!A38)</f>
        <v>38</v>
      </c>
      <c r="B48">
        <v>145184733</v>
      </c>
      <c r="C48">
        <v>145185581</v>
      </c>
      <c r="D48">
        <v>140922893</v>
      </c>
      <c r="E48">
        <v>1</v>
      </c>
      <c r="F48">
        <v>1</v>
      </c>
      <c r="G48">
        <v>1</v>
      </c>
      <c r="H48">
        <v>2</v>
      </c>
      <c r="I48" t="s">
        <v>280</v>
      </c>
      <c r="J48" t="s">
        <v>281</v>
      </c>
      <c r="K48" t="s">
        <v>282</v>
      </c>
      <c r="L48">
        <v>1367</v>
      </c>
      <c r="N48">
        <v>1011</v>
      </c>
      <c r="O48" t="s">
        <v>275</v>
      </c>
      <c r="P48" t="s">
        <v>275</v>
      </c>
      <c r="Q48">
        <v>1</v>
      </c>
      <c r="W48">
        <v>0</v>
      </c>
      <c r="X48">
        <v>-130837057</v>
      </c>
      <c r="Y48">
        <f>(AT48*1.25)</f>
        <v>0.76249999999999996</v>
      </c>
      <c r="AA48">
        <v>0</v>
      </c>
      <c r="AB48">
        <v>1126.6600000000001</v>
      </c>
      <c r="AC48">
        <v>504.36</v>
      </c>
      <c r="AD48">
        <v>0</v>
      </c>
      <c r="AE48">
        <v>0</v>
      </c>
      <c r="AF48">
        <v>86.4</v>
      </c>
      <c r="AG48">
        <v>13.5</v>
      </c>
      <c r="AH48">
        <v>0</v>
      </c>
      <c r="AI48">
        <v>1</v>
      </c>
      <c r="AJ48">
        <v>13.04</v>
      </c>
      <c r="AK48">
        <v>37.36</v>
      </c>
      <c r="AL48">
        <v>1</v>
      </c>
      <c r="AM48">
        <v>4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0.61</v>
      </c>
      <c r="AU48" t="s">
        <v>57</v>
      </c>
      <c r="AV48">
        <v>0</v>
      </c>
      <c r="AW48">
        <v>2</v>
      </c>
      <c r="AX48">
        <v>145185584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ROUND(Y48*Source!I38,9)</f>
        <v>0.27450000000000002</v>
      </c>
      <c r="CY48">
        <f>AB48</f>
        <v>1126.6600000000001</v>
      </c>
      <c r="CZ48">
        <f>AF48</f>
        <v>86.4</v>
      </c>
      <c r="DA48">
        <f>AJ48</f>
        <v>13.04</v>
      </c>
      <c r="DB48">
        <f>ROUND((ROUND(AT48*CZ48,2)*1.25),2)</f>
        <v>65.88</v>
      </c>
      <c r="DC48">
        <f>ROUND((ROUND(AT48*AG48,2)*1.25),2)</f>
        <v>10.3</v>
      </c>
      <c r="DD48" t="s">
        <v>3</v>
      </c>
      <c r="DE48" t="s">
        <v>3</v>
      </c>
      <c r="DF48">
        <f>ROUND(ROUND(AE48,2)*CX48,2)</f>
        <v>0</v>
      </c>
      <c r="DG48">
        <f>ROUND(ROUND(AF48*AJ48,2)*CX48,2)</f>
        <v>309.27</v>
      </c>
      <c r="DH48">
        <f>ROUND(ROUND(AG48*AK48,2)*CX48,2)</f>
        <v>138.44999999999999</v>
      </c>
      <c r="DI48">
        <f t="shared" si="4"/>
        <v>0</v>
      </c>
      <c r="DJ48">
        <f>DG48</f>
        <v>309.27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ROW(Source!A38)</f>
        <v>38</v>
      </c>
      <c r="B49">
        <v>145184733</v>
      </c>
      <c r="C49">
        <v>145185581</v>
      </c>
      <c r="D49">
        <v>140922951</v>
      </c>
      <c r="E49">
        <v>1</v>
      </c>
      <c r="F49">
        <v>1</v>
      </c>
      <c r="G49">
        <v>1</v>
      </c>
      <c r="H49">
        <v>2</v>
      </c>
      <c r="I49" t="s">
        <v>315</v>
      </c>
      <c r="J49" t="s">
        <v>316</v>
      </c>
      <c r="K49" t="s">
        <v>317</v>
      </c>
      <c r="L49">
        <v>1367</v>
      </c>
      <c r="N49">
        <v>1011</v>
      </c>
      <c r="O49" t="s">
        <v>275</v>
      </c>
      <c r="P49" t="s">
        <v>275</v>
      </c>
      <c r="Q49">
        <v>1</v>
      </c>
      <c r="W49">
        <v>0</v>
      </c>
      <c r="X49">
        <v>-430484415</v>
      </c>
      <c r="Y49">
        <f>(AT49*1.25)</f>
        <v>0.125</v>
      </c>
      <c r="AA49">
        <v>0</v>
      </c>
      <c r="AB49">
        <v>1504.82</v>
      </c>
      <c r="AC49">
        <v>504.36</v>
      </c>
      <c r="AD49">
        <v>0</v>
      </c>
      <c r="AE49">
        <v>0</v>
      </c>
      <c r="AF49">
        <v>115.4</v>
      </c>
      <c r="AG49">
        <v>13.5</v>
      </c>
      <c r="AH49">
        <v>0</v>
      </c>
      <c r="AI49">
        <v>1</v>
      </c>
      <c r="AJ49">
        <v>13.04</v>
      </c>
      <c r="AK49">
        <v>37.36</v>
      </c>
      <c r="AL49">
        <v>1</v>
      </c>
      <c r="AM49">
        <v>4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0.1</v>
      </c>
      <c r="AU49" t="s">
        <v>57</v>
      </c>
      <c r="AV49">
        <v>0</v>
      </c>
      <c r="AW49">
        <v>2</v>
      </c>
      <c r="AX49">
        <v>145185585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ROUND(Y49*Source!I38,9)</f>
        <v>4.4999999999999998E-2</v>
      </c>
      <c r="CY49">
        <f>AB49</f>
        <v>1504.82</v>
      </c>
      <c r="CZ49">
        <f>AF49</f>
        <v>115.4</v>
      </c>
      <c r="DA49">
        <f>AJ49</f>
        <v>13.04</v>
      </c>
      <c r="DB49">
        <f>ROUND((ROUND(AT49*CZ49,2)*1.25),2)</f>
        <v>14.43</v>
      </c>
      <c r="DC49">
        <f>ROUND((ROUND(AT49*AG49,2)*1.25),2)</f>
        <v>1.69</v>
      </c>
      <c r="DD49" t="s">
        <v>3</v>
      </c>
      <c r="DE49" t="s">
        <v>3</v>
      </c>
      <c r="DF49">
        <f>ROUND(ROUND(AE49,2)*CX49,2)</f>
        <v>0</v>
      </c>
      <c r="DG49">
        <f>ROUND(ROUND(AF49*AJ49,2)*CX49,2)</f>
        <v>67.72</v>
      </c>
      <c r="DH49">
        <f>ROUND(ROUND(AG49*AK49,2)*CX49,2)</f>
        <v>22.7</v>
      </c>
      <c r="DI49">
        <f t="shared" si="4"/>
        <v>0</v>
      </c>
      <c r="DJ49">
        <f>DG49</f>
        <v>67.72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ROW(Source!A38)</f>
        <v>38</v>
      </c>
      <c r="B50">
        <v>145184733</v>
      </c>
      <c r="C50">
        <v>145185581</v>
      </c>
      <c r="D50">
        <v>140923885</v>
      </c>
      <c r="E50">
        <v>1</v>
      </c>
      <c r="F50">
        <v>1</v>
      </c>
      <c r="G50">
        <v>1</v>
      </c>
      <c r="H50">
        <v>2</v>
      </c>
      <c r="I50" t="s">
        <v>310</v>
      </c>
      <c r="J50" t="s">
        <v>311</v>
      </c>
      <c r="K50" t="s">
        <v>312</v>
      </c>
      <c r="L50">
        <v>1367</v>
      </c>
      <c r="N50">
        <v>1011</v>
      </c>
      <c r="O50" t="s">
        <v>275</v>
      </c>
      <c r="P50" t="s">
        <v>275</v>
      </c>
      <c r="Q50">
        <v>1</v>
      </c>
      <c r="W50">
        <v>0</v>
      </c>
      <c r="X50">
        <v>509054691</v>
      </c>
      <c r="Y50">
        <f>(AT50*1.25)</f>
        <v>0.1875</v>
      </c>
      <c r="AA50">
        <v>0</v>
      </c>
      <c r="AB50">
        <v>856.86</v>
      </c>
      <c r="AC50">
        <v>433.38</v>
      </c>
      <c r="AD50">
        <v>0</v>
      </c>
      <c r="AE50">
        <v>0</v>
      </c>
      <c r="AF50">
        <v>65.709999999999994</v>
      </c>
      <c r="AG50">
        <v>11.6</v>
      </c>
      <c r="AH50">
        <v>0</v>
      </c>
      <c r="AI50">
        <v>1</v>
      </c>
      <c r="AJ50">
        <v>13.04</v>
      </c>
      <c r="AK50">
        <v>37.36</v>
      </c>
      <c r="AL50">
        <v>1</v>
      </c>
      <c r="AM50">
        <v>4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0.15</v>
      </c>
      <c r="AU50" t="s">
        <v>57</v>
      </c>
      <c r="AV50">
        <v>0</v>
      </c>
      <c r="AW50">
        <v>2</v>
      </c>
      <c r="AX50">
        <v>145185586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ROUND(Y50*Source!I38,9)</f>
        <v>6.7500000000000004E-2</v>
      </c>
      <c r="CY50">
        <f>AB50</f>
        <v>856.86</v>
      </c>
      <c r="CZ50">
        <f>AF50</f>
        <v>65.709999999999994</v>
      </c>
      <c r="DA50">
        <f>AJ50</f>
        <v>13.04</v>
      </c>
      <c r="DB50">
        <f>ROUND((ROUND(AT50*CZ50,2)*1.25),2)</f>
        <v>12.33</v>
      </c>
      <c r="DC50">
        <f>ROUND((ROUND(AT50*AG50,2)*1.25),2)</f>
        <v>2.1800000000000002</v>
      </c>
      <c r="DD50" t="s">
        <v>3</v>
      </c>
      <c r="DE50" t="s">
        <v>3</v>
      </c>
      <c r="DF50">
        <f>ROUND(ROUND(AE50,2)*CX50,2)</f>
        <v>0</v>
      </c>
      <c r="DG50">
        <f>ROUND(ROUND(AF50*AJ50,2)*CX50,2)</f>
        <v>57.84</v>
      </c>
      <c r="DH50">
        <f>ROUND(ROUND(AG50*AK50,2)*CX50,2)</f>
        <v>29.25</v>
      </c>
      <c r="DI50">
        <f t="shared" si="4"/>
        <v>0</v>
      </c>
      <c r="DJ50">
        <f>DG50</f>
        <v>57.84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ROW(Source!A38)</f>
        <v>38</v>
      </c>
      <c r="B51">
        <v>145184733</v>
      </c>
      <c r="C51">
        <v>145185581</v>
      </c>
      <c r="D51">
        <v>140771011</v>
      </c>
      <c r="E51">
        <v>1</v>
      </c>
      <c r="F51">
        <v>1</v>
      </c>
      <c r="G51">
        <v>1</v>
      </c>
      <c r="H51">
        <v>3</v>
      </c>
      <c r="I51" t="s">
        <v>318</v>
      </c>
      <c r="J51" t="s">
        <v>319</v>
      </c>
      <c r="K51" t="s">
        <v>320</v>
      </c>
      <c r="L51">
        <v>1346</v>
      </c>
      <c r="N51">
        <v>1009</v>
      </c>
      <c r="O51" t="s">
        <v>92</v>
      </c>
      <c r="P51" t="s">
        <v>92</v>
      </c>
      <c r="Q51">
        <v>1</v>
      </c>
      <c r="W51">
        <v>0</v>
      </c>
      <c r="X51">
        <v>-2118006079</v>
      </c>
      <c r="Y51">
        <f t="shared" ref="Y51:Y69" si="5">AT51</f>
        <v>32.49</v>
      </c>
      <c r="AA51">
        <v>50.61</v>
      </c>
      <c r="AB51">
        <v>0</v>
      </c>
      <c r="AC51">
        <v>0</v>
      </c>
      <c r="AD51">
        <v>0</v>
      </c>
      <c r="AE51">
        <v>6.09</v>
      </c>
      <c r="AF51">
        <v>0</v>
      </c>
      <c r="AG51">
        <v>0</v>
      </c>
      <c r="AH51">
        <v>0</v>
      </c>
      <c r="AI51">
        <v>8.31</v>
      </c>
      <c r="AJ51">
        <v>1</v>
      </c>
      <c r="AK51">
        <v>1</v>
      </c>
      <c r="AL51">
        <v>1</v>
      </c>
      <c r="AM51">
        <v>4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32.49</v>
      </c>
      <c r="AU51" t="s">
        <v>3</v>
      </c>
      <c r="AV51">
        <v>0</v>
      </c>
      <c r="AW51">
        <v>2</v>
      </c>
      <c r="AX51">
        <v>145185587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ROUND(Y51*Source!I38,9)</f>
        <v>11.696400000000001</v>
      </c>
      <c r="CY51">
        <f>AA51</f>
        <v>50.61</v>
      </c>
      <c r="CZ51">
        <f>AE51</f>
        <v>6.09</v>
      </c>
      <c r="DA51">
        <f>AI51</f>
        <v>8.31</v>
      </c>
      <c r="DB51">
        <f t="shared" ref="DB51:DB69" si="6">ROUND(ROUND(AT51*CZ51,2),2)</f>
        <v>197.86</v>
      </c>
      <c r="DC51">
        <f t="shared" ref="DC51:DC69" si="7">ROUND(ROUND(AT51*AG51,2),2)</f>
        <v>0</v>
      </c>
      <c r="DD51" t="s">
        <v>3</v>
      </c>
      <c r="DE51" t="s">
        <v>3</v>
      </c>
      <c r="DF51">
        <f>ROUND(ROUND(AE51*AI51,2)*CX51,2)</f>
        <v>591.95000000000005</v>
      </c>
      <c r="DG51">
        <f>ROUND(ROUND(AF51,2)*CX51,2)</f>
        <v>0</v>
      </c>
      <c r="DH51">
        <f>ROUND(ROUND(AG51,2)*CX51,2)</f>
        <v>0</v>
      </c>
      <c r="DI51">
        <f t="shared" si="4"/>
        <v>0</v>
      </c>
      <c r="DJ51">
        <f>DF51</f>
        <v>591.95000000000005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ROW(Source!A38)</f>
        <v>38</v>
      </c>
      <c r="B52">
        <v>145184733</v>
      </c>
      <c r="C52">
        <v>145185581</v>
      </c>
      <c r="D52">
        <v>140778088</v>
      </c>
      <c r="E52">
        <v>1</v>
      </c>
      <c r="F52">
        <v>1</v>
      </c>
      <c r="G52">
        <v>1</v>
      </c>
      <c r="H52">
        <v>3</v>
      </c>
      <c r="I52" t="s">
        <v>326</v>
      </c>
      <c r="J52" t="s">
        <v>327</v>
      </c>
      <c r="K52" t="s">
        <v>328</v>
      </c>
      <c r="L52">
        <v>1339</v>
      </c>
      <c r="N52">
        <v>1007</v>
      </c>
      <c r="O52" t="s">
        <v>68</v>
      </c>
      <c r="P52" t="s">
        <v>68</v>
      </c>
      <c r="Q52">
        <v>1</v>
      </c>
      <c r="W52">
        <v>0</v>
      </c>
      <c r="X52">
        <v>461598558</v>
      </c>
      <c r="Y52">
        <f t="shared" si="5"/>
        <v>0.51</v>
      </c>
      <c r="AA52">
        <v>4319.54</v>
      </c>
      <c r="AB52">
        <v>0</v>
      </c>
      <c r="AC52">
        <v>0</v>
      </c>
      <c r="AD52">
        <v>0</v>
      </c>
      <c r="AE52">
        <v>519.79999999999995</v>
      </c>
      <c r="AF52">
        <v>0</v>
      </c>
      <c r="AG52">
        <v>0</v>
      </c>
      <c r="AH52">
        <v>0</v>
      </c>
      <c r="AI52">
        <v>8.31</v>
      </c>
      <c r="AJ52">
        <v>1</v>
      </c>
      <c r="AK52">
        <v>1</v>
      </c>
      <c r="AL52">
        <v>1</v>
      </c>
      <c r="AM52">
        <v>4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0.51</v>
      </c>
      <c r="AU52" t="s">
        <v>3</v>
      </c>
      <c r="AV52">
        <v>0</v>
      </c>
      <c r="AW52">
        <v>2</v>
      </c>
      <c r="AX52">
        <v>145185588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ROUND(Y52*Source!I38,9)</f>
        <v>0.18360000000000001</v>
      </c>
      <c r="CY52">
        <f>AA52</f>
        <v>4319.54</v>
      </c>
      <c r="CZ52">
        <f>AE52</f>
        <v>519.79999999999995</v>
      </c>
      <c r="DA52">
        <f>AI52</f>
        <v>8.31</v>
      </c>
      <c r="DB52">
        <f t="shared" si="6"/>
        <v>265.10000000000002</v>
      </c>
      <c r="DC52">
        <f t="shared" si="7"/>
        <v>0</v>
      </c>
      <c r="DD52" t="s">
        <v>3</v>
      </c>
      <c r="DE52" t="s">
        <v>3</v>
      </c>
      <c r="DF52">
        <f>ROUND(ROUND(AE52*AI52,2)*CX52,2)</f>
        <v>793.07</v>
      </c>
      <c r="DG52">
        <f>ROUND(ROUND(AF52,2)*CX52,2)</f>
        <v>0</v>
      </c>
      <c r="DH52">
        <f>ROUND(ROUND(AG52,2)*CX52,2)</f>
        <v>0</v>
      </c>
      <c r="DI52">
        <f t="shared" si="4"/>
        <v>0</v>
      </c>
      <c r="DJ52">
        <f>DF52</f>
        <v>793.07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ROW(Source!A38)</f>
        <v>38</v>
      </c>
      <c r="B53">
        <v>145184733</v>
      </c>
      <c r="C53">
        <v>145185581</v>
      </c>
      <c r="D53">
        <v>140762874</v>
      </c>
      <c r="E53">
        <v>70</v>
      </c>
      <c r="F53">
        <v>1</v>
      </c>
      <c r="G53">
        <v>1</v>
      </c>
      <c r="H53">
        <v>3</v>
      </c>
      <c r="I53" t="s">
        <v>321</v>
      </c>
      <c r="J53" t="s">
        <v>3</v>
      </c>
      <c r="K53" t="s">
        <v>329</v>
      </c>
      <c r="L53">
        <v>1327</v>
      </c>
      <c r="N53">
        <v>1005</v>
      </c>
      <c r="O53" t="s">
        <v>73</v>
      </c>
      <c r="P53" t="s">
        <v>73</v>
      </c>
      <c r="Q53">
        <v>1</v>
      </c>
      <c r="W53">
        <v>0</v>
      </c>
      <c r="X53">
        <v>-188114917</v>
      </c>
      <c r="Y53">
        <f t="shared" si="5"/>
        <v>252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8.31</v>
      </c>
      <c r="AJ53">
        <v>1</v>
      </c>
      <c r="AK53">
        <v>1</v>
      </c>
      <c r="AL53">
        <v>1</v>
      </c>
      <c r="AM53">
        <v>4</v>
      </c>
      <c r="AN53">
        <v>0</v>
      </c>
      <c r="AO53">
        <v>0</v>
      </c>
      <c r="AP53">
        <v>0</v>
      </c>
      <c r="AQ53">
        <v>0</v>
      </c>
      <c r="AR53">
        <v>0</v>
      </c>
      <c r="AS53" t="s">
        <v>3</v>
      </c>
      <c r="AT53">
        <v>252</v>
      </c>
      <c r="AU53" t="s">
        <v>3</v>
      </c>
      <c r="AV53">
        <v>0</v>
      </c>
      <c r="AW53">
        <v>2</v>
      </c>
      <c r="AX53">
        <v>145185589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ROUND(Y53*Source!I38,9)</f>
        <v>90.72</v>
      </c>
      <c r="CY53">
        <f>AA53</f>
        <v>0</v>
      </c>
      <c r="CZ53">
        <f>AE53</f>
        <v>0</v>
      </c>
      <c r="DA53">
        <f>AI53</f>
        <v>8.31</v>
      </c>
      <c r="DB53">
        <f t="shared" si="6"/>
        <v>0</v>
      </c>
      <c r="DC53">
        <f t="shared" si="7"/>
        <v>0</v>
      </c>
      <c r="DD53" t="s">
        <v>3</v>
      </c>
      <c r="DE53" t="s">
        <v>3</v>
      </c>
      <c r="DF53">
        <f>ROUND(ROUND(AE53*AI53,2)*CX53,2)</f>
        <v>0</v>
      </c>
      <c r="DG53">
        <f>ROUND(ROUND(AF53,2)*CX53,2)</f>
        <v>0</v>
      </c>
      <c r="DH53">
        <f>ROUND(ROUND(AG53,2)*CX53,2)</f>
        <v>0</v>
      </c>
      <c r="DI53">
        <f t="shared" si="4"/>
        <v>0</v>
      </c>
      <c r="DJ53">
        <f>DF53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ROW(Source!A41)</f>
        <v>41</v>
      </c>
      <c r="B54">
        <v>145184733</v>
      </c>
      <c r="C54">
        <v>145185598</v>
      </c>
      <c r="D54">
        <v>140759979</v>
      </c>
      <c r="E54">
        <v>70</v>
      </c>
      <c r="F54">
        <v>1</v>
      </c>
      <c r="G54">
        <v>1</v>
      </c>
      <c r="H54">
        <v>1</v>
      </c>
      <c r="I54" t="s">
        <v>330</v>
      </c>
      <c r="J54" t="s">
        <v>3</v>
      </c>
      <c r="K54" t="s">
        <v>331</v>
      </c>
      <c r="L54">
        <v>1191</v>
      </c>
      <c r="N54">
        <v>1013</v>
      </c>
      <c r="O54" t="s">
        <v>271</v>
      </c>
      <c r="P54" t="s">
        <v>271</v>
      </c>
      <c r="Q54">
        <v>1</v>
      </c>
      <c r="W54">
        <v>0</v>
      </c>
      <c r="X54">
        <v>1049124552</v>
      </c>
      <c r="Y54">
        <f t="shared" si="5"/>
        <v>70.25</v>
      </c>
      <c r="AA54">
        <v>0</v>
      </c>
      <c r="AB54">
        <v>0</v>
      </c>
      <c r="AC54">
        <v>0</v>
      </c>
      <c r="AD54">
        <v>318.68</v>
      </c>
      <c r="AE54">
        <v>0</v>
      </c>
      <c r="AF54">
        <v>0</v>
      </c>
      <c r="AG54">
        <v>0</v>
      </c>
      <c r="AH54">
        <v>8.5299999999999994</v>
      </c>
      <c r="AI54">
        <v>1</v>
      </c>
      <c r="AJ54">
        <v>1</v>
      </c>
      <c r="AK54">
        <v>1</v>
      </c>
      <c r="AL54">
        <v>37.36</v>
      </c>
      <c r="AM54">
        <v>4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70.25</v>
      </c>
      <c r="AU54" t="s">
        <v>3</v>
      </c>
      <c r="AV54">
        <v>1</v>
      </c>
      <c r="AW54">
        <v>2</v>
      </c>
      <c r="AX54">
        <v>145185599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ROUND(Y54*Source!I41,9)</f>
        <v>25.29</v>
      </c>
      <c r="CY54">
        <f>AD54</f>
        <v>318.68</v>
      </c>
      <c r="CZ54">
        <f>AH54</f>
        <v>8.5299999999999994</v>
      </c>
      <c r="DA54">
        <f>AL54</f>
        <v>37.36</v>
      </c>
      <c r="DB54">
        <f t="shared" si="6"/>
        <v>599.23</v>
      </c>
      <c r="DC54">
        <f t="shared" si="7"/>
        <v>0</v>
      </c>
      <c r="DD54" t="s">
        <v>3</v>
      </c>
      <c r="DE54" t="s">
        <v>3</v>
      </c>
      <c r="DF54">
        <f>ROUND(ROUND(AE54,2)*CX54,2)</f>
        <v>0</v>
      </c>
      <c r="DG54">
        <f>ROUND(ROUND(AF54,2)*CX54,2)</f>
        <v>0</v>
      </c>
      <c r="DH54">
        <f>ROUND(ROUND(AG54,2)*CX54,2)</f>
        <v>0</v>
      </c>
      <c r="DI54">
        <f>ROUND(ROUND(AH54*AL54,2)*CX54,2)</f>
        <v>8059.42</v>
      </c>
      <c r="DJ54">
        <f>DI54</f>
        <v>8059.42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ROW(Source!A41)</f>
        <v>41</v>
      </c>
      <c r="B55">
        <v>145184733</v>
      </c>
      <c r="C55">
        <v>145185598</v>
      </c>
      <c r="D55">
        <v>140760225</v>
      </c>
      <c r="E55">
        <v>70</v>
      </c>
      <c r="F55">
        <v>1</v>
      </c>
      <c r="G55">
        <v>1</v>
      </c>
      <c r="H55">
        <v>1</v>
      </c>
      <c r="I55" t="s">
        <v>278</v>
      </c>
      <c r="J55" t="s">
        <v>3</v>
      </c>
      <c r="K55" t="s">
        <v>279</v>
      </c>
      <c r="L55">
        <v>1191</v>
      </c>
      <c r="N55">
        <v>1013</v>
      </c>
      <c r="O55" t="s">
        <v>271</v>
      </c>
      <c r="P55" t="s">
        <v>271</v>
      </c>
      <c r="Q55">
        <v>1</v>
      </c>
      <c r="W55">
        <v>0</v>
      </c>
      <c r="X55">
        <v>-1417349443</v>
      </c>
      <c r="Y55">
        <f t="shared" si="5"/>
        <v>0.25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37.36</v>
      </c>
      <c r="AL55">
        <v>1</v>
      </c>
      <c r="AM55">
        <v>4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0.25</v>
      </c>
      <c r="AU55" t="s">
        <v>3</v>
      </c>
      <c r="AV55">
        <v>2</v>
      </c>
      <c r="AW55">
        <v>2</v>
      </c>
      <c r="AX55">
        <v>145185600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ROUND(Y55*Source!I41,9)</f>
        <v>0.09</v>
      </c>
      <c r="CY55">
        <f>AD55</f>
        <v>0</v>
      </c>
      <c r="CZ55">
        <f>AH55</f>
        <v>0</v>
      </c>
      <c r="DA55">
        <f>AL55</f>
        <v>1</v>
      </c>
      <c r="DB55">
        <f t="shared" si="6"/>
        <v>0</v>
      </c>
      <c r="DC55">
        <f t="shared" si="7"/>
        <v>0</v>
      </c>
      <c r="DD55" t="s">
        <v>3</v>
      </c>
      <c r="DE55" t="s">
        <v>3</v>
      </c>
      <c r="DF55">
        <f>ROUND(ROUND(AE55,2)*CX55,2)</f>
        <v>0</v>
      </c>
      <c r="DG55">
        <f>ROUND(ROUND(AF55,2)*CX55,2)</f>
        <v>0</v>
      </c>
      <c r="DH55">
        <f>ROUND(ROUND(AG55*AK55,2)*CX55,2)</f>
        <v>0</v>
      </c>
      <c r="DI55">
        <f t="shared" ref="DI55:DI61" si="8">ROUND(ROUND(AH55,2)*CX55,2)</f>
        <v>0</v>
      </c>
      <c r="DJ55">
        <f>DI55</f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ROW(Source!A41)</f>
        <v>41</v>
      </c>
      <c r="B56">
        <v>145184733</v>
      </c>
      <c r="C56">
        <v>145185598</v>
      </c>
      <c r="D56">
        <v>140923145</v>
      </c>
      <c r="E56">
        <v>1</v>
      </c>
      <c r="F56">
        <v>1</v>
      </c>
      <c r="G56">
        <v>1</v>
      </c>
      <c r="H56">
        <v>2</v>
      </c>
      <c r="I56" t="s">
        <v>332</v>
      </c>
      <c r="J56" t="s">
        <v>333</v>
      </c>
      <c r="K56" t="s">
        <v>334</v>
      </c>
      <c r="L56">
        <v>1367</v>
      </c>
      <c r="N56">
        <v>1011</v>
      </c>
      <c r="O56" t="s">
        <v>275</v>
      </c>
      <c r="P56" t="s">
        <v>275</v>
      </c>
      <c r="Q56">
        <v>1</v>
      </c>
      <c r="W56">
        <v>0</v>
      </c>
      <c r="X56">
        <v>1232162608</v>
      </c>
      <c r="Y56">
        <f t="shared" si="5"/>
        <v>0.18</v>
      </c>
      <c r="AA56">
        <v>0</v>
      </c>
      <c r="AB56">
        <v>407.63</v>
      </c>
      <c r="AC56">
        <v>504.36</v>
      </c>
      <c r="AD56">
        <v>0</v>
      </c>
      <c r="AE56">
        <v>0</v>
      </c>
      <c r="AF56">
        <v>31.26</v>
      </c>
      <c r="AG56">
        <v>13.5</v>
      </c>
      <c r="AH56">
        <v>0</v>
      </c>
      <c r="AI56">
        <v>1</v>
      </c>
      <c r="AJ56">
        <v>13.04</v>
      </c>
      <c r="AK56">
        <v>37.36</v>
      </c>
      <c r="AL56">
        <v>1</v>
      </c>
      <c r="AM56">
        <v>4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0.18</v>
      </c>
      <c r="AU56" t="s">
        <v>3</v>
      </c>
      <c r="AV56">
        <v>0</v>
      </c>
      <c r="AW56">
        <v>2</v>
      </c>
      <c r="AX56">
        <v>145185601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ROUND(Y56*Source!I41,9)</f>
        <v>6.4799999999999996E-2</v>
      </c>
      <c r="CY56">
        <f>AB56</f>
        <v>407.63</v>
      </c>
      <c r="CZ56">
        <f>AF56</f>
        <v>31.26</v>
      </c>
      <c r="DA56">
        <f>AJ56</f>
        <v>13.04</v>
      </c>
      <c r="DB56">
        <f t="shared" si="6"/>
        <v>5.63</v>
      </c>
      <c r="DC56">
        <f t="shared" si="7"/>
        <v>2.4300000000000002</v>
      </c>
      <c r="DD56" t="s">
        <v>3</v>
      </c>
      <c r="DE56" t="s">
        <v>3</v>
      </c>
      <c r="DF56">
        <f>ROUND(ROUND(AE56,2)*CX56,2)</f>
        <v>0</v>
      </c>
      <c r="DG56">
        <f>ROUND(ROUND(AF56*AJ56,2)*CX56,2)</f>
        <v>26.41</v>
      </c>
      <c r="DH56">
        <f>ROUND(ROUND(AG56*AK56,2)*CX56,2)</f>
        <v>32.68</v>
      </c>
      <c r="DI56">
        <f t="shared" si="8"/>
        <v>0</v>
      </c>
      <c r="DJ56">
        <f>DG56</f>
        <v>26.41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ROW(Source!A41)</f>
        <v>41</v>
      </c>
      <c r="B57">
        <v>145184733</v>
      </c>
      <c r="C57">
        <v>145185598</v>
      </c>
      <c r="D57">
        <v>140923885</v>
      </c>
      <c r="E57">
        <v>1</v>
      </c>
      <c r="F57">
        <v>1</v>
      </c>
      <c r="G57">
        <v>1</v>
      </c>
      <c r="H57">
        <v>2</v>
      </c>
      <c r="I57" t="s">
        <v>310</v>
      </c>
      <c r="J57" t="s">
        <v>311</v>
      </c>
      <c r="K57" t="s">
        <v>312</v>
      </c>
      <c r="L57">
        <v>1367</v>
      </c>
      <c r="N57">
        <v>1011</v>
      </c>
      <c r="O57" t="s">
        <v>275</v>
      </c>
      <c r="P57" t="s">
        <v>275</v>
      </c>
      <c r="Q57">
        <v>1</v>
      </c>
      <c r="W57">
        <v>0</v>
      </c>
      <c r="X57">
        <v>509054691</v>
      </c>
      <c r="Y57">
        <f t="shared" si="5"/>
        <v>7.0000000000000007E-2</v>
      </c>
      <c r="AA57">
        <v>0</v>
      </c>
      <c r="AB57">
        <v>856.86</v>
      </c>
      <c r="AC57">
        <v>433.38</v>
      </c>
      <c r="AD57">
        <v>0</v>
      </c>
      <c r="AE57">
        <v>0</v>
      </c>
      <c r="AF57">
        <v>65.709999999999994</v>
      </c>
      <c r="AG57">
        <v>11.6</v>
      </c>
      <c r="AH57">
        <v>0</v>
      </c>
      <c r="AI57">
        <v>1</v>
      </c>
      <c r="AJ57">
        <v>13.04</v>
      </c>
      <c r="AK57">
        <v>37.36</v>
      </c>
      <c r="AL57">
        <v>1</v>
      </c>
      <c r="AM57">
        <v>4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7.0000000000000007E-2</v>
      </c>
      <c r="AU57" t="s">
        <v>3</v>
      </c>
      <c r="AV57">
        <v>0</v>
      </c>
      <c r="AW57">
        <v>2</v>
      </c>
      <c r="AX57">
        <v>145185602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ROUND(Y57*Source!I41,9)</f>
        <v>2.52E-2</v>
      </c>
      <c r="CY57">
        <f>AB57</f>
        <v>856.86</v>
      </c>
      <c r="CZ57">
        <f>AF57</f>
        <v>65.709999999999994</v>
      </c>
      <c r="DA57">
        <f>AJ57</f>
        <v>13.04</v>
      </c>
      <c r="DB57">
        <f t="shared" si="6"/>
        <v>4.5999999999999996</v>
      </c>
      <c r="DC57">
        <f t="shared" si="7"/>
        <v>0.81</v>
      </c>
      <c r="DD57" t="s">
        <v>3</v>
      </c>
      <c r="DE57" t="s">
        <v>3</v>
      </c>
      <c r="DF57">
        <f>ROUND(ROUND(AE57,2)*CX57,2)</f>
        <v>0</v>
      </c>
      <c r="DG57">
        <f>ROUND(ROUND(AF57*AJ57,2)*CX57,2)</f>
        <v>21.59</v>
      </c>
      <c r="DH57">
        <f>ROUND(ROUND(AG57*AK57,2)*CX57,2)</f>
        <v>10.92</v>
      </c>
      <c r="DI57">
        <f t="shared" si="8"/>
        <v>0</v>
      </c>
      <c r="DJ57">
        <f>DG57</f>
        <v>21.59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ROW(Source!A41)</f>
        <v>41</v>
      </c>
      <c r="B58">
        <v>145184733</v>
      </c>
      <c r="C58">
        <v>145185598</v>
      </c>
      <c r="D58">
        <v>140775118</v>
      </c>
      <c r="E58">
        <v>1</v>
      </c>
      <c r="F58">
        <v>1</v>
      </c>
      <c r="G58">
        <v>1</v>
      </c>
      <c r="H58">
        <v>3</v>
      </c>
      <c r="I58" t="s">
        <v>335</v>
      </c>
      <c r="J58" t="s">
        <v>336</v>
      </c>
      <c r="K58" t="s">
        <v>337</v>
      </c>
      <c r="L58">
        <v>1348</v>
      </c>
      <c r="N58">
        <v>1009</v>
      </c>
      <c r="O58" t="s">
        <v>88</v>
      </c>
      <c r="P58" t="s">
        <v>88</v>
      </c>
      <c r="Q58">
        <v>1000</v>
      </c>
      <c r="W58">
        <v>0</v>
      </c>
      <c r="X58">
        <v>-45966985</v>
      </c>
      <c r="Y58">
        <f t="shared" si="5"/>
        <v>4.0000000000000001E-3</v>
      </c>
      <c r="AA58">
        <v>99537.18</v>
      </c>
      <c r="AB58">
        <v>0</v>
      </c>
      <c r="AC58">
        <v>0</v>
      </c>
      <c r="AD58">
        <v>0</v>
      </c>
      <c r="AE58">
        <v>11978</v>
      </c>
      <c r="AF58">
        <v>0</v>
      </c>
      <c r="AG58">
        <v>0</v>
      </c>
      <c r="AH58">
        <v>0</v>
      </c>
      <c r="AI58">
        <v>8.31</v>
      </c>
      <c r="AJ58">
        <v>1</v>
      </c>
      <c r="AK58">
        <v>1</v>
      </c>
      <c r="AL58">
        <v>1</v>
      </c>
      <c r="AM58">
        <v>4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4.0000000000000001E-3</v>
      </c>
      <c r="AU58" t="s">
        <v>3</v>
      </c>
      <c r="AV58">
        <v>0</v>
      </c>
      <c r="AW58">
        <v>2</v>
      </c>
      <c r="AX58">
        <v>145185603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ROUND(Y58*Source!I41,9)</f>
        <v>1.4400000000000001E-3</v>
      </c>
      <c r="CY58">
        <f>AA58</f>
        <v>99537.18</v>
      </c>
      <c r="CZ58">
        <f>AE58</f>
        <v>11978</v>
      </c>
      <c r="DA58">
        <f>AI58</f>
        <v>8.31</v>
      </c>
      <c r="DB58">
        <f t="shared" si="6"/>
        <v>47.91</v>
      </c>
      <c r="DC58">
        <f t="shared" si="7"/>
        <v>0</v>
      </c>
      <c r="DD58" t="s">
        <v>3</v>
      </c>
      <c r="DE58" t="s">
        <v>3</v>
      </c>
      <c r="DF58">
        <f>ROUND(ROUND(AE58*AI58,2)*CX58,2)</f>
        <v>143.33000000000001</v>
      </c>
      <c r="DG58">
        <f t="shared" ref="DG58:DG63" si="9">ROUND(ROUND(AF58,2)*CX58,2)</f>
        <v>0</v>
      </c>
      <c r="DH58">
        <f>ROUND(ROUND(AG58,2)*CX58,2)</f>
        <v>0</v>
      </c>
      <c r="DI58">
        <f t="shared" si="8"/>
        <v>0</v>
      </c>
      <c r="DJ58">
        <f>DF58</f>
        <v>143.33000000000001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ROW(Source!A41)</f>
        <v>41</v>
      </c>
      <c r="B59">
        <v>145184733</v>
      </c>
      <c r="C59">
        <v>145185598</v>
      </c>
      <c r="D59">
        <v>140792324</v>
      </c>
      <c r="E59">
        <v>1</v>
      </c>
      <c r="F59">
        <v>1</v>
      </c>
      <c r="G59">
        <v>1</v>
      </c>
      <c r="H59">
        <v>3</v>
      </c>
      <c r="I59" t="s">
        <v>338</v>
      </c>
      <c r="J59" t="s">
        <v>339</v>
      </c>
      <c r="K59" t="s">
        <v>340</v>
      </c>
      <c r="L59">
        <v>1348</v>
      </c>
      <c r="N59">
        <v>1009</v>
      </c>
      <c r="O59" t="s">
        <v>88</v>
      </c>
      <c r="P59" t="s">
        <v>88</v>
      </c>
      <c r="Q59">
        <v>1000</v>
      </c>
      <c r="W59">
        <v>0</v>
      </c>
      <c r="X59">
        <v>660354419</v>
      </c>
      <c r="Y59">
        <f t="shared" si="5"/>
        <v>1.2E-2</v>
      </c>
      <c r="AA59">
        <v>66671.13</v>
      </c>
      <c r="AB59">
        <v>0</v>
      </c>
      <c r="AC59">
        <v>0</v>
      </c>
      <c r="AD59">
        <v>0</v>
      </c>
      <c r="AE59">
        <v>8023</v>
      </c>
      <c r="AF59">
        <v>0</v>
      </c>
      <c r="AG59">
        <v>0</v>
      </c>
      <c r="AH59">
        <v>0</v>
      </c>
      <c r="AI59">
        <v>8.31</v>
      </c>
      <c r="AJ59">
        <v>1</v>
      </c>
      <c r="AK59">
        <v>1</v>
      </c>
      <c r="AL59">
        <v>1</v>
      </c>
      <c r="AM59">
        <v>4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1.2E-2</v>
      </c>
      <c r="AU59" t="s">
        <v>3</v>
      </c>
      <c r="AV59">
        <v>0</v>
      </c>
      <c r="AW59">
        <v>2</v>
      </c>
      <c r="AX59">
        <v>145185604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ROUND(Y59*Source!I41,9)</f>
        <v>4.3200000000000001E-3</v>
      </c>
      <c r="CY59">
        <f>AA59</f>
        <v>66671.13</v>
      </c>
      <c r="CZ59">
        <f>AE59</f>
        <v>8023</v>
      </c>
      <c r="DA59">
        <f>AI59</f>
        <v>8.31</v>
      </c>
      <c r="DB59">
        <f t="shared" si="6"/>
        <v>96.28</v>
      </c>
      <c r="DC59">
        <f t="shared" si="7"/>
        <v>0</v>
      </c>
      <c r="DD59" t="s">
        <v>3</v>
      </c>
      <c r="DE59" t="s">
        <v>3</v>
      </c>
      <c r="DF59">
        <f>ROUND(ROUND(AE59*AI59,2)*CX59,2)</f>
        <v>288.02</v>
      </c>
      <c r="DG59">
        <f t="shared" si="9"/>
        <v>0</v>
      </c>
      <c r="DH59">
        <f>ROUND(ROUND(AG59,2)*CX59,2)</f>
        <v>0</v>
      </c>
      <c r="DI59">
        <f t="shared" si="8"/>
        <v>0</v>
      </c>
      <c r="DJ59">
        <f>DF59</f>
        <v>288.02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ROW(Source!A41)</f>
        <v>41</v>
      </c>
      <c r="B60">
        <v>145184733</v>
      </c>
      <c r="C60">
        <v>145185598</v>
      </c>
      <c r="D60">
        <v>140762309</v>
      </c>
      <c r="E60">
        <v>70</v>
      </c>
      <c r="F60">
        <v>1</v>
      </c>
      <c r="G60">
        <v>1</v>
      </c>
      <c r="H60">
        <v>3</v>
      </c>
      <c r="I60" t="s">
        <v>341</v>
      </c>
      <c r="J60" t="s">
        <v>3</v>
      </c>
      <c r="K60" t="s">
        <v>342</v>
      </c>
      <c r="L60">
        <v>1348</v>
      </c>
      <c r="N60">
        <v>1009</v>
      </c>
      <c r="O60" t="s">
        <v>88</v>
      </c>
      <c r="P60" t="s">
        <v>88</v>
      </c>
      <c r="Q60">
        <v>1000</v>
      </c>
      <c r="W60">
        <v>0</v>
      </c>
      <c r="X60">
        <v>789990620</v>
      </c>
      <c r="Y60">
        <f t="shared" si="5"/>
        <v>0.41199999999999998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8.31</v>
      </c>
      <c r="AJ60">
        <v>1</v>
      </c>
      <c r="AK60">
        <v>1</v>
      </c>
      <c r="AL60">
        <v>1</v>
      </c>
      <c r="AM60">
        <v>4</v>
      </c>
      <c r="AN60">
        <v>0</v>
      </c>
      <c r="AO60">
        <v>0</v>
      </c>
      <c r="AP60">
        <v>0</v>
      </c>
      <c r="AQ60">
        <v>0</v>
      </c>
      <c r="AR60">
        <v>0</v>
      </c>
      <c r="AS60" t="s">
        <v>3</v>
      </c>
      <c r="AT60">
        <v>0.41199999999999998</v>
      </c>
      <c r="AU60" t="s">
        <v>3</v>
      </c>
      <c r="AV60">
        <v>0</v>
      </c>
      <c r="AW60">
        <v>2</v>
      </c>
      <c r="AX60">
        <v>145185605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ROUND(Y60*Source!I41,9)</f>
        <v>0.14832000000000001</v>
      </c>
      <c r="CY60">
        <f>AA60</f>
        <v>0</v>
      </c>
      <c r="CZ60">
        <f>AE60</f>
        <v>0</v>
      </c>
      <c r="DA60">
        <f>AI60</f>
        <v>8.31</v>
      </c>
      <c r="DB60">
        <f t="shared" si="6"/>
        <v>0</v>
      </c>
      <c r="DC60">
        <f t="shared" si="7"/>
        <v>0</v>
      </c>
      <c r="DD60" t="s">
        <v>3</v>
      </c>
      <c r="DE60" t="s">
        <v>3</v>
      </c>
      <c r="DF60">
        <f>ROUND(ROUND(AE60*AI60,2)*CX60,2)</f>
        <v>0</v>
      </c>
      <c r="DG60">
        <f t="shared" si="9"/>
        <v>0</v>
      </c>
      <c r="DH60">
        <f>ROUND(ROUND(AG60,2)*CX60,2)</f>
        <v>0</v>
      </c>
      <c r="DI60">
        <f t="shared" si="8"/>
        <v>0</v>
      </c>
      <c r="DJ60">
        <f>DF60</f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ROW(Source!A41)</f>
        <v>41</v>
      </c>
      <c r="B61">
        <v>145184733</v>
      </c>
      <c r="C61">
        <v>145185598</v>
      </c>
      <c r="D61">
        <v>140765020</v>
      </c>
      <c r="E61">
        <v>70</v>
      </c>
      <c r="F61">
        <v>1</v>
      </c>
      <c r="G61">
        <v>1</v>
      </c>
      <c r="H61">
        <v>3</v>
      </c>
      <c r="I61" t="s">
        <v>343</v>
      </c>
      <c r="J61" t="s">
        <v>3</v>
      </c>
      <c r="K61" t="s">
        <v>344</v>
      </c>
      <c r="L61">
        <v>1348</v>
      </c>
      <c r="N61">
        <v>1009</v>
      </c>
      <c r="O61" t="s">
        <v>88</v>
      </c>
      <c r="P61" t="s">
        <v>88</v>
      </c>
      <c r="Q61">
        <v>1000</v>
      </c>
      <c r="W61">
        <v>0</v>
      </c>
      <c r="X61">
        <v>2102561428</v>
      </c>
      <c r="Y61">
        <f t="shared" si="5"/>
        <v>0.49199999999999999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8.31</v>
      </c>
      <c r="AJ61">
        <v>1</v>
      </c>
      <c r="AK61">
        <v>1</v>
      </c>
      <c r="AL61">
        <v>1</v>
      </c>
      <c r="AM61">
        <v>4</v>
      </c>
      <c r="AN61">
        <v>0</v>
      </c>
      <c r="AO61">
        <v>0</v>
      </c>
      <c r="AP61">
        <v>0</v>
      </c>
      <c r="AQ61">
        <v>0</v>
      </c>
      <c r="AR61">
        <v>0</v>
      </c>
      <c r="AS61" t="s">
        <v>3</v>
      </c>
      <c r="AT61">
        <v>0.49199999999999999</v>
      </c>
      <c r="AU61" t="s">
        <v>3</v>
      </c>
      <c r="AV61">
        <v>0</v>
      </c>
      <c r="AW61">
        <v>2</v>
      </c>
      <c r="AX61">
        <v>145185606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ROUND(Y61*Source!I41,9)</f>
        <v>0.17712</v>
      </c>
      <c r="CY61">
        <f>AA61</f>
        <v>0</v>
      </c>
      <c r="CZ61">
        <f>AE61</f>
        <v>0</v>
      </c>
      <c r="DA61">
        <f>AI61</f>
        <v>8.31</v>
      </c>
      <c r="DB61">
        <f t="shared" si="6"/>
        <v>0</v>
      </c>
      <c r="DC61">
        <f t="shared" si="7"/>
        <v>0</v>
      </c>
      <c r="DD61" t="s">
        <v>3</v>
      </c>
      <c r="DE61" t="s">
        <v>3</v>
      </c>
      <c r="DF61">
        <f>ROUND(ROUND(AE61*AI61,2)*CX61,2)</f>
        <v>0</v>
      </c>
      <c r="DG61">
        <f t="shared" si="9"/>
        <v>0</v>
      </c>
      <c r="DH61">
        <f>ROUND(ROUND(AG61,2)*CX61,2)</f>
        <v>0</v>
      </c>
      <c r="DI61">
        <f t="shared" si="8"/>
        <v>0</v>
      </c>
      <c r="DJ61">
        <f>DF61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ROW(Source!A42)</f>
        <v>42</v>
      </c>
      <c r="B62">
        <v>145184733</v>
      </c>
      <c r="C62">
        <v>145187343</v>
      </c>
      <c r="D62">
        <v>140759979</v>
      </c>
      <c r="E62">
        <v>70</v>
      </c>
      <c r="F62">
        <v>1</v>
      </c>
      <c r="G62">
        <v>1</v>
      </c>
      <c r="H62">
        <v>1</v>
      </c>
      <c r="I62" t="s">
        <v>330</v>
      </c>
      <c r="J62" t="s">
        <v>3</v>
      </c>
      <c r="K62" t="s">
        <v>331</v>
      </c>
      <c r="L62">
        <v>1191</v>
      </c>
      <c r="N62">
        <v>1013</v>
      </c>
      <c r="O62" t="s">
        <v>271</v>
      </c>
      <c r="P62" t="s">
        <v>271</v>
      </c>
      <c r="Q62">
        <v>1</v>
      </c>
      <c r="W62">
        <v>0</v>
      </c>
      <c r="X62">
        <v>1049124552</v>
      </c>
      <c r="Y62">
        <f t="shared" si="5"/>
        <v>63.22</v>
      </c>
      <c r="AA62">
        <v>0</v>
      </c>
      <c r="AB62">
        <v>0</v>
      </c>
      <c r="AC62">
        <v>0</v>
      </c>
      <c r="AD62">
        <v>318.68</v>
      </c>
      <c r="AE62">
        <v>0</v>
      </c>
      <c r="AF62">
        <v>0</v>
      </c>
      <c r="AG62">
        <v>0</v>
      </c>
      <c r="AH62">
        <v>8.5299999999999994</v>
      </c>
      <c r="AI62">
        <v>1</v>
      </c>
      <c r="AJ62">
        <v>1</v>
      </c>
      <c r="AK62">
        <v>1</v>
      </c>
      <c r="AL62">
        <v>37.36</v>
      </c>
      <c r="AM62">
        <v>4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63.22</v>
      </c>
      <c r="AU62" t="s">
        <v>3</v>
      </c>
      <c r="AV62">
        <v>1</v>
      </c>
      <c r="AW62">
        <v>2</v>
      </c>
      <c r="AX62">
        <v>145187344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ROUND(Y62*Source!I42,9)</f>
        <v>60.691200000000002</v>
      </c>
      <c r="CY62">
        <f>AD62</f>
        <v>318.68</v>
      </c>
      <c r="CZ62">
        <f>AH62</f>
        <v>8.5299999999999994</v>
      </c>
      <c r="DA62">
        <f>AL62</f>
        <v>37.36</v>
      </c>
      <c r="DB62">
        <f t="shared" si="6"/>
        <v>539.27</v>
      </c>
      <c r="DC62">
        <f t="shared" si="7"/>
        <v>0</v>
      </c>
      <c r="DD62" t="s">
        <v>3</v>
      </c>
      <c r="DE62" t="s">
        <v>3</v>
      </c>
      <c r="DF62">
        <f>ROUND(ROUND(AE62,2)*CX62,2)</f>
        <v>0</v>
      </c>
      <c r="DG62">
        <f t="shared" si="9"/>
        <v>0</v>
      </c>
      <c r="DH62">
        <f>ROUND(ROUND(AG62,2)*CX62,2)</f>
        <v>0</v>
      </c>
      <c r="DI62">
        <f>ROUND(ROUND(AH62*AL62,2)*CX62,2)</f>
        <v>19341.07</v>
      </c>
      <c r="DJ62">
        <f>DI62</f>
        <v>19341.07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ROW(Source!A42)</f>
        <v>42</v>
      </c>
      <c r="B63">
        <v>145184733</v>
      </c>
      <c r="C63">
        <v>145187343</v>
      </c>
      <c r="D63">
        <v>140760225</v>
      </c>
      <c r="E63">
        <v>70</v>
      </c>
      <c r="F63">
        <v>1</v>
      </c>
      <c r="G63">
        <v>1</v>
      </c>
      <c r="H63">
        <v>1</v>
      </c>
      <c r="I63" t="s">
        <v>278</v>
      </c>
      <c r="J63" t="s">
        <v>3</v>
      </c>
      <c r="K63" t="s">
        <v>279</v>
      </c>
      <c r="L63">
        <v>1191</v>
      </c>
      <c r="N63">
        <v>1013</v>
      </c>
      <c r="O63" t="s">
        <v>271</v>
      </c>
      <c r="P63" t="s">
        <v>271</v>
      </c>
      <c r="Q63">
        <v>1</v>
      </c>
      <c r="W63">
        <v>0</v>
      </c>
      <c r="X63">
        <v>-1417349443</v>
      </c>
      <c r="Y63">
        <f t="shared" si="5"/>
        <v>0.2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37.36</v>
      </c>
      <c r="AL63">
        <v>1</v>
      </c>
      <c r="AM63">
        <v>4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0.2</v>
      </c>
      <c r="AU63" t="s">
        <v>3</v>
      </c>
      <c r="AV63">
        <v>2</v>
      </c>
      <c r="AW63">
        <v>2</v>
      </c>
      <c r="AX63">
        <v>145187345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ROUND(Y63*Source!I42,9)</f>
        <v>0.192</v>
      </c>
      <c r="CY63">
        <f>AD63</f>
        <v>0</v>
      </c>
      <c r="CZ63">
        <f>AH63</f>
        <v>0</v>
      </c>
      <c r="DA63">
        <f>AL63</f>
        <v>1</v>
      </c>
      <c r="DB63">
        <f t="shared" si="6"/>
        <v>0</v>
      </c>
      <c r="DC63">
        <f t="shared" si="7"/>
        <v>0</v>
      </c>
      <c r="DD63" t="s">
        <v>3</v>
      </c>
      <c r="DE63" t="s">
        <v>3</v>
      </c>
      <c r="DF63">
        <f>ROUND(ROUND(AE63,2)*CX63,2)</f>
        <v>0</v>
      </c>
      <c r="DG63">
        <f t="shared" si="9"/>
        <v>0</v>
      </c>
      <c r="DH63">
        <f>ROUND(ROUND(AG63*AK63,2)*CX63,2)</f>
        <v>0</v>
      </c>
      <c r="DI63">
        <f t="shared" ref="DI63:DI69" si="10">ROUND(ROUND(AH63,2)*CX63,2)</f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ROW(Source!A42)</f>
        <v>42</v>
      </c>
      <c r="B64">
        <v>145184733</v>
      </c>
      <c r="C64">
        <v>145187343</v>
      </c>
      <c r="D64">
        <v>140923145</v>
      </c>
      <c r="E64">
        <v>1</v>
      </c>
      <c r="F64">
        <v>1</v>
      </c>
      <c r="G64">
        <v>1</v>
      </c>
      <c r="H64">
        <v>2</v>
      </c>
      <c r="I64" t="s">
        <v>332</v>
      </c>
      <c r="J64" t="s">
        <v>333</v>
      </c>
      <c r="K64" t="s">
        <v>334</v>
      </c>
      <c r="L64">
        <v>1367</v>
      </c>
      <c r="N64">
        <v>1011</v>
      </c>
      <c r="O64" t="s">
        <v>275</v>
      </c>
      <c r="P64" t="s">
        <v>275</v>
      </c>
      <c r="Q64">
        <v>1</v>
      </c>
      <c r="W64">
        <v>0</v>
      </c>
      <c r="X64">
        <v>1232162608</v>
      </c>
      <c r="Y64">
        <f t="shared" si="5"/>
        <v>0.14000000000000001</v>
      </c>
      <c r="AA64">
        <v>0</v>
      </c>
      <c r="AB64">
        <v>407.63</v>
      </c>
      <c r="AC64">
        <v>504.36</v>
      </c>
      <c r="AD64">
        <v>0</v>
      </c>
      <c r="AE64">
        <v>0</v>
      </c>
      <c r="AF64">
        <v>31.26</v>
      </c>
      <c r="AG64">
        <v>13.5</v>
      </c>
      <c r="AH64">
        <v>0</v>
      </c>
      <c r="AI64">
        <v>1</v>
      </c>
      <c r="AJ64">
        <v>13.04</v>
      </c>
      <c r="AK64">
        <v>37.36</v>
      </c>
      <c r="AL64">
        <v>1</v>
      </c>
      <c r="AM64">
        <v>4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0.14000000000000001</v>
      </c>
      <c r="AU64" t="s">
        <v>3</v>
      </c>
      <c r="AV64">
        <v>0</v>
      </c>
      <c r="AW64">
        <v>2</v>
      </c>
      <c r="AX64">
        <v>145187346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ROUND(Y64*Source!I42,9)</f>
        <v>0.13439999999999999</v>
      </c>
      <c r="CY64">
        <f>AB64</f>
        <v>407.63</v>
      </c>
      <c r="CZ64">
        <f>AF64</f>
        <v>31.26</v>
      </c>
      <c r="DA64">
        <f>AJ64</f>
        <v>13.04</v>
      </c>
      <c r="DB64">
        <f t="shared" si="6"/>
        <v>4.38</v>
      </c>
      <c r="DC64">
        <f t="shared" si="7"/>
        <v>1.89</v>
      </c>
      <c r="DD64" t="s">
        <v>3</v>
      </c>
      <c r="DE64" t="s">
        <v>3</v>
      </c>
      <c r="DF64">
        <f>ROUND(ROUND(AE64,2)*CX64,2)</f>
        <v>0</v>
      </c>
      <c r="DG64">
        <f>ROUND(ROUND(AF64*AJ64,2)*CX64,2)</f>
        <v>54.79</v>
      </c>
      <c r="DH64">
        <f>ROUND(ROUND(AG64*AK64,2)*CX64,2)</f>
        <v>67.790000000000006</v>
      </c>
      <c r="DI64">
        <f t="shared" si="10"/>
        <v>0</v>
      </c>
      <c r="DJ64">
        <f>DG64</f>
        <v>54.79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ROW(Source!A42)</f>
        <v>42</v>
      </c>
      <c r="B65">
        <v>145184733</v>
      </c>
      <c r="C65">
        <v>145187343</v>
      </c>
      <c r="D65">
        <v>140923885</v>
      </c>
      <c r="E65">
        <v>1</v>
      </c>
      <c r="F65">
        <v>1</v>
      </c>
      <c r="G65">
        <v>1</v>
      </c>
      <c r="H65">
        <v>2</v>
      </c>
      <c r="I65" t="s">
        <v>310</v>
      </c>
      <c r="J65" t="s">
        <v>311</v>
      </c>
      <c r="K65" t="s">
        <v>312</v>
      </c>
      <c r="L65">
        <v>1367</v>
      </c>
      <c r="N65">
        <v>1011</v>
      </c>
      <c r="O65" t="s">
        <v>275</v>
      </c>
      <c r="P65" t="s">
        <v>275</v>
      </c>
      <c r="Q65">
        <v>1</v>
      </c>
      <c r="W65">
        <v>0</v>
      </c>
      <c r="X65">
        <v>509054691</v>
      </c>
      <c r="Y65">
        <f t="shared" si="5"/>
        <v>0.06</v>
      </c>
      <c r="AA65">
        <v>0</v>
      </c>
      <c r="AB65">
        <v>856.86</v>
      </c>
      <c r="AC65">
        <v>433.38</v>
      </c>
      <c r="AD65">
        <v>0</v>
      </c>
      <c r="AE65">
        <v>0</v>
      </c>
      <c r="AF65">
        <v>65.709999999999994</v>
      </c>
      <c r="AG65">
        <v>11.6</v>
      </c>
      <c r="AH65">
        <v>0</v>
      </c>
      <c r="AI65">
        <v>1</v>
      </c>
      <c r="AJ65">
        <v>13.04</v>
      </c>
      <c r="AK65">
        <v>37.36</v>
      </c>
      <c r="AL65">
        <v>1</v>
      </c>
      <c r="AM65">
        <v>4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0.06</v>
      </c>
      <c r="AU65" t="s">
        <v>3</v>
      </c>
      <c r="AV65">
        <v>0</v>
      </c>
      <c r="AW65">
        <v>2</v>
      </c>
      <c r="AX65">
        <v>145187347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ROUND(Y65*Source!I42,9)</f>
        <v>5.7599999999999998E-2</v>
      </c>
      <c r="CY65">
        <f>AB65</f>
        <v>856.86</v>
      </c>
      <c r="CZ65">
        <f>AF65</f>
        <v>65.709999999999994</v>
      </c>
      <c r="DA65">
        <f>AJ65</f>
        <v>13.04</v>
      </c>
      <c r="DB65">
        <f t="shared" si="6"/>
        <v>3.94</v>
      </c>
      <c r="DC65">
        <f t="shared" si="7"/>
        <v>0.7</v>
      </c>
      <c r="DD65" t="s">
        <v>3</v>
      </c>
      <c r="DE65" t="s">
        <v>3</v>
      </c>
      <c r="DF65">
        <f>ROUND(ROUND(AE65,2)*CX65,2)</f>
        <v>0</v>
      </c>
      <c r="DG65">
        <f>ROUND(ROUND(AF65*AJ65,2)*CX65,2)</f>
        <v>49.36</v>
      </c>
      <c r="DH65">
        <f>ROUND(ROUND(AG65*AK65,2)*CX65,2)</f>
        <v>24.96</v>
      </c>
      <c r="DI65">
        <f t="shared" si="10"/>
        <v>0</v>
      </c>
      <c r="DJ65">
        <f>DG65</f>
        <v>49.36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ROW(Source!A42)</f>
        <v>42</v>
      </c>
      <c r="B66">
        <v>145184733</v>
      </c>
      <c r="C66">
        <v>145187343</v>
      </c>
      <c r="D66">
        <v>140775118</v>
      </c>
      <c r="E66">
        <v>1</v>
      </c>
      <c r="F66">
        <v>1</v>
      </c>
      <c r="G66">
        <v>1</v>
      </c>
      <c r="H66">
        <v>3</v>
      </c>
      <c r="I66" t="s">
        <v>335</v>
      </c>
      <c r="J66" t="s">
        <v>336</v>
      </c>
      <c r="K66" t="s">
        <v>337</v>
      </c>
      <c r="L66">
        <v>1348</v>
      </c>
      <c r="N66">
        <v>1009</v>
      </c>
      <c r="O66" t="s">
        <v>88</v>
      </c>
      <c r="P66" t="s">
        <v>88</v>
      </c>
      <c r="Q66">
        <v>1000</v>
      </c>
      <c r="W66">
        <v>0</v>
      </c>
      <c r="X66">
        <v>-45966985</v>
      </c>
      <c r="Y66">
        <f t="shared" si="5"/>
        <v>4.0000000000000001E-3</v>
      </c>
      <c r="AA66">
        <v>99537.18</v>
      </c>
      <c r="AB66">
        <v>0</v>
      </c>
      <c r="AC66">
        <v>0</v>
      </c>
      <c r="AD66">
        <v>0</v>
      </c>
      <c r="AE66">
        <v>11978</v>
      </c>
      <c r="AF66">
        <v>0</v>
      </c>
      <c r="AG66">
        <v>0</v>
      </c>
      <c r="AH66">
        <v>0</v>
      </c>
      <c r="AI66">
        <v>8.31</v>
      </c>
      <c r="AJ66">
        <v>1</v>
      </c>
      <c r="AK66">
        <v>1</v>
      </c>
      <c r="AL66">
        <v>1</v>
      </c>
      <c r="AM66">
        <v>4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4.0000000000000001E-3</v>
      </c>
      <c r="AU66" t="s">
        <v>3</v>
      </c>
      <c r="AV66">
        <v>0</v>
      </c>
      <c r="AW66">
        <v>2</v>
      </c>
      <c r="AX66">
        <v>145187348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ROUND(Y66*Source!I42,9)</f>
        <v>3.8400000000000001E-3</v>
      </c>
      <c r="CY66">
        <f>AA66</f>
        <v>99537.18</v>
      </c>
      <c r="CZ66">
        <f>AE66</f>
        <v>11978</v>
      </c>
      <c r="DA66">
        <f>AI66</f>
        <v>8.31</v>
      </c>
      <c r="DB66">
        <f t="shared" si="6"/>
        <v>47.91</v>
      </c>
      <c r="DC66">
        <f t="shared" si="7"/>
        <v>0</v>
      </c>
      <c r="DD66" t="s">
        <v>3</v>
      </c>
      <c r="DE66" t="s">
        <v>3</v>
      </c>
      <c r="DF66">
        <f>ROUND(ROUND(AE66*AI66,2)*CX66,2)</f>
        <v>382.22</v>
      </c>
      <c r="DG66">
        <f>ROUND(ROUND(AF66,2)*CX66,2)</f>
        <v>0</v>
      </c>
      <c r="DH66">
        <f>ROUND(ROUND(AG66,2)*CX66,2)</f>
        <v>0</v>
      </c>
      <c r="DI66">
        <f t="shared" si="10"/>
        <v>0</v>
      </c>
      <c r="DJ66">
        <f>DF66</f>
        <v>382.22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ROW(Source!A42)</f>
        <v>42</v>
      </c>
      <c r="B67">
        <v>145184733</v>
      </c>
      <c r="C67">
        <v>145187343</v>
      </c>
      <c r="D67">
        <v>140792324</v>
      </c>
      <c r="E67">
        <v>1</v>
      </c>
      <c r="F67">
        <v>1</v>
      </c>
      <c r="G67">
        <v>1</v>
      </c>
      <c r="H67">
        <v>3</v>
      </c>
      <c r="I67" t="s">
        <v>338</v>
      </c>
      <c r="J67" t="s">
        <v>339</v>
      </c>
      <c r="K67" t="s">
        <v>340</v>
      </c>
      <c r="L67">
        <v>1348</v>
      </c>
      <c r="N67">
        <v>1009</v>
      </c>
      <c r="O67" t="s">
        <v>88</v>
      </c>
      <c r="P67" t="s">
        <v>88</v>
      </c>
      <c r="Q67">
        <v>1000</v>
      </c>
      <c r="W67">
        <v>0</v>
      </c>
      <c r="X67">
        <v>660354419</v>
      </c>
      <c r="Y67">
        <f t="shared" si="5"/>
        <v>6.0000000000000001E-3</v>
      </c>
      <c r="AA67">
        <v>66671.13</v>
      </c>
      <c r="AB67">
        <v>0</v>
      </c>
      <c r="AC67">
        <v>0</v>
      </c>
      <c r="AD67">
        <v>0</v>
      </c>
      <c r="AE67">
        <v>8023</v>
      </c>
      <c r="AF67">
        <v>0</v>
      </c>
      <c r="AG67">
        <v>0</v>
      </c>
      <c r="AH67">
        <v>0</v>
      </c>
      <c r="AI67">
        <v>8.31</v>
      </c>
      <c r="AJ67">
        <v>1</v>
      </c>
      <c r="AK67">
        <v>1</v>
      </c>
      <c r="AL67">
        <v>1</v>
      </c>
      <c r="AM67">
        <v>4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6.0000000000000001E-3</v>
      </c>
      <c r="AU67" t="s">
        <v>3</v>
      </c>
      <c r="AV67">
        <v>0</v>
      </c>
      <c r="AW67">
        <v>2</v>
      </c>
      <c r="AX67">
        <v>145187349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ROUND(Y67*Source!I42,9)</f>
        <v>5.7600000000000004E-3</v>
      </c>
      <c r="CY67">
        <f>AA67</f>
        <v>66671.13</v>
      </c>
      <c r="CZ67">
        <f>AE67</f>
        <v>8023</v>
      </c>
      <c r="DA67">
        <f>AI67</f>
        <v>8.31</v>
      </c>
      <c r="DB67">
        <f t="shared" si="6"/>
        <v>48.14</v>
      </c>
      <c r="DC67">
        <f t="shared" si="7"/>
        <v>0</v>
      </c>
      <c r="DD67" t="s">
        <v>3</v>
      </c>
      <c r="DE67" t="s">
        <v>3</v>
      </c>
      <c r="DF67">
        <f>ROUND(ROUND(AE67*AI67,2)*CX67,2)</f>
        <v>384.03</v>
      </c>
      <c r="DG67">
        <f>ROUND(ROUND(AF67,2)*CX67,2)</f>
        <v>0</v>
      </c>
      <c r="DH67">
        <f>ROUND(ROUND(AG67,2)*CX67,2)</f>
        <v>0</v>
      </c>
      <c r="DI67">
        <f t="shared" si="10"/>
        <v>0</v>
      </c>
      <c r="DJ67">
        <f>DF67</f>
        <v>384.03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ROW(Source!A42)</f>
        <v>42</v>
      </c>
      <c r="B68">
        <v>145184733</v>
      </c>
      <c r="C68">
        <v>145187343</v>
      </c>
      <c r="D68">
        <v>140762309</v>
      </c>
      <c r="E68">
        <v>70</v>
      </c>
      <c r="F68">
        <v>1</v>
      </c>
      <c r="G68">
        <v>1</v>
      </c>
      <c r="H68">
        <v>3</v>
      </c>
      <c r="I68" t="s">
        <v>341</v>
      </c>
      <c r="J68" t="s">
        <v>3</v>
      </c>
      <c r="K68" t="s">
        <v>342</v>
      </c>
      <c r="L68">
        <v>1348</v>
      </c>
      <c r="N68">
        <v>1009</v>
      </c>
      <c r="O68" t="s">
        <v>88</v>
      </c>
      <c r="P68" t="s">
        <v>88</v>
      </c>
      <c r="Q68">
        <v>1000</v>
      </c>
      <c r="W68">
        <v>0</v>
      </c>
      <c r="X68">
        <v>789990620</v>
      </c>
      <c r="Y68">
        <f t="shared" si="5"/>
        <v>0.32400000000000001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8.31</v>
      </c>
      <c r="AJ68">
        <v>1</v>
      </c>
      <c r="AK68">
        <v>1</v>
      </c>
      <c r="AL68">
        <v>1</v>
      </c>
      <c r="AM68">
        <v>4</v>
      </c>
      <c r="AN68">
        <v>0</v>
      </c>
      <c r="AO68">
        <v>0</v>
      </c>
      <c r="AP68">
        <v>0</v>
      </c>
      <c r="AQ68">
        <v>0</v>
      </c>
      <c r="AR68">
        <v>0</v>
      </c>
      <c r="AS68" t="s">
        <v>3</v>
      </c>
      <c r="AT68">
        <v>0.32400000000000001</v>
      </c>
      <c r="AU68" t="s">
        <v>3</v>
      </c>
      <c r="AV68">
        <v>0</v>
      </c>
      <c r="AW68">
        <v>2</v>
      </c>
      <c r="AX68">
        <v>145187350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ROUND(Y68*Source!I42,9)</f>
        <v>0.31103999999999998</v>
      </c>
      <c r="CY68">
        <f>AA68</f>
        <v>0</v>
      </c>
      <c r="CZ68">
        <f>AE68</f>
        <v>0</v>
      </c>
      <c r="DA68">
        <f>AI68</f>
        <v>8.31</v>
      </c>
      <c r="DB68">
        <f t="shared" si="6"/>
        <v>0</v>
      </c>
      <c r="DC68">
        <f t="shared" si="7"/>
        <v>0</v>
      </c>
      <c r="DD68" t="s">
        <v>3</v>
      </c>
      <c r="DE68" t="s">
        <v>3</v>
      </c>
      <c r="DF68">
        <f>ROUND(ROUND(AE68*AI68,2)*CX68,2)</f>
        <v>0</v>
      </c>
      <c r="DG68">
        <f>ROUND(ROUND(AF68,2)*CX68,2)</f>
        <v>0</v>
      </c>
      <c r="DH68">
        <f>ROUND(ROUND(AG68,2)*CX68,2)</f>
        <v>0</v>
      </c>
      <c r="DI68">
        <f t="shared" si="10"/>
        <v>0</v>
      </c>
      <c r="DJ68">
        <f>DF68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ROW(Source!A42)</f>
        <v>42</v>
      </c>
      <c r="B69">
        <v>145184733</v>
      </c>
      <c r="C69">
        <v>145187343</v>
      </c>
      <c r="D69">
        <v>140765020</v>
      </c>
      <c r="E69">
        <v>70</v>
      </c>
      <c r="F69">
        <v>1</v>
      </c>
      <c r="G69">
        <v>1</v>
      </c>
      <c r="H69">
        <v>3</v>
      </c>
      <c r="I69" t="s">
        <v>343</v>
      </c>
      <c r="J69" t="s">
        <v>3</v>
      </c>
      <c r="K69" t="s">
        <v>344</v>
      </c>
      <c r="L69">
        <v>1348</v>
      </c>
      <c r="N69">
        <v>1009</v>
      </c>
      <c r="O69" t="s">
        <v>88</v>
      </c>
      <c r="P69" t="s">
        <v>88</v>
      </c>
      <c r="Q69">
        <v>1000</v>
      </c>
      <c r="W69">
        <v>0</v>
      </c>
      <c r="X69">
        <v>2102561428</v>
      </c>
      <c r="Y69">
        <f t="shared" si="5"/>
        <v>0.33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8.31</v>
      </c>
      <c r="AJ69">
        <v>1</v>
      </c>
      <c r="AK69">
        <v>1</v>
      </c>
      <c r="AL69">
        <v>1</v>
      </c>
      <c r="AM69">
        <v>4</v>
      </c>
      <c r="AN69">
        <v>0</v>
      </c>
      <c r="AO69">
        <v>0</v>
      </c>
      <c r="AP69">
        <v>0</v>
      </c>
      <c r="AQ69">
        <v>0</v>
      </c>
      <c r="AR69">
        <v>0</v>
      </c>
      <c r="AS69" t="s">
        <v>3</v>
      </c>
      <c r="AT69">
        <v>0.33</v>
      </c>
      <c r="AU69" t="s">
        <v>3</v>
      </c>
      <c r="AV69">
        <v>0</v>
      </c>
      <c r="AW69">
        <v>2</v>
      </c>
      <c r="AX69">
        <v>145187351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ROUND(Y69*Source!I42,9)</f>
        <v>0.31680000000000003</v>
      </c>
      <c r="CY69">
        <f>AA69</f>
        <v>0</v>
      </c>
      <c r="CZ69">
        <f>AE69</f>
        <v>0</v>
      </c>
      <c r="DA69">
        <f>AI69</f>
        <v>8.31</v>
      </c>
      <c r="DB69">
        <f t="shared" si="6"/>
        <v>0</v>
      </c>
      <c r="DC69">
        <f t="shared" si="7"/>
        <v>0</v>
      </c>
      <c r="DD69" t="s">
        <v>3</v>
      </c>
      <c r="DE69" t="s">
        <v>3</v>
      </c>
      <c r="DF69">
        <f>ROUND(ROUND(AE69*AI69,2)*CX69,2)</f>
        <v>0</v>
      </c>
      <c r="DG69">
        <f>ROUND(ROUND(AF69,2)*CX69,2)</f>
        <v>0</v>
      </c>
      <c r="DH69">
        <f>ROUND(ROUND(AG69,2)*CX69,2)</f>
        <v>0</v>
      </c>
      <c r="DI69">
        <f t="shared" si="10"/>
        <v>0</v>
      </c>
      <c r="DJ69">
        <f>DF69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6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ROW(Source!A24)</f>
        <v>24</v>
      </c>
      <c r="B1">
        <v>145184785</v>
      </c>
      <c r="C1">
        <v>145184784</v>
      </c>
      <c r="D1">
        <v>140759935</v>
      </c>
      <c r="E1">
        <v>70</v>
      </c>
      <c r="F1">
        <v>1</v>
      </c>
      <c r="G1">
        <v>1</v>
      </c>
      <c r="H1">
        <v>1</v>
      </c>
      <c r="I1" t="s">
        <v>269</v>
      </c>
      <c r="J1" t="s">
        <v>3</v>
      </c>
      <c r="K1" t="s">
        <v>270</v>
      </c>
      <c r="L1">
        <v>1191</v>
      </c>
      <c r="N1">
        <v>1013</v>
      </c>
      <c r="O1" t="s">
        <v>271</v>
      </c>
      <c r="P1" t="s">
        <v>271</v>
      </c>
      <c r="Q1">
        <v>1</v>
      </c>
      <c r="X1">
        <v>14.38</v>
      </c>
      <c r="Y1">
        <v>0</v>
      </c>
      <c r="Z1">
        <v>0</v>
      </c>
      <c r="AA1">
        <v>0</v>
      </c>
      <c r="AB1">
        <v>7.8</v>
      </c>
      <c r="AC1">
        <v>0</v>
      </c>
      <c r="AD1">
        <v>1</v>
      </c>
      <c r="AE1">
        <v>1</v>
      </c>
      <c r="AF1" t="s">
        <v>3</v>
      </c>
      <c r="AG1">
        <v>14.38</v>
      </c>
      <c r="AH1">
        <v>2</v>
      </c>
      <c r="AI1">
        <v>145184785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ROW(Source!A24)</f>
        <v>24</v>
      </c>
      <c r="B2">
        <v>145184786</v>
      </c>
      <c r="C2">
        <v>145184784</v>
      </c>
      <c r="D2">
        <v>140923081</v>
      </c>
      <c r="E2">
        <v>1</v>
      </c>
      <c r="F2">
        <v>1</v>
      </c>
      <c r="G2">
        <v>1</v>
      </c>
      <c r="H2">
        <v>2</v>
      </c>
      <c r="I2" t="s">
        <v>272</v>
      </c>
      <c r="J2" t="s">
        <v>273</v>
      </c>
      <c r="K2" t="s">
        <v>274</v>
      </c>
      <c r="L2">
        <v>1367</v>
      </c>
      <c r="N2">
        <v>1011</v>
      </c>
      <c r="O2" t="s">
        <v>275</v>
      </c>
      <c r="P2" t="s">
        <v>275</v>
      </c>
      <c r="Q2">
        <v>1</v>
      </c>
      <c r="X2">
        <v>6.22</v>
      </c>
      <c r="Y2">
        <v>0</v>
      </c>
      <c r="Z2">
        <v>6.66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6.22</v>
      </c>
      <c r="AH2">
        <v>2</v>
      </c>
      <c r="AI2">
        <v>145184786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ROW(Source!A25)</f>
        <v>25</v>
      </c>
      <c r="B3">
        <v>145184788</v>
      </c>
      <c r="C3">
        <v>145184787</v>
      </c>
      <c r="D3">
        <v>140759982</v>
      </c>
      <c r="E3">
        <v>70</v>
      </c>
      <c r="F3">
        <v>1</v>
      </c>
      <c r="G3">
        <v>1</v>
      </c>
      <c r="H3">
        <v>1</v>
      </c>
      <c r="I3" t="s">
        <v>276</v>
      </c>
      <c r="J3" t="s">
        <v>3</v>
      </c>
      <c r="K3" t="s">
        <v>277</v>
      </c>
      <c r="L3">
        <v>1191</v>
      </c>
      <c r="N3">
        <v>1013</v>
      </c>
      <c r="O3" t="s">
        <v>271</v>
      </c>
      <c r="P3" t="s">
        <v>271</v>
      </c>
      <c r="Q3">
        <v>1</v>
      </c>
      <c r="X3">
        <v>24.3</v>
      </c>
      <c r="Y3">
        <v>0</v>
      </c>
      <c r="Z3">
        <v>0</v>
      </c>
      <c r="AA3">
        <v>0</v>
      </c>
      <c r="AB3">
        <v>8.64</v>
      </c>
      <c r="AC3">
        <v>0</v>
      </c>
      <c r="AD3">
        <v>1</v>
      </c>
      <c r="AE3">
        <v>1</v>
      </c>
      <c r="AF3" t="s">
        <v>33</v>
      </c>
      <c r="AG3">
        <v>19.440000000000001</v>
      </c>
      <c r="AH3">
        <v>2</v>
      </c>
      <c r="AI3">
        <v>145184788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ROW(Source!A25)</f>
        <v>25</v>
      </c>
      <c r="B4">
        <v>145184789</v>
      </c>
      <c r="C4">
        <v>145184787</v>
      </c>
      <c r="D4">
        <v>140760225</v>
      </c>
      <c r="E4">
        <v>70</v>
      </c>
      <c r="F4">
        <v>1</v>
      </c>
      <c r="G4">
        <v>1</v>
      </c>
      <c r="H4">
        <v>1</v>
      </c>
      <c r="I4" t="s">
        <v>278</v>
      </c>
      <c r="J4" t="s">
        <v>3</v>
      </c>
      <c r="K4" t="s">
        <v>279</v>
      </c>
      <c r="L4">
        <v>1191</v>
      </c>
      <c r="N4">
        <v>1013</v>
      </c>
      <c r="O4" t="s">
        <v>271</v>
      </c>
      <c r="P4" t="s">
        <v>271</v>
      </c>
      <c r="Q4">
        <v>1</v>
      </c>
      <c r="X4">
        <v>1.94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2</v>
      </c>
      <c r="AF4" t="s">
        <v>33</v>
      </c>
      <c r="AG4">
        <v>1.552</v>
      </c>
      <c r="AH4">
        <v>2</v>
      </c>
      <c r="AI4">
        <v>145184789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ROW(Source!A25)</f>
        <v>25</v>
      </c>
      <c r="B5">
        <v>145184790</v>
      </c>
      <c r="C5">
        <v>145184787</v>
      </c>
      <c r="D5">
        <v>140922893</v>
      </c>
      <c r="E5">
        <v>1</v>
      </c>
      <c r="F5">
        <v>1</v>
      </c>
      <c r="G5">
        <v>1</v>
      </c>
      <c r="H5">
        <v>2</v>
      </c>
      <c r="I5" t="s">
        <v>280</v>
      </c>
      <c r="J5" t="s">
        <v>281</v>
      </c>
      <c r="K5" t="s">
        <v>282</v>
      </c>
      <c r="L5">
        <v>1367</v>
      </c>
      <c r="N5">
        <v>1011</v>
      </c>
      <c r="O5" t="s">
        <v>275</v>
      </c>
      <c r="P5" t="s">
        <v>275</v>
      </c>
      <c r="Q5">
        <v>1</v>
      </c>
      <c r="X5">
        <v>0.68</v>
      </c>
      <c r="Y5">
        <v>0</v>
      </c>
      <c r="Z5">
        <v>86.4</v>
      </c>
      <c r="AA5">
        <v>13.5</v>
      </c>
      <c r="AB5">
        <v>0</v>
      </c>
      <c r="AC5">
        <v>0</v>
      </c>
      <c r="AD5">
        <v>1</v>
      </c>
      <c r="AE5">
        <v>0</v>
      </c>
      <c r="AF5" t="s">
        <v>33</v>
      </c>
      <c r="AG5">
        <v>0.54400000000000004</v>
      </c>
      <c r="AH5">
        <v>2</v>
      </c>
      <c r="AI5">
        <v>145184790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ROW(Source!A25)</f>
        <v>25</v>
      </c>
      <c r="B6">
        <v>145184791</v>
      </c>
      <c r="C6">
        <v>145184787</v>
      </c>
      <c r="D6">
        <v>140923105</v>
      </c>
      <c r="E6">
        <v>1</v>
      </c>
      <c r="F6">
        <v>1</v>
      </c>
      <c r="G6">
        <v>1</v>
      </c>
      <c r="H6">
        <v>2</v>
      </c>
      <c r="I6" t="s">
        <v>283</v>
      </c>
      <c r="J6" t="s">
        <v>284</v>
      </c>
      <c r="K6" t="s">
        <v>285</v>
      </c>
      <c r="L6">
        <v>1367</v>
      </c>
      <c r="N6">
        <v>1011</v>
      </c>
      <c r="O6" t="s">
        <v>275</v>
      </c>
      <c r="P6" t="s">
        <v>275</v>
      </c>
      <c r="Q6">
        <v>1</v>
      </c>
      <c r="X6">
        <v>1.26</v>
      </c>
      <c r="Y6">
        <v>0</v>
      </c>
      <c r="Z6">
        <v>89.99</v>
      </c>
      <c r="AA6">
        <v>10.06</v>
      </c>
      <c r="AB6">
        <v>0</v>
      </c>
      <c r="AC6">
        <v>0</v>
      </c>
      <c r="AD6">
        <v>1</v>
      </c>
      <c r="AE6">
        <v>0</v>
      </c>
      <c r="AF6" t="s">
        <v>33</v>
      </c>
      <c r="AG6">
        <v>1.008</v>
      </c>
      <c r="AH6">
        <v>2</v>
      </c>
      <c r="AI6">
        <v>145184791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ROW(Source!A25)</f>
        <v>25</v>
      </c>
      <c r="B7">
        <v>145184792</v>
      </c>
      <c r="C7">
        <v>145184787</v>
      </c>
      <c r="D7">
        <v>140923250</v>
      </c>
      <c r="E7">
        <v>1</v>
      </c>
      <c r="F7">
        <v>1</v>
      </c>
      <c r="G7">
        <v>1</v>
      </c>
      <c r="H7">
        <v>2</v>
      </c>
      <c r="I7" t="s">
        <v>286</v>
      </c>
      <c r="J7" t="s">
        <v>287</v>
      </c>
      <c r="K7" t="s">
        <v>288</v>
      </c>
      <c r="L7">
        <v>1367</v>
      </c>
      <c r="N7">
        <v>1011</v>
      </c>
      <c r="O7" t="s">
        <v>275</v>
      </c>
      <c r="P7" t="s">
        <v>275</v>
      </c>
      <c r="Q7">
        <v>1</v>
      </c>
      <c r="X7">
        <v>2.29</v>
      </c>
      <c r="Y7">
        <v>0</v>
      </c>
      <c r="Z7">
        <v>7.77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33</v>
      </c>
      <c r="AG7">
        <v>1.8320000000000001</v>
      </c>
      <c r="AH7">
        <v>2</v>
      </c>
      <c r="AI7">
        <v>145184792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ROW(Source!A25)</f>
        <v>25</v>
      </c>
      <c r="B8">
        <v>145184793</v>
      </c>
      <c r="C8">
        <v>145184787</v>
      </c>
      <c r="D8">
        <v>140772680</v>
      </c>
      <c r="E8">
        <v>1</v>
      </c>
      <c r="F8">
        <v>1</v>
      </c>
      <c r="G8">
        <v>1</v>
      </c>
      <c r="H8">
        <v>3</v>
      </c>
      <c r="I8" t="s">
        <v>289</v>
      </c>
      <c r="J8" t="s">
        <v>290</v>
      </c>
      <c r="K8" t="s">
        <v>291</v>
      </c>
      <c r="L8">
        <v>1339</v>
      </c>
      <c r="N8">
        <v>1007</v>
      </c>
      <c r="O8" t="s">
        <v>68</v>
      </c>
      <c r="P8" t="s">
        <v>68</v>
      </c>
      <c r="Q8">
        <v>1</v>
      </c>
      <c r="X8">
        <v>3.85</v>
      </c>
      <c r="Y8">
        <v>2.44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32</v>
      </c>
      <c r="AG8">
        <v>0</v>
      </c>
      <c r="AH8">
        <v>2</v>
      </c>
      <c r="AI8">
        <v>145184793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ROW(Source!A25)</f>
        <v>25</v>
      </c>
      <c r="B9">
        <v>145184794</v>
      </c>
      <c r="C9">
        <v>145184787</v>
      </c>
      <c r="D9">
        <v>140761125</v>
      </c>
      <c r="E9">
        <v>70</v>
      </c>
      <c r="F9">
        <v>1</v>
      </c>
      <c r="G9">
        <v>1</v>
      </c>
      <c r="H9">
        <v>3</v>
      </c>
      <c r="I9" t="s">
        <v>292</v>
      </c>
      <c r="J9" t="s">
        <v>3</v>
      </c>
      <c r="K9" t="s">
        <v>293</v>
      </c>
      <c r="L9">
        <v>1339</v>
      </c>
      <c r="N9">
        <v>1007</v>
      </c>
      <c r="O9" t="s">
        <v>68</v>
      </c>
      <c r="P9" t="s">
        <v>68</v>
      </c>
      <c r="Q9">
        <v>1</v>
      </c>
      <c r="X9">
        <v>1.53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 t="s">
        <v>32</v>
      </c>
      <c r="AG9">
        <v>0</v>
      </c>
      <c r="AH9">
        <v>2</v>
      </c>
      <c r="AI9">
        <v>145184794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ROW(Source!A25)</f>
        <v>25</v>
      </c>
      <c r="B10">
        <v>145184795</v>
      </c>
      <c r="C10">
        <v>145184787</v>
      </c>
      <c r="D10">
        <v>140798958</v>
      </c>
      <c r="E10">
        <v>1</v>
      </c>
      <c r="F10">
        <v>1</v>
      </c>
      <c r="G10">
        <v>1</v>
      </c>
      <c r="H10">
        <v>3</v>
      </c>
      <c r="I10" t="s">
        <v>294</v>
      </c>
      <c r="J10" t="s">
        <v>295</v>
      </c>
      <c r="K10" t="s">
        <v>296</v>
      </c>
      <c r="L10">
        <v>1327</v>
      </c>
      <c r="N10">
        <v>1005</v>
      </c>
      <c r="O10" t="s">
        <v>73</v>
      </c>
      <c r="P10" t="s">
        <v>73</v>
      </c>
      <c r="Q10">
        <v>1</v>
      </c>
      <c r="X10">
        <v>4.4000000000000004</v>
      </c>
      <c r="Y10">
        <v>6.2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32</v>
      </c>
      <c r="AG10">
        <v>0</v>
      </c>
      <c r="AH10">
        <v>2</v>
      </c>
      <c r="AI10">
        <v>145184795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ROW(Source!A26)</f>
        <v>26</v>
      </c>
      <c r="B11">
        <v>145184797</v>
      </c>
      <c r="C11">
        <v>145184796</v>
      </c>
      <c r="D11">
        <v>140759982</v>
      </c>
      <c r="E11">
        <v>70</v>
      </c>
      <c r="F11">
        <v>1</v>
      </c>
      <c r="G11">
        <v>1</v>
      </c>
      <c r="H11">
        <v>1</v>
      </c>
      <c r="I11" t="s">
        <v>276</v>
      </c>
      <c r="J11" t="s">
        <v>3</v>
      </c>
      <c r="K11" t="s">
        <v>277</v>
      </c>
      <c r="L11">
        <v>1191</v>
      </c>
      <c r="N11">
        <v>1013</v>
      </c>
      <c r="O11" t="s">
        <v>271</v>
      </c>
      <c r="P11" t="s">
        <v>271</v>
      </c>
      <c r="Q11">
        <v>1</v>
      </c>
      <c r="X11">
        <v>1</v>
      </c>
      <c r="Y11">
        <v>0</v>
      </c>
      <c r="Z11">
        <v>0</v>
      </c>
      <c r="AA11">
        <v>0</v>
      </c>
      <c r="AB11">
        <v>8.64</v>
      </c>
      <c r="AC11">
        <v>0</v>
      </c>
      <c r="AD11">
        <v>1</v>
      </c>
      <c r="AE11">
        <v>1</v>
      </c>
      <c r="AF11" t="s">
        <v>44</v>
      </c>
      <c r="AG11">
        <v>28</v>
      </c>
      <c r="AH11">
        <v>2</v>
      </c>
      <c r="AI11">
        <v>145184797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ROW(Source!A26)</f>
        <v>26</v>
      </c>
      <c r="B12">
        <v>145184798</v>
      </c>
      <c r="C12">
        <v>145184796</v>
      </c>
      <c r="D12">
        <v>140760225</v>
      </c>
      <c r="E12">
        <v>70</v>
      </c>
      <c r="F12">
        <v>1</v>
      </c>
      <c r="G12">
        <v>1</v>
      </c>
      <c r="H12">
        <v>1</v>
      </c>
      <c r="I12" t="s">
        <v>278</v>
      </c>
      <c r="J12" t="s">
        <v>3</v>
      </c>
      <c r="K12" t="s">
        <v>279</v>
      </c>
      <c r="L12">
        <v>1191</v>
      </c>
      <c r="N12">
        <v>1013</v>
      </c>
      <c r="O12" t="s">
        <v>271</v>
      </c>
      <c r="P12" t="s">
        <v>271</v>
      </c>
      <c r="Q12">
        <v>1</v>
      </c>
      <c r="X12">
        <v>0.03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2</v>
      </c>
      <c r="AF12" t="s">
        <v>44</v>
      </c>
      <c r="AG12">
        <v>0.84</v>
      </c>
      <c r="AH12">
        <v>2</v>
      </c>
      <c r="AI12">
        <v>145184798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ROW(Source!A26)</f>
        <v>26</v>
      </c>
      <c r="B13">
        <v>145184799</v>
      </c>
      <c r="C13">
        <v>145184796</v>
      </c>
      <c r="D13">
        <v>140922893</v>
      </c>
      <c r="E13">
        <v>1</v>
      </c>
      <c r="F13">
        <v>1</v>
      </c>
      <c r="G13">
        <v>1</v>
      </c>
      <c r="H13">
        <v>2</v>
      </c>
      <c r="I13" t="s">
        <v>280</v>
      </c>
      <c r="J13" t="s">
        <v>281</v>
      </c>
      <c r="K13" t="s">
        <v>282</v>
      </c>
      <c r="L13">
        <v>1367</v>
      </c>
      <c r="N13">
        <v>1011</v>
      </c>
      <c r="O13" t="s">
        <v>275</v>
      </c>
      <c r="P13" t="s">
        <v>275</v>
      </c>
      <c r="Q13">
        <v>1</v>
      </c>
      <c r="X13">
        <v>0.01</v>
      </c>
      <c r="Y13">
        <v>0</v>
      </c>
      <c r="Z13">
        <v>86.4</v>
      </c>
      <c r="AA13">
        <v>13.5</v>
      </c>
      <c r="AB13">
        <v>0</v>
      </c>
      <c r="AC13">
        <v>0</v>
      </c>
      <c r="AD13">
        <v>1</v>
      </c>
      <c r="AE13">
        <v>0</v>
      </c>
      <c r="AF13" t="s">
        <v>44</v>
      </c>
      <c r="AG13">
        <v>0.28000000000000003</v>
      </c>
      <c r="AH13">
        <v>2</v>
      </c>
      <c r="AI13">
        <v>145184799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ROW(Source!A26)</f>
        <v>26</v>
      </c>
      <c r="B14">
        <v>145184800</v>
      </c>
      <c r="C14">
        <v>145184796</v>
      </c>
      <c r="D14">
        <v>140923105</v>
      </c>
      <c r="E14">
        <v>1</v>
      </c>
      <c r="F14">
        <v>1</v>
      </c>
      <c r="G14">
        <v>1</v>
      </c>
      <c r="H14">
        <v>2</v>
      </c>
      <c r="I14" t="s">
        <v>283</v>
      </c>
      <c r="J14" t="s">
        <v>284</v>
      </c>
      <c r="K14" t="s">
        <v>285</v>
      </c>
      <c r="L14">
        <v>1367</v>
      </c>
      <c r="N14">
        <v>1011</v>
      </c>
      <c r="O14" t="s">
        <v>275</v>
      </c>
      <c r="P14" t="s">
        <v>275</v>
      </c>
      <c r="Q14">
        <v>1</v>
      </c>
      <c r="X14">
        <v>0.02</v>
      </c>
      <c r="Y14">
        <v>0</v>
      </c>
      <c r="Z14">
        <v>89.99</v>
      </c>
      <c r="AA14">
        <v>10.06</v>
      </c>
      <c r="AB14">
        <v>0</v>
      </c>
      <c r="AC14">
        <v>0</v>
      </c>
      <c r="AD14">
        <v>1</v>
      </c>
      <c r="AE14">
        <v>0</v>
      </c>
      <c r="AF14" t="s">
        <v>44</v>
      </c>
      <c r="AG14">
        <v>0.56000000000000005</v>
      </c>
      <c r="AH14">
        <v>2</v>
      </c>
      <c r="AI14">
        <v>145184800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ROW(Source!A26)</f>
        <v>26</v>
      </c>
      <c r="B15">
        <v>145184801</v>
      </c>
      <c r="C15">
        <v>145184796</v>
      </c>
      <c r="D15">
        <v>140761125</v>
      </c>
      <c r="E15">
        <v>70</v>
      </c>
      <c r="F15">
        <v>1</v>
      </c>
      <c r="G15">
        <v>1</v>
      </c>
      <c r="H15">
        <v>3</v>
      </c>
      <c r="I15" t="s">
        <v>292</v>
      </c>
      <c r="J15" t="s">
        <v>3</v>
      </c>
      <c r="K15" t="s">
        <v>293</v>
      </c>
      <c r="L15">
        <v>1339</v>
      </c>
      <c r="N15">
        <v>1007</v>
      </c>
      <c r="O15" t="s">
        <v>68</v>
      </c>
      <c r="P15" t="s">
        <v>68</v>
      </c>
      <c r="Q15">
        <v>1</v>
      </c>
      <c r="X15">
        <v>0.10199999999999999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43</v>
      </c>
      <c r="AG15">
        <v>0</v>
      </c>
      <c r="AH15">
        <v>2</v>
      </c>
      <c r="AI15">
        <v>145184801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ROW(Source!A28)</f>
        <v>28</v>
      </c>
      <c r="B16">
        <v>145184804</v>
      </c>
      <c r="C16">
        <v>145184803</v>
      </c>
      <c r="D16">
        <v>140759982</v>
      </c>
      <c r="E16">
        <v>70</v>
      </c>
      <c r="F16">
        <v>1</v>
      </c>
      <c r="G16">
        <v>1</v>
      </c>
      <c r="H16">
        <v>1</v>
      </c>
      <c r="I16" t="s">
        <v>276</v>
      </c>
      <c r="J16" t="s">
        <v>3</v>
      </c>
      <c r="K16" t="s">
        <v>277</v>
      </c>
      <c r="L16">
        <v>1191</v>
      </c>
      <c r="N16">
        <v>1013</v>
      </c>
      <c r="O16" t="s">
        <v>271</v>
      </c>
      <c r="P16" t="s">
        <v>271</v>
      </c>
      <c r="Q16">
        <v>1</v>
      </c>
      <c r="X16">
        <v>24.3</v>
      </c>
      <c r="Y16">
        <v>0</v>
      </c>
      <c r="Z16">
        <v>0</v>
      </c>
      <c r="AA16">
        <v>0</v>
      </c>
      <c r="AB16">
        <v>8.64</v>
      </c>
      <c r="AC16">
        <v>0</v>
      </c>
      <c r="AD16">
        <v>1</v>
      </c>
      <c r="AE16">
        <v>1</v>
      </c>
      <c r="AF16" t="s">
        <v>58</v>
      </c>
      <c r="AG16">
        <v>27.945</v>
      </c>
      <c r="AH16">
        <v>2</v>
      </c>
      <c r="AI16">
        <v>145184804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ROW(Source!A28)</f>
        <v>28</v>
      </c>
      <c r="B17">
        <v>145184805</v>
      </c>
      <c r="C17">
        <v>145184803</v>
      </c>
      <c r="D17">
        <v>140760225</v>
      </c>
      <c r="E17">
        <v>70</v>
      </c>
      <c r="F17">
        <v>1</v>
      </c>
      <c r="G17">
        <v>1</v>
      </c>
      <c r="H17">
        <v>1</v>
      </c>
      <c r="I17" t="s">
        <v>278</v>
      </c>
      <c r="J17" t="s">
        <v>3</v>
      </c>
      <c r="K17" t="s">
        <v>279</v>
      </c>
      <c r="L17">
        <v>1191</v>
      </c>
      <c r="N17">
        <v>1013</v>
      </c>
      <c r="O17" t="s">
        <v>271</v>
      </c>
      <c r="P17" t="s">
        <v>271</v>
      </c>
      <c r="Q17">
        <v>1</v>
      </c>
      <c r="X17">
        <v>1.94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2</v>
      </c>
      <c r="AF17" t="s">
        <v>57</v>
      </c>
      <c r="AG17">
        <v>2.4249999999999998</v>
      </c>
      <c r="AH17">
        <v>2</v>
      </c>
      <c r="AI17">
        <v>145184805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ROW(Source!A28)</f>
        <v>28</v>
      </c>
      <c r="B18">
        <v>145184806</v>
      </c>
      <c r="C18">
        <v>145184803</v>
      </c>
      <c r="D18">
        <v>140922893</v>
      </c>
      <c r="E18">
        <v>1</v>
      </c>
      <c r="F18">
        <v>1</v>
      </c>
      <c r="G18">
        <v>1</v>
      </c>
      <c r="H18">
        <v>2</v>
      </c>
      <c r="I18" t="s">
        <v>280</v>
      </c>
      <c r="J18" t="s">
        <v>281</v>
      </c>
      <c r="K18" t="s">
        <v>282</v>
      </c>
      <c r="L18">
        <v>1367</v>
      </c>
      <c r="N18">
        <v>1011</v>
      </c>
      <c r="O18" t="s">
        <v>275</v>
      </c>
      <c r="P18" t="s">
        <v>275</v>
      </c>
      <c r="Q18">
        <v>1</v>
      </c>
      <c r="X18">
        <v>0.68</v>
      </c>
      <c r="Y18">
        <v>0</v>
      </c>
      <c r="Z18">
        <v>86.4</v>
      </c>
      <c r="AA18">
        <v>13.5</v>
      </c>
      <c r="AB18">
        <v>0</v>
      </c>
      <c r="AC18">
        <v>0</v>
      </c>
      <c r="AD18">
        <v>1</v>
      </c>
      <c r="AE18">
        <v>0</v>
      </c>
      <c r="AF18" t="s">
        <v>57</v>
      </c>
      <c r="AG18">
        <v>0.85000000000000009</v>
      </c>
      <c r="AH18">
        <v>2</v>
      </c>
      <c r="AI18">
        <v>145184806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ROW(Source!A28)</f>
        <v>28</v>
      </c>
      <c r="B19">
        <v>145184807</v>
      </c>
      <c r="C19">
        <v>145184803</v>
      </c>
      <c r="D19">
        <v>140923105</v>
      </c>
      <c r="E19">
        <v>1</v>
      </c>
      <c r="F19">
        <v>1</v>
      </c>
      <c r="G19">
        <v>1</v>
      </c>
      <c r="H19">
        <v>2</v>
      </c>
      <c r="I19" t="s">
        <v>283</v>
      </c>
      <c r="J19" t="s">
        <v>284</v>
      </c>
      <c r="K19" t="s">
        <v>285</v>
      </c>
      <c r="L19">
        <v>1367</v>
      </c>
      <c r="N19">
        <v>1011</v>
      </c>
      <c r="O19" t="s">
        <v>275</v>
      </c>
      <c r="P19" t="s">
        <v>275</v>
      </c>
      <c r="Q19">
        <v>1</v>
      </c>
      <c r="X19">
        <v>1.26</v>
      </c>
      <c r="Y19">
        <v>0</v>
      </c>
      <c r="Z19">
        <v>89.99</v>
      </c>
      <c r="AA19">
        <v>10.06</v>
      </c>
      <c r="AB19">
        <v>0</v>
      </c>
      <c r="AC19">
        <v>0</v>
      </c>
      <c r="AD19">
        <v>1</v>
      </c>
      <c r="AE19">
        <v>0</v>
      </c>
      <c r="AF19" t="s">
        <v>57</v>
      </c>
      <c r="AG19">
        <v>1.575</v>
      </c>
      <c r="AH19">
        <v>2</v>
      </c>
      <c r="AI19">
        <v>145184807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ROW(Source!A28)</f>
        <v>28</v>
      </c>
      <c r="B20">
        <v>145184808</v>
      </c>
      <c r="C20">
        <v>145184803</v>
      </c>
      <c r="D20">
        <v>140923250</v>
      </c>
      <c r="E20">
        <v>1</v>
      </c>
      <c r="F20">
        <v>1</v>
      </c>
      <c r="G20">
        <v>1</v>
      </c>
      <c r="H20">
        <v>2</v>
      </c>
      <c r="I20" t="s">
        <v>286</v>
      </c>
      <c r="J20" t="s">
        <v>287</v>
      </c>
      <c r="K20" t="s">
        <v>288</v>
      </c>
      <c r="L20">
        <v>1367</v>
      </c>
      <c r="N20">
        <v>1011</v>
      </c>
      <c r="O20" t="s">
        <v>275</v>
      </c>
      <c r="P20" t="s">
        <v>275</v>
      </c>
      <c r="Q20">
        <v>1</v>
      </c>
      <c r="X20">
        <v>2.29</v>
      </c>
      <c r="Y20">
        <v>0</v>
      </c>
      <c r="Z20">
        <v>7.77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57</v>
      </c>
      <c r="AG20">
        <v>2.8624999999999998</v>
      </c>
      <c r="AH20">
        <v>2</v>
      </c>
      <c r="AI20">
        <v>145184808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ROW(Source!A28)</f>
        <v>28</v>
      </c>
      <c r="B21">
        <v>145184809</v>
      </c>
      <c r="C21">
        <v>145184803</v>
      </c>
      <c r="D21">
        <v>140772680</v>
      </c>
      <c r="E21">
        <v>1</v>
      </c>
      <c r="F21">
        <v>1</v>
      </c>
      <c r="G21">
        <v>1</v>
      </c>
      <c r="H21">
        <v>3</v>
      </c>
      <c r="I21" t="s">
        <v>289</v>
      </c>
      <c r="J21" t="s">
        <v>290</v>
      </c>
      <c r="K21" t="s">
        <v>291</v>
      </c>
      <c r="L21">
        <v>1339</v>
      </c>
      <c r="N21">
        <v>1007</v>
      </c>
      <c r="O21" t="s">
        <v>68</v>
      </c>
      <c r="P21" t="s">
        <v>68</v>
      </c>
      <c r="Q21">
        <v>1</v>
      </c>
      <c r="X21">
        <v>3.85</v>
      </c>
      <c r="Y21">
        <v>2.44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3.85</v>
      </c>
      <c r="AH21">
        <v>2</v>
      </c>
      <c r="AI21">
        <v>145184809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ROW(Source!A28)</f>
        <v>28</v>
      </c>
      <c r="B22">
        <v>145184810</v>
      </c>
      <c r="C22">
        <v>145184803</v>
      </c>
      <c r="D22">
        <v>140761125</v>
      </c>
      <c r="E22">
        <v>70</v>
      </c>
      <c r="F22">
        <v>1</v>
      </c>
      <c r="G22">
        <v>1</v>
      </c>
      <c r="H22">
        <v>3</v>
      </c>
      <c r="I22" t="s">
        <v>292</v>
      </c>
      <c r="J22" t="s">
        <v>3</v>
      </c>
      <c r="K22" t="s">
        <v>293</v>
      </c>
      <c r="L22">
        <v>1339</v>
      </c>
      <c r="N22">
        <v>1007</v>
      </c>
      <c r="O22" t="s">
        <v>68</v>
      </c>
      <c r="P22" t="s">
        <v>68</v>
      </c>
      <c r="Q22">
        <v>1</v>
      </c>
      <c r="X22">
        <v>1.53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3</v>
      </c>
      <c r="AG22">
        <v>1.53</v>
      </c>
      <c r="AH22">
        <v>2</v>
      </c>
      <c r="AI22">
        <v>145184810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ROW(Source!A28)</f>
        <v>28</v>
      </c>
      <c r="B23">
        <v>145184811</v>
      </c>
      <c r="C23">
        <v>145184803</v>
      </c>
      <c r="D23">
        <v>140798958</v>
      </c>
      <c r="E23">
        <v>1</v>
      </c>
      <c r="F23">
        <v>1</v>
      </c>
      <c r="G23">
        <v>1</v>
      </c>
      <c r="H23">
        <v>3</v>
      </c>
      <c r="I23" t="s">
        <v>294</v>
      </c>
      <c r="J23" t="s">
        <v>295</v>
      </c>
      <c r="K23" t="s">
        <v>296</v>
      </c>
      <c r="L23">
        <v>1327</v>
      </c>
      <c r="N23">
        <v>1005</v>
      </c>
      <c r="O23" t="s">
        <v>73</v>
      </c>
      <c r="P23" t="s">
        <v>73</v>
      </c>
      <c r="Q23">
        <v>1</v>
      </c>
      <c r="X23">
        <v>4.4000000000000004</v>
      </c>
      <c r="Y23">
        <v>6.2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4.4000000000000004</v>
      </c>
      <c r="AH23">
        <v>2</v>
      </c>
      <c r="AI23">
        <v>145184811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ROW(Source!A29)</f>
        <v>29</v>
      </c>
      <c r="B24">
        <v>145184813</v>
      </c>
      <c r="C24">
        <v>145184812</v>
      </c>
      <c r="D24">
        <v>140759982</v>
      </c>
      <c r="E24">
        <v>70</v>
      </c>
      <c r="F24">
        <v>1</v>
      </c>
      <c r="G24">
        <v>1</v>
      </c>
      <c r="H24">
        <v>1</v>
      </c>
      <c r="I24" t="s">
        <v>276</v>
      </c>
      <c r="J24" t="s">
        <v>3</v>
      </c>
      <c r="K24" t="s">
        <v>277</v>
      </c>
      <c r="L24">
        <v>1191</v>
      </c>
      <c r="N24">
        <v>1013</v>
      </c>
      <c r="O24" t="s">
        <v>271</v>
      </c>
      <c r="P24" t="s">
        <v>271</v>
      </c>
      <c r="Q24">
        <v>1</v>
      </c>
      <c r="X24">
        <v>1</v>
      </c>
      <c r="Y24">
        <v>0</v>
      </c>
      <c r="Z24">
        <v>0</v>
      </c>
      <c r="AA24">
        <v>0</v>
      </c>
      <c r="AB24">
        <v>8.64</v>
      </c>
      <c r="AC24">
        <v>0</v>
      </c>
      <c r="AD24">
        <v>1</v>
      </c>
      <c r="AE24">
        <v>1</v>
      </c>
      <c r="AF24" t="s">
        <v>64</v>
      </c>
      <c r="AG24">
        <v>40.25</v>
      </c>
      <c r="AH24">
        <v>2</v>
      </c>
      <c r="AI24">
        <v>145184813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ROW(Source!A29)</f>
        <v>29</v>
      </c>
      <c r="B25">
        <v>145184814</v>
      </c>
      <c r="C25">
        <v>145184812</v>
      </c>
      <c r="D25">
        <v>140760225</v>
      </c>
      <c r="E25">
        <v>70</v>
      </c>
      <c r="F25">
        <v>1</v>
      </c>
      <c r="G25">
        <v>1</v>
      </c>
      <c r="H25">
        <v>1</v>
      </c>
      <c r="I25" t="s">
        <v>278</v>
      </c>
      <c r="J25" t="s">
        <v>3</v>
      </c>
      <c r="K25" t="s">
        <v>279</v>
      </c>
      <c r="L25">
        <v>1191</v>
      </c>
      <c r="N25">
        <v>1013</v>
      </c>
      <c r="O25" t="s">
        <v>271</v>
      </c>
      <c r="P25" t="s">
        <v>271</v>
      </c>
      <c r="Q25">
        <v>1</v>
      </c>
      <c r="X25">
        <v>0.03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2</v>
      </c>
      <c r="AF25" t="s">
        <v>63</v>
      </c>
      <c r="AG25">
        <v>1.3125</v>
      </c>
      <c r="AH25">
        <v>2</v>
      </c>
      <c r="AI25">
        <v>145184814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ROW(Source!A29)</f>
        <v>29</v>
      </c>
      <c r="B26">
        <v>145184815</v>
      </c>
      <c r="C26">
        <v>145184812</v>
      </c>
      <c r="D26">
        <v>140922893</v>
      </c>
      <c r="E26">
        <v>1</v>
      </c>
      <c r="F26">
        <v>1</v>
      </c>
      <c r="G26">
        <v>1</v>
      </c>
      <c r="H26">
        <v>2</v>
      </c>
      <c r="I26" t="s">
        <v>280</v>
      </c>
      <c r="J26" t="s">
        <v>281</v>
      </c>
      <c r="K26" t="s">
        <v>282</v>
      </c>
      <c r="L26">
        <v>1367</v>
      </c>
      <c r="N26">
        <v>1011</v>
      </c>
      <c r="O26" t="s">
        <v>275</v>
      </c>
      <c r="P26" t="s">
        <v>275</v>
      </c>
      <c r="Q26">
        <v>1</v>
      </c>
      <c r="X26">
        <v>0.01</v>
      </c>
      <c r="Y26">
        <v>0</v>
      </c>
      <c r="Z26">
        <v>86.4</v>
      </c>
      <c r="AA26">
        <v>13.5</v>
      </c>
      <c r="AB26">
        <v>0</v>
      </c>
      <c r="AC26">
        <v>0</v>
      </c>
      <c r="AD26">
        <v>1</v>
      </c>
      <c r="AE26">
        <v>0</v>
      </c>
      <c r="AF26" t="s">
        <v>63</v>
      </c>
      <c r="AG26">
        <v>0.4375</v>
      </c>
      <c r="AH26">
        <v>2</v>
      </c>
      <c r="AI26">
        <v>145184815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ROW(Source!A29)</f>
        <v>29</v>
      </c>
      <c r="B27">
        <v>145184816</v>
      </c>
      <c r="C27">
        <v>145184812</v>
      </c>
      <c r="D27">
        <v>140923105</v>
      </c>
      <c r="E27">
        <v>1</v>
      </c>
      <c r="F27">
        <v>1</v>
      </c>
      <c r="G27">
        <v>1</v>
      </c>
      <c r="H27">
        <v>2</v>
      </c>
      <c r="I27" t="s">
        <v>283</v>
      </c>
      <c r="J27" t="s">
        <v>284</v>
      </c>
      <c r="K27" t="s">
        <v>285</v>
      </c>
      <c r="L27">
        <v>1367</v>
      </c>
      <c r="N27">
        <v>1011</v>
      </c>
      <c r="O27" t="s">
        <v>275</v>
      </c>
      <c r="P27" t="s">
        <v>275</v>
      </c>
      <c r="Q27">
        <v>1</v>
      </c>
      <c r="X27">
        <v>0.02</v>
      </c>
      <c r="Y27">
        <v>0</v>
      </c>
      <c r="Z27">
        <v>89.99</v>
      </c>
      <c r="AA27">
        <v>10.06</v>
      </c>
      <c r="AB27">
        <v>0</v>
      </c>
      <c r="AC27">
        <v>0</v>
      </c>
      <c r="AD27">
        <v>1</v>
      </c>
      <c r="AE27">
        <v>0</v>
      </c>
      <c r="AF27" t="s">
        <v>63</v>
      </c>
      <c r="AG27">
        <v>0.875</v>
      </c>
      <c r="AH27">
        <v>2</v>
      </c>
      <c r="AI27">
        <v>145184816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ROW(Source!A29)</f>
        <v>29</v>
      </c>
      <c r="B28">
        <v>145184817</v>
      </c>
      <c r="C28">
        <v>145184812</v>
      </c>
      <c r="D28">
        <v>140761125</v>
      </c>
      <c r="E28">
        <v>70</v>
      </c>
      <c r="F28">
        <v>1</v>
      </c>
      <c r="G28">
        <v>1</v>
      </c>
      <c r="H28">
        <v>3</v>
      </c>
      <c r="I28" t="s">
        <v>292</v>
      </c>
      <c r="J28" t="s">
        <v>3</v>
      </c>
      <c r="K28" t="s">
        <v>293</v>
      </c>
      <c r="L28">
        <v>1339</v>
      </c>
      <c r="N28">
        <v>1007</v>
      </c>
      <c r="O28" t="s">
        <v>68</v>
      </c>
      <c r="P28" t="s">
        <v>68</v>
      </c>
      <c r="Q28">
        <v>1</v>
      </c>
      <c r="X28">
        <v>0.10199999999999999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 t="s">
        <v>45</v>
      </c>
      <c r="AG28">
        <v>3.57</v>
      </c>
      <c r="AH28">
        <v>2</v>
      </c>
      <c r="AI28">
        <v>145184817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ROW(Source!A31)</f>
        <v>31</v>
      </c>
      <c r="B29">
        <v>145184877</v>
      </c>
      <c r="C29">
        <v>145184876</v>
      </c>
      <c r="D29">
        <v>140760051</v>
      </c>
      <c r="E29">
        <v>70</v>
      </c>
      <c r="F29">
        <v>1</v>
      </c>
      <c r="G29">
        <v>1</v>
      </c>
      <c r="H29">
        <v>1</v>
      </c>
      <c r="I29" t="s">
        <v>297</v>
      </c>
      <c r="J29" t="s">
        <v>3</v>
      </c>
      <c r="K29" t="s">
        <v>298</v>
      </c>
      <c r="L29">
        <v>1191</v>
      </c>
      <c r="N29">
        <v>1013</v>
      </c>
      <c r="O29" t="s">
        <v>271</v>
      </c>
      <c r="P29" t="s">
        <v>271</v>
      </c>
      <c r="Q29">
        <v>1</v>
      </c>
      <c r="X29">
        <v>1.08</v>
      </c>
      <c r="Y29">
        <v>0</v>
      </c>
      <c r="Z29">
        <v>0</v>
      </c>
      <c r="AA29">
        <v>0</v>
      </c>
      <c r="AB29">
        <v>10.210000000000001</v>
      </c>
      <c r="AC29">
        <v>0</v>
      </c>
      <c r="AD29">
        <v>1</v>
      </c>
      <c r="AE29">
        <v>1</v>
      </c>
      <c r="AF29" t="s">
        <v>3</v>
      </c>
      <c r="AG29">
        <v>1.08</v>
      </c>
      <c r="AH29">
        <v>2</v>
      </c>
      <c r="AI29">
        <v>145184877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ROW(Source!A31)</f>
        <v>31</v>
      </c>
      <c r="B30">
        <v>145184878</v>
      </c>
      <c r="C30">
        <v>145184876</v>
      </c>
      <c r="D30">
        <v>140924682</v>
      </c>
      <c r="E30">
        <v>1</v>
      </c>
      <c r="F30">
        <v>1</v>
      </c>
      <c r="G30">
        <v>1</v>
      </c>
      <c r="H30">
        <v>2</v>
      </c>
      <c r="I30" t="s">
        <v>299</v>
      </c>
      <c r="J30" t="s">
        <v>300</v>
      </c>
      <c r="K30" t="s">
        <v>301</v>
      </c>
      <c r="L30">
        <v>1367</v>
      </c>
      <c r="N30">
        <v>1011</v>
      </c>
      <c r="O30" t="s">
        <v>275</v>
      </c>
      <c r="P30" t="s">
        <v>275</v>
      </c>
      <c r="Q30">
        <v>1</v>
      </c>
      <c r="X30">
        <v>0.09</v>
      </c>
      <c r="Y30">
        <v>0</v>
      </c>
      <c r="Z30">
        <v>18.21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0.09</v>
      </c>
      <c r="AH30">
        <v>2</v>
      </c>
      <c r="AI30">
        <v>145184878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ROW(Source!A31)</f>
        <v>31</v>
      </c>
      <c r="B31">
        <v>145184879</v>
      </c>
      <c r="C31">
        <v>145184876</v>
      </c>
      <c r="D31">
        <v>140770712</v>
      </c>
      <c r="E31">
        <v>1</v>
      </c>
      <c r="F31">
        <v>1</v>
      </c>
      <c r="G31">
        <v>1</v>
      </c>
      <c r="H31">
        <v>3</v>
      </c>
      <c r="I31" t="s">
        <v>302</v>
      </c>
      <c r="J31" t="s">
        <v>303</v>
      </c>
      <c r="K31" t="s">
        <v>304</v>
      </c>
      <c r="L31">
        <v>1348</v>
      </c>
      <c r="N31">
        <v>1009</v>
      </c>
      <c r="O31" t="s">
        <v>88</v>
      </c>
      <c r="P31" t="s">
        <v>88</v>
      </c>
      <c r="Q31">
        <v>1000</v>
      </c>
      <c r="X31">
        <v>2.3E-3</v>
      </c>
      <c r="Y31">
        <v>1530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2.3E-3</v>
      </c>
      <c r="AH31">
        <v>2</v>
      </c>
      <c r="AI31">
        <v>145184879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ROW(Source!A31)</f>
        <v>31</v>
      </c>
      <c r="B32">
        <v>145184880</v>
      </c>
      <c r="C32">
        <v>145184876</v>
      </c>
      <c r="D32">
        <v>140771086</v>
      </c>
      <c r="E32">
        <v>1</v>
      </c>
      <c r="F32">
        <v>1</v>
      </c>
      <c r="G32">
        <v>1</v>
      </c>
      <c r="H32">
        <v>3</v>
      </c>
      <c r="I32" t="s">
        <v>305</v>
      </c>
      <c r="J32" t="s">
        <v>306</v>
      </c>
      <c r="K32" t="s">
        <v>307</v>
      </c>
      <c r="L32">
        <v>1346</v>
      </c>
      <c r="N32">
        <v>1009</v>
      </c>
      <c r="O32" t="s">
        <v>92</v>
      </c>
      <c r="P32" t="s">
        <v>92</v>
      </c>
      <c r="Q32">
        <v>1</v>
      </c>
      <c r="X32">
        <v>2.5</v>
      </c>
      <c r="Y32">
        <v>4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2.5</v>
      </c>
      <c r="AH32">
        <v>2</v>
      </c>
      <c r="AI32">
        <v>145184880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ROW(Source!A31)</f>
        <v>31</v>
      </c>
      <c r="B33">
        <v>145184881</v>
      </c>
      <c r="C33">
        <v>145184876</v>
      </c>
      <c r="D33">
        <v>140798958</v>
      </c>
      <c r="E33">
        <v>1</v>
      </c>
      <c r="F33">
        <v>1</v>
      </c>
      <c r="G33">
        <v>1</v>
      </c>
      <c r="H33">
        <v>3</v>
      </c>
      <c r="I33" t="s">
        <v>294</v>
      </c>
      <c r="J33" t="s">
        <v>295</v>
      </c>
      <c r="K33" t="s">
        <v>296</v>
      </c>
      <c r="L33">
        <v>1327</v>
      </c>
      <c r="N33">
        <v>1005</v>
      </c>
      <c r="O33" t="s">
        <v>73</v>
      </c>
      <c r="P33" t="s">
        <v>73</v>
      </c>
      <c r="Q33">
        <v>1</v>
      </c>
      <c r="X33">
        <v>0.05</v>
      </c>
      <c r="Y33">
        <v>6.2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0.05</v>
      </c>
      <c r="AH33">
        <v>2</v>
      </c>
      <c r="AI33">
        <v>145184881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ROW(Source!A32)</f>
        <v>32</v>
      </c>
      <c r="B34">
        <v>145185561</v>
      </c>
      <c r="C34">
        <v>145185560</v>
      </c>
      <c r="D34">
        <v>140759985</v>
      </c>
      <c r="E34">
        <v>70</v>
      </c>
      <c r="F34">
        <v>1</v>
      </c>
      <c r="G34">
        <v>1</v>
      </c>
      <c r="H34">
        <v>1</v>
      </c>
      <c r="I34" t="s">
        <v>308</v>
      </c>
      <c r="J34" t="s">
        <v>3</v>
      </c>
      <c r="K34" t="s">
        <v>309</v>
      </c>
      <c r="L34">
        <v>1191</v>
      </c>
      <c r="N34">
        <v>1013</v>
      </c>
      <c r="O34" t="s">
        <v>271</v>
      </c>
      <c r="P34" t="s">
        <v>271</v>
      </c>
      <c r="Q34">
        <v>1</v>
      </c>
      <c r="X34">
        <v>2.8</v>
      </c>
      <c r="Y34">
        <v>0</v>
      </c>
      <c r="Z34">
        <v>0</v>
      </c>
      <c r="AA34">
        <v>0</v>
      </c>
      <c r="AB34">
        <v>8.74</v>
      </c>
      <c r="AC34">
        <v>0</v>
      </c>
      <c r="AD34">
        <v>1</v>
      </c>
      <c r="AE34">
        <v>1</v>
      </c>
      <c r="AF34" t="s">
        <v>58</v>
      </c>
      <c r="AG34">
        <v>3.2199999999999998</v>
      </c>
      <c r="AH34">
        <v>2</v>
      </c>
      <c r="AI34">
        <v>145185561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ROW(Source!A32)</f>
        <v>32</v>
      </c>
      <c r="B35">
        <v>145185562</v>
      </c>
      <c r="C35">
        <v>145185560</v>
      </c>
      <c r="D35">
        <v>140760225</v>
      </c>
      <c r="E35">
        <v>70</v>
      </c>
      <c r="F35">
        <v>1</v>
      </c>
      <c r="G35">
        <v>1</v>
      </c>
      <c r="H35">
        <v>1</v>
      </c>
      <c r="I35" t="s">
        <v>278</v>
      </c>
      <c r="J35" t="s">
        <v>3</v>
      </c>
      <c r="K35" t="s">
        <v>279</v>
      </c>
      <c r="L35">
        <v>1191</v>
      </c>
      <c r="N35">
        <v>1013</v>
      </c>
      <c r="O35" t="s">
        <v>271</v>
      </c>
      <c r="P35" t="s">
        <v>271</v>
      </c>
      <c r="Q35">
        <v>1</v>
      </c>
      <c r="X35">
        <v>0.04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2</v>
      </c>
      <c r="AF35" t="s">
        <v>57</v>
      </c>
      <c r="AG35">
        <v>0.05</v>
      </c>
      <c r="AH35">
        <v>2</v>
      </c>
      <c r="AI35">
        <v>145185562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ROW(Source!A32)</f>
        <v>32</v>
      </c>
      <c r="B36">
        <v>145185563</v>
      </c>
      <c r="C36">
        <v>145185560</v>
      </c>
      <c r="D36">
        <v>140923885</v>
      </c>
      <c r="E36">
        <v>1</v>
      </c>
      <c r="F36">
        <v>1</v>
      </c>
      <c r="G36">
        <v>1</v>
      </c>
      <c r="H36">
        <v>2</v>
      </c>
      <c r="I36" t="s">
        <v>310</v>
      </c>
      <c r="J36" t="s">
        <v>311</v>
      </c>
      <c r="K36" t="s">
        <v>312</v>
      </c>
      <c r="L36">
        <v>1367</v>
      </c>
      <c r="N36">
        <v>1011</v>
      </c>
      <c r="O36" t="s">
        <v>275</v>
      </c>
      <c r="P36" t="s">
        <v>275</v>
      </c>
      <c r="Q36">
        <v>1</v>
      </c>
      <c r="X36">
        <v>0.04</v>
      </c>
      <c r="Y36">
        <v>0</v>
      </c>
      <c r="Z36">
        <v>65.709999999999994</v>
      </c>
      <c r="AA36">
        <v>11.6</v>
      </c>
      <c r="AB36">
        <v>0</v>
      </c>
      <c r="AC36">
        <v>0</v>
      </c>
      <c r="AD36">
        <v>1</v>
      </c>
      <c r="AE36">
        <v>0</v>
      </c>
      <c r="AF36" t="s">
        <v>57</v>
      </c>
      <c r="AG36">
        <v>0.05</v>
      </c>
      <c r="AH36">
        <v>2</v>
      </c>
      <c r="AI36">
        <v>145185563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ROW(Source!A32)</f>
        <v>32</v>
      </c>
      <c r="B37">
        <v>145185564</v>
      </c>
      <c r="C37">
        <v>145185560</v>
      </c>
      <c r="D37">
        <v>140770862</v>
      </c>
      <c r="E37">
        <v>1</v>
      </c>
      <c r="F37">
        <v>1</v>
      </c>
      <c r="G37">
        <v>1</v>
      </c>
      <c r="H37">
        <v>3</v>
      </c>
      <c r="I37" t="s">
        <v>86</v>
      </c>
      <c r="J37" t="s">
        <v>89</v>
      </c>
      <c r="K37" t="s">
        <v>87</v>
      </c>
      <c r="L37">
        <v>1348</v>
      </c>
      <c r="N37">
        <v>1009</v>
      </c>
      <c r="O37" t="s">
        <v>88</v>
      </c>
      <c r="P37" t="s">
        <v>88</v>
      </c>
      <c r="Q37">
        <v>1000</v>
      </c>
      <c r="X37">
        <v>4.4999999999999998E-2</v>
      </c>
      <c r="Y37">
        <v>2000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4.4999999999999998E-2</v>
      </c>
      <c r="AH37">
        <v>2</v>
      </c>
      <c r="AI37">
        <v>145185564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ROW(Source!A35)</f>
        <v>35</v>
      </c>
      <c r="B38">
        <v>145185569</v>
      </c>
      <c r="C38">
        <v>145185568</v>
      </c>
      <c r="D38">
        <v>140760022</v>
      </c>
      <c r="E38">
        <v>70</v>
      </c>
      <c r="F38">
        <v>1</v>
      </c>
      <c r="G38">
        <v>1</v>
      </c>
      <c r="H38">
        <v>1</v>
      </c>
      <c r="I38" t="s">
        <v>313</v>
      </c>
      <c r="J38" t="s">
        <v>3</v>
      </c>
      <c r="K38" t="s">
        <v>314</v>
      </c>
      <c r="L38">
        <v>1191</v>
      </c>
      <c r="N38">
        <v>1013</v>
      </c>
      <c r="O38" t="s">
        <v>271</v>
      </c>
      <c r="P38" t="s">
        <v>271</v>
      </c>
      <c r="Q38">
        <v>1</v>
      </c>
      <c r="X38">
        <v>14.36</v>
      </c>
      <c r="Y38">
        <v>0</v>
      </c>
      <c r="Z38">
        <v>0</v>
      </c>
      <c r="AA38">
        <v>0</v>
      </c>
      <c r="AB38">
        <v>9.4</v>
      </c>
      <c r="AC38">
        <v>0</v>
      </c>
      <c r="AD38">
        <v>1</v>
      </c>
      <c r="AE38">
        <v>1</v>
      </c>
      <c r="AF38" t="s">
        <v>58</v>
      </c>
      <c r="AG38">
        <v>16.513999999999999</v>
      </c>
      <c r="AH38">
        <v>2</v>
      </c>
      <c r="AI38">
        <v>145185569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ROW(Source!A35)</f>
        <v>35</v>
      </c>
      <c r="B39">
        <v>145185570</v>
      </c>
      <c r="C39">
        <v>145185568</v>
      </c>
      <c r="D39">
        <v>140760225</v>
      </c>
      <c r="E39">
        <v>70</v>
      </c>
      <c r="F39">
        <v>1</v>
      </c>
      <c r="G39">
        <v>1</v>
      </c>
      <c r="H39">
        <v>1</v>
      </c>
      <c r="I39" t="s">
        <v>278</v>
      </c>
      <c r="J39" t="s">
        <v>3</v>
      </c>
      <c r="K39" t="s">
        <v>279</v>
      </c>
      <c r="L39">
        <v>1191</v>
      </c>
      <c r="N39">
        <v>1013</v>
      </c>
      <c r="O39" t="s">
        <v>271</v>
      </c>
      <c r="P39" t="s">
        <v>271</v>
      </c>
      <c r="Q39">
        <v>1</v>
      </c>
      <c r="X39">
        <v>0.28999999999999998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2</v>
      </c>
      <c r="AF39" t="s">
        <v>57</v>
      </c>
      <c r="AG39">
        <v>0.36249999999999999</v>
      </c>
      <c r="AH39">
        <v>2</v>
      </c>
      <c r="AI39">
        <v>145185570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ROW(Source!A35)</f>
        <v>35</v>
      </c>
      <c r="B40">
        <v>145185571</v>
      </c>
      <c r="C40">
        <v>145185568</v>
      </c>
      <c r="D40">
        <v>140922893</v>
      </c>
      <c r="E40">
        <v>1</v>
      </c>
      <c r="F40">
        <v>1</v>
      </c>
      <c r="G40">
        <v>1</v>
      </c>
      <c r="H40">
        <v>2</v>
      </c>
      <c r="I40" t="s">
        <v>280</v>
      </c>
      <c r="J40" t="s">
        <v>281</v>
      </c>
      <c r="K40" t="s">
        <v>282</v>
      </c>
      <c r="L40">
        <v>1367</v>
      </c>
      <c r="N40">
        <v>1011</v>
      </c>
      <c r="O40" t="s">
        <v>275</v>
      </c>
      <c r="P40" t="s">
        <v>275</v>
      </c>
      <c r="Q40">
        <v>1</v>
      </c>
      <c r="X40">
        <v>0.15</v>
      </c>
      <c r="Y40">
        <v>0</v>
      </c>
      <c r="Z40">
        <v>86.4</v>
      </c>
      <c r="AA40">
        <v>13.5</v>
      </c>
      <c r="AB40">
        <v>0</v>
      </c>
      <c r="AC40">
        <v>0</v>
      </c>
      <c r="AD40">
        <v>1</v>
      </c>
      <c r="AE40">
        <v>0</v>
      </c>
      <c r="AF40" t="s">
        <v>57</v>
      </c>
      <c r="AG40">
        <v>0.1875</v>
      </c>
      <c r="AH40">
        <v>2</v>
      </c>
      <c r="AI40">
        <v>145185571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ROW(Source!A35)</f>
        <v>35</v>
      </c>
      <c r="B41">
        <v>145185572</v>
      </c>
      <c r="C41">
        <v>145185568</v>
      </c>
      <c r="D41">
        <v>140922951</v>
      </c>
      <c r="E41">
        <v>1</v>
      </c>
      <c r="F41">
        <v>1</v>
      </c>
      <c r="G41">
        <v>1</v>
      </c>
      <c r="H41">
        <v>2</v>
      </c>
      <c r="I41" t="s">
        <v>315</v>
      </c>
      <c r="J41" t="s">
        <v>316</v>
      </c>
      <c r="K41" t="s">
        <v>317</v>
      </c>
      <c r="L41">
        <v>1367</v>
      </c>
      <c r="N41">
        <v>1011</v>
      </c>
      <c r="O41" t="s">
        <v>275</v>
      </c>
      <c r="P41" t="s">
        <v>275</v>
      </c>
      <c r="Q41">
        <v>1</v>
      </c>
      <c r="X41">
        <v>0.05</v>
      </c>
      <c r="Y41">
        <v>0</v>
      </c>
      <c r="Z41">
        <v>115.4</v>
      </c>
      <c r="AA41">
        <v>13.5</v>
      </c>
      <c r="AB41">
        <v>0</v>
      </c>
      <c r="AC41">
        <v>0</v>
      </c>
      <c r="AD41">
        <v>1</v>
      </c>
      <c r="AE41">
        <v>0</v>
      </c>
      <c r="AF41" t="s">
        <v>57</v>
      </c>
      <c r="AG41">
        <v>6.25E-2</v>
      </c>
      <c r="AH41">
        <v>2</v>
      </c>
      <c r="AI41">
        <v>145185572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ROW(Source!A35)</f>
        <v>35</v>
      </c>
      <c r="B42">
        <v>145185573</v>
      </c>
      <c r="C42">
        <v>145185568</v>
      </c>
      <c r="D42">
        <v>140923885</v>
      </c>
      <c r="E42">
        <v>1</v>
      </c>
      <c r="F42">
        <v>1</v>
      </c>
      <c r="G42">
        <v>1</v>
      </c>
      <c r="H42">
        <v>2</v>
      </c>
      <c r="I42" t="s">
        <v>310</v>
      </c>
      <c r="J42" t="s">
        <v>311</v>
      </c>
      <c r="K42" t="s">
        <v>312</v>
      </c>
      <c r="L42">
        <v>1367</v>
      </c>
      <c r="N42">
        <v>1011</v>
      </c>
      <c r="O42" t="s">
        <v>275</v>
      </c>
      <c r="P42" t="s">
        <v>275</v>
      </c>
      <c r="Q42">
        <v>1</v>
      </c>
      <c r="X42">
        <v>0.09</v>
      </c>
      <c r="Y42">
        <v>0</v>
      </c>
      <c r="Z42">
        <v>65.709999999999994</v>
      </c>
      <c r="AA42">
        <v>11.6</v>
      </c>
      <c r="AB42">
        <v>0</v>
      </c>
      <c r="AC42">
        <v>0</v>
      </c>
      <c r="AD42">
        <v>1</v>
      </c>
      <c r="AE42">
        <v>0</v>
      </c>
      <c r="AF42" t="s">
        <v>57</v>
      </c>
      <c r="AG42">
        <v>0.11249999999999999</v>
      </c>
      <c r="AH42">
        <v>2</v>
      </c>
      <c r="AI42">
        <v>145185573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ROW(Source!A35)</f>
        <v>35</v>
      </c>
      <c r="B43">
        <v>145185574</v>
      </c>
      <c r="C43">
        <v>145185568</v>
      </c>
      <c r="D43">
        <v>140771011</v>
      </c>
      <c r="E43">
        <v>1</v>
      </c>
      <c r="F43">
        <v>1</v>
      </c>
      <c r="G43">
        <v>1</v>
      </c>
      <c r="H43">
        <v>3</v>
      </c>
      <c r="I43" t="s">
        <v>318</v>
      </c>
      <c r="J43" t="s">
        <v>319</v>
      </c>
      <c r="K43" t="s">
        <v>320</v>
      </c>
      <c r="L43">
        <v>1346</v>
      </c>
      <c r="N43">
        <v>1009</v>
      </c>
      <c r="O43" t="s">
        <v>92</v>
      </c>
      <c r="P43" t="s">
        <v>92</v>
      </c>
      <c r="Q43">
        <v>1</v>
      </c>
      <c r="X43">
        <v>29.94</v>
      </c>
      <c r="Y43">
        <v>6.09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29.94</v>
      </c>
      <c r="AH43">
        <v>2</v>
      </c>
      <c r="AI43">
        <v>145185574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ROW(Source!A35)</f>
        <v>35</v>
      </c>
      <c r="B44">
        <v>145185575</v>
      </c>
      <c r="C44">
        <v>145185568</v>
      </c>
      <c r="D44">
        <v>140762870</v>
      </c>
      <c r="E44">
        <v>70</v>
      </c>
      <c r="F44">
        <v>1</v>
      </c>
      <c r="G44">
        <v>1</v>
      </c>
      <c r="H44">
        <v>3</v>
      </c>
      <c r="I44" t="s">
        <v>321</v>
      </c>
      <c r="J44" t="s">
        <v>3</v>
      </c>
      <c r="K44" t="s">
        <v>322</v>
      </c>
      <c r="L44">
        <v>1327</v>
      </c>
      <c r="N44">
        <v>1005</v>
      </c>
      <c r="O44" t="s">
        <v>73</v>
      </c>
      <c r="P44" t="s">
        <v>73</v>
      </c>
      <c r="Q44">
        <v>1</v>
      </c>
      <c r="X44">
        <v>114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 t="s">
        <v>3</v>
      </c>
      <c r="AG44">
        <v>114</v>
      </c>
      <c r="AH44">
        <v>2</v>
      </c>
      <c r="AI44">
        <v>145185575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ROW(Source!A35)</f>
        <v>35</v>
      </c>
      <c r="B45">
        <v>145185576</v>
      </c>
      <c r="C45">
        <v>145185568</v>
      </c>
      <c r="D45">
        <v>140762867</v>
      </c>
      <c r="E45">
        <v>70</v>
      </c>
      <c r="F45">
        <v>1</v>
      </c>
      <c r="G45">
        <v>1</v>
      </c>
      <c r="H45">
        <v>3</v>
      </c>
      <c r="I45" t="s">
        <v>321</v>
      </c>
      <c r="J45" t="s">
        <v>3</v>
      </c>
      <c r="K45" t="s">
        <v>323</v>
      </c>
      <c r="L45">
        <v>1327</v>
      </c>
      <c r="N45">
        <v>1005</v>
      </c>
      <c r="O45" t="s">
        <v>73</v>
      </c>
      <c r="P45" t="s">
        <v>73</v>
      </c>
      <c r="Q45">
        <v>1</v>
      </c>
      <c r="X45">
        <v>116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 t="s">
        <v>3</v>
      </c>
      <c r="AG45">
        <v>116</v>
      </c>
      <c r="AH45">
        <v>2</v>
      </c>
      <c r="AI45">
        <v>145185576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ROW(Source!A38)</f>
        <v>38</v>
      </c>
      <c r="B46">
        <v>145185582</v>
      </c>
      <c r="C46">
        <v>145185581</v>
      </c>
      <c r="D46">
        <v>140760008</v>
      </c>
      <c r="E46">
        <v>70</v>
      </c>
      <c r="F46">
        <v>1</v>
      </c>
      <c r="G46">
        <v>1</v>
      </c>
      <c r="H46">
        <v>1</v>
      </c>
      <c r="I46" t="s">
        <v>324</v>
      </c>
      <c r="J46" t="s">
        <v>3</v>
      </c>
      <c r="K46" t="s">
        <v>325</v>
      </c>
      <c r="L46">
        <v>1191</v>
      </c>
      <c r="N46">
        <v>1013</v>
      </c>
      <c r="O46" t="s">
        <v>271</v>
      </c>
      <c r="P46" t="s">
        <v>271</v>
      </c>
      <c r="Q46">
        <v>1</v>
      </c>
      <c r="X46">
        <v>35.5</v>
      </c>
      <c r="Y46">
        <v>0</v>
      </c>
      <c r="Z46">
        <v>0</v>
      </c>
      <c r="AA46">
        <v>0</v>
      </c>
      <c r="AB46">
        <v>9.18</v>
      </c>
      <c r="AC46">
        <v>0</v>
      </c>
      <c r="AD46">
        <v>1</v>
      </c>
      <c r="AE46">
        <v>1</v>
      </c>
      <c r="AF46" t="s">
        <v>58</v>
      </c>
      <c r="AG46">
        <v>40.824999999999996</v>
      </c>
      <c r="AH46">
        <v>2</v>
      </c>
      <c r="AI46">
        <v>145185582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ROW(Source!A38)</f>
        <v>38</v>
      </c>
      <c r="B47">
        <v>145185583</v>
      </c>
      <c r="C47">
        <v>145185581</v>
      </c>
      <c r="D47">
        <v>140760225</v>
      </c>
      <c r="E47">
        <v>70</v>
      </c>
      <c r="F47">
        <v>1</v>
      </c>
      <c r="G47">
        <v>1</v>
      </c>
      <c r="H47">
        <v>1</v>
      </c>
      <c r="I47" t="s">
        <v>278</v>
      </c>
      <c r="J47" t="s">
        <v>3</v>
      </c>
      <c r="K47" t="s">
        <v>279</v>
      </c>
      <c r="L47">
        <v>1191</v>
      </c>
      <c r="N47">
        <v>1013</v>
      </c>
      <c r="O47" t="s">
        <v>271</v>
      </c>
      <c r="P47" t="s">
        <v>271</v>
      </c>
      <c r="Q47">
        <v>1</v>
      </c>
      <c r="X47">
        <v>0.86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2</v>
      </c>
      <c r="AF47" t="s">
        <v>57</v>
      </c>
      <c r="AG47">
        <v>1.075</v>
      </c>
      <c r="AH47">
        <v>2</v>
      </c>
      <c r="AI47">
        <v>145185583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ROW(Source!A38)</f>
        <v>38</v>
      </c>
      <c r="B48">
        <v>145185584</v>
      </c>
      <c r="C48">
        <v>145185581</v>
      </c>
      <c r="D48">
        <v>140922893</v>
      </c>
      <c r="E48">
        <v>1</v>
      </c>
      <c r="F48">
        <v>1</v>
      </c>
      <c r="G48">
        <v>1</v>
      </c>
      <c r="H48">
        <v>2</v>
      </c>
      <c r="I48" t="s">
        <v>280</v>
      </c>
      <c r="J48" t="s">
        <v>281</v>
      </c>
      <c r="K48" t="s">
        <v>282</v>
      </c>
      <c r="L48">
        <v>1367</v>
      </c>
      <c r="N48">
        <v>1011</v>
      </c>
      <c r="O48" t="s">
        <v>275</v>
      </c>
      <c r="P48" t="s">
        <v>275</v>
      </c>
      <c r="Q48">
        <v>1</v>
      </c>
      <c r="X48">
        <v>0.61</v>
      </c>
      <c r="Y48">
        <v>0</v>
      </c>
      <c r="Z48">
        <v>86.4</v>
      </c>
      <c r="AA48">
        <v>13.5</v>
      </c>
      <c r="AB48">
        <v>0</v>
      </c>
      <c r="AC48">
        <v>0</v>
      </c>
      <c r="AD48">
        <v>1</v>
      </c>
      <c r="AE48">
        <v>0</v>
      </c>
      <c r="AF48" t="s">
        <v>57</v>
      </c>
      <c r="AG48">
        <v>0.76249999999999996</v>
      </c>
      <c r="AH48">
        <v>2</v>
      </c>
      <c r="AI48">
        <v>145185584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ROW(Source!A38)</f>
        <v>38</v>
      </c>
      <c r="B49">
        <v>145185585</v>
      </c>
      <c r="C49">
        <v>145185581</v>
      </c>
      <c r="D49">
        <v>140922951</v>
      </c>
      <c r="E49">
        <v>1</v>
      </c>
      <c r="F49">
        <v>1</v>
      </c>
      <c r="G49">
        <v>1</v>
      </c>
      <c r="H49">
        <v>2</v>
      </c>
      <c r="I49" t="s">
        <v>315</v>
      </c>
      <c r="J49" t="s">
        <v>316</v>
      </c>
      <c r="K49" t="s">
        <v>317</v>
      </c>
      <c r="L49">
        <v>1367</v>
      </c>
      <c r="N49">
        <v>1011</v>
      </c>
      <c r="O49" t="s">
        <v>275</v>
      </c>
      <c r="P49" t="s">
        <v>275</v>
      </c>
      <c r="Q49">
        <v>1</v>
      </c>
      <c r="X49">
        <v>0.1</v>
      </c>
      <c r="Y49">
        <v>0</v>
      </c>
      <c r="Z49">
        <v>115.4</v>
      </c>
      <c r="AA49">
        <v>13.5</v>
      </c>
      <c r="AB49">
        <v>0</v>
      </c>
      <c r="AC49">
        <v>0</v>
      </c>
      <c r="AD49">
        <v>1</v>
      </c>
      <c r="AE49">
        <v>0</v>
      </c>
      <c r="AF49" t="s">
        <v>57</v>
      </c>
      <c r="AG49">
        <v>0.125</v>
      </c>
      <c r="AH49">
        <v>2</v>
      </c>
      <c r="AI49">
        <v>145185585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ROW(Source!A38)</f>
        <v>38</v>
      </c>
      <c r="B50">
        <v>145185586</v>
      </c>
      <c r="C50">
        <v>145185581</v>
      </c>
      <c r="D50">
        <v>140923885</v>
      </c>
      <c r="E50">
        <v>1</v>
      </c>
      <c r="F50">
        <v>1</v>
      </c>
      <c r="G50">
        <v>1</v>
      </c>
      <c r="H50">
        <v>2</v>
      </c>
      <c r="I50" t="s">
        <v>310</v>
      </c>
      <c r="J50" t="s">
        <v>311</v>
      </c>
      <c r="K50" t="s">
        <v>312</v>
      </c>
      <c r="L50">
        <v>1367</v>
      </c>
      <c r="N50">
        <v>1011</v>
      </c>
      <c r="O50" t="s">
        <v>275</v>
      </c>
      <c r="P50" t="s">
        <v>275</v>
      </c>
      <c r="Q50">
        <v>1</v>
      </c>
      <c r="X50">
        <v>0.15</v>
      </c>
      <c r="Y50">
        <v>0</v>
      </c>
      <c r="Z50">
        <v>65.709999999999994</v>
      </c>
      <c r="AA50">
        <v>11.6</v>
      </c>
      <c r="AB50">
        <v>0</v>
      </c>
      <c r="AC50">
        <v>0</v>
      </c>
      <c r="AD50">
        <v>1</v>
      </c>
      <c r="AE50">
        <v>0</v>
      </c>
      <c r="AF50" t="s">
        <v>57</v>
      </c>
      <c r="AG50">
        <v>0.1875</v>
      </c>
      <c r="AH50">
        <v>2</v>
      </c>
      <c r="AI50">
        <v>145185586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ROW(Source!A38)</f>
        <v>38</v>
      </c>
      <c r="B51">
        <v>145185587</v>
      </c>
      <c r="C51">
        <v>145185581</v>
      </c>
      <c r="D51">
        <v>140771011</v>
      </c>
      <c r="E51">
        <v>1</v>
      </c>
      <c r="F51">
        <v>1</v>
      </c>
      <c r="G51">
        <v>1</v>
      </c>
      <c r="H51">
        <v>3</v>
      </c>
      <c r="I51" t="s">
        <v>318</v>
      </c>
      <c r="J51" t="s">
        <v>319</v>
      </c>
      <c r="K51" t="s">
        <v>320</v>
      </c>
      <c r="L51">
        <v>1346</v>
      </c>
      <c r="N51">
        <v>1009</v>
      </c>
      <c r="O51" t="s">
        <v>92</v>
      </c>
      <c r="P51" t="s">
        <v>92</v>
      </c>
      <c r="Q51">
        <v>1</v>
      </c>
      <c r="X51">
        <v>32.49</v>
      </c>
      <c r="Y51">
        <v>6.09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32.49</v>
      </c>
      <c r="AH51">
        <v>2</v>
      </c>
      <c r="AI51">
        <v>145185587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ROW(Source!A38)</f>
        <v>38</v>
      </c>
      <c r="B52">
        <v>145185588</v>
      </c>
      <c r="C52">
        <v>145185581</v>
      </c>
      <c r="D52">
        <v>140778088</v>
      </c>
      <c r="E52">
        <v>1</v>
      </c>
      <c r="F52">
        <v>1</v>
      </c>
      <c r="G52">
        <v>1</v>
      </c>
      <c r="H52">
        <v>3</v>
      </c>
      <c r="I52" t="s">
        <v>326</v>
      </c>
      <c r="J52" t="s">
        <v>327</v>
      </c>
      <c r="K52" t="s">
        <v>328</v>
      </c>
      <c r="L52">
        <v>1339</v>
      </c>
      <c r="N52">
        <v>1007</v>
      </c>
      <c r="O52" t="s">
        <v>68</v>
      </c>
      <c r="P52" t="s">
        <v>68</v>
      </c>
      <c r="Q52">
        <v>1</v>
      </c>
      <c r="X52">
        <v>0.51</v>
      </c>
      <c r="Y52">
        <v>519.79999999999995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0.51</v>
      </c>
      <c r="AH52">
        <v>2</v>
      </c>
      <c r="AI52">
        <v>145185588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ROW(Source!A38)</f>
        <v>38</v>
      </c>
      <c r="B53">
        <v>145185589</v>
      </c>
      <c r="C53">
        <v>145185581</v>
      </c>
      <c r="D53">
        <v>140762874</v>
      </c>
      <c r="E53">
        <v>70</v>
      </c>
      <c r="F53">
        <v>1</v>
      </c>
      <c r="G53">
        <v>1</v>
      </c>
      <c r="H53">
        <v>3</v>
      </c>
      <c r="I53" t="s">
        <v>321</v>
      </c>
      <c r="J53" t="s">
        <v>3</v>
      </c>
      <c r="K53" t="s">
        <v>329</v>
      </c>
      <c r="L53">
        <v>1327</v>
      </c>
      <c r="N53">
        <v>1005</v>
      </c>
      <c r="O53" t="s">
        <v>73</v>
      </c>
      <c r="P53" t="s">
        <v>73</v>
      </c>
      <c r="Q53">
        <v>1</v>
      </c>
      <c r="X53">
        <v>252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3</v>
      </c>
      <c r="AG53">
        <v>252</v>
      </c>
      <c r="AH53">
        <v>2</v>
      </c>
      <c r="AI53">
        <v>145185589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ROW(Source!A41)</f>
        <v>41</v>
      </c>
      <c r="B54">
        <v>145185599</v>
      </c>
      <c r="C54">
        <v>145185598</v>
      </c>
      <c r="D54">
        <v>140759979</v>
      </c>
      <c r="E54">
        <v>70</v>
      </c>
      <c r="F54">
        <v>1</v>
      </c>
      <c r="G54">
        <v>1</v>
      </c>
      <c r="H54">
        <v>1</v>
      </c>
      <c r="I54" t="s">
        <v>330</v>
      </c>
      <c r="J54" t="s">
        <v>3</v>
      </c>
      <c r="K54" t="s">
        <v>331</v>
      </c>
      <c r="L54">
        <v>1191</v>
      </c>
      <c r="N54">
        <v>1013</v>
      </c>
      <c r="O54" t="s">
        <v>271</v>
      </c>
      <c r="P54" t="s">
        <v>271</v>
      </c>
      <c r="Q54">
        <v>1</v>
      </c>
      <c r="X54">
        <v>70.25</v>
      </c>
      <c r="Y54">
        <v>0</v>
      </c>
      <c r="Z54">
        <v>0</v>
      </c>
      <c r="AA54">
        <v>0</v>
      </c>
      <c r="AB54">
        <v>8.5299999999999994</v>
      </c>
      <c r="AC54">
        <v>0</v>
      </c>
      <c r="AD54">
        <v>1</v>
      </c>
      <c r="AE54">
        <v>1</v>
      </c>
      <c r="AF54" t="s">
        <v>3</v>
      </c>
      <c r="AG54">
        <v>70.25</v>
      </c>
      <c r="AH54">
        <v>2</v>
      </c>
      <c r="AI54">
        <v>145185599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ROW(Source!A41)</f>
        <v>41</v>
      </c>
      <c r="B55">
        <v>145185600</v>
      </c>
      <c r="C55">
        <v>145185598</v>
      </c>
      <c r="D55">
        <v>140760225</v>
      </c>
      <c r="E55">
        <v>70</v>
      </c>
      <c r="F55">
        <v>1</v>
      </c>
      <c r="G55">
        <v>1</v>
      </c>
      <c r="H55">
        <v>1</v>
      </c>
      <c r="I55" t="s">
        <v>278</v>
      </c>
      <c r="J55" t="s">
        <v>3</v>
      </c>
      <c r="K55" t="s">
        <v>279</v>
      </c>
      <c r="L55">
        <v>1191</v>
      </c>
      <c r="N55">
        <v>1013</v>
      </c>
      <c r="O55" t="s">
        <v>271</v>
      </c>
      <c r="P55" t="s">
        <v>271</v>
      </c>
      <c r="Q55">
        <v>1</v>
      </c>
      <c r="X55">
        <v>0.25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2</v>
      </c>
      <c r="AF55" t="s">
        <v>3</v>
      </c>
      <c r="AG55">
        <v>0.25</v>
      </c>
      <c r="AH55">
        <v>2</v>
      </c>
      <c r="AI55">
        <v>145185600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ROW(Source!A41)</f>
        <v>41</v>
      </c>
      <c r="B56">
        <v>145185601</v>
      </c>
      <c r="C56">
        <v>145185598</v>
      </c>
      <c r="D56">
        <v>140923145</v>
      </c>
      <c r="E56">
        <v>1</v>
      </c>
      <c r="F56">
        <v>1</v>
      </c>
      <c r="G56">
        <v>1</v>
      </c>
      <c r="H56">
        <v>2</v>
      </c>
      <c r="I56" t="s">
        <v>332</v>
      </c>
      <c r="J56" t="s">
        <v>333</v>
      </c>
      <c r="K56" t="s">
        <v>334</v>
      </c>
      <c r="L56">
        <v>1367</v>
      </c>
      <c r="N56">
        <v>1011</v>
      </c>
      <c r="O56" t="s">
        <v>275</v>
      </c>
      <c r="P56" t="s">
        <v>275</v>
      </c>
      <c r="Q56">
        <v>1</v>
      </c>
      <c r="X56">
        <v>0.18</v>
      </c>
      <c r="Y56">
        <v>0</v>
      </c>
      <c r="Z56">
        <v>31.26</v>
      </c>
      <c r="AA56">
        <v>13.5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0.18</v>
      </c>
      <c r="AH56">
        <v>2</v>
      </c>
      <c r="AI56">
        <v>145185601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ROW(Source!A41)</f>
        <v>41</v>
      </c>
      <c r="B57">
        <v>145185602</v>
      </c>
      <c r="C57">
        <v>145185598</v>
      </c>
      <c r="D57">
        <v>140923885</v>
      </c>
      <c r="E57">
        <v>1</v>
      </c>
      <c r="F57">
        <v>1</v>
      </c>
      <c r="G57">
        <v>1</v>
      </c>
      <c r="H57">
        <v>2</v>
      </c>
      <c r="I57" t="s">
        <v>310</v>
      </c>
      <c r="J57" t="s">
        <v>311</v>
      </c>
      <c r="K57" t="s">
        <v>312</v>
      </c>
      <c r="L57">
        <v>1367</v>
      </c>
      <c r="N57">
        <v>1011</v>
      </c>
      <c r="O57" t="s">
        <v>275</v>
      </c>
      <c r="P57" t="s">
        <v>275</v>
      </c>
      <c r="Q57">
        <v>1</v>
      </c>
      <c r="X57">
        <v>7.0000000000000007E-2</v>
      </c>
      <c r="Y57">
        <v>0</v>
      </c>
      <c r="Z57">
        <v>65.709999999999994</v>
      </c>
      <c r="AA57">
        <v>11.6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7.0000000000000007E-2</v>
      </c>
      <c r="AH57">
        <v>2</v>
      </c>
      <c r="AI57">
        <v>145185602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ROW(Source!A41)</f>
        <v>41</v>
      </c>
      <c r="B58">
        <v>145185603</v>
      </c>
      <c r="C58">
        <v>145185598</v>
      </c>
      <c r="D58">
        <v>140775118</v>
      </c>
      <c r="E58">
        <v>1</v>
      </c>
      <c r="F58">
        <v>1</v>
      </c>
      <c r="G58">
        <v>1</v>
      </c>
      <c r="H58">
        <v>3</v>
      </c>
      <c r="I58" t="s">
        <v>335</v>
      </c>
      <c r="J58" t="s">
        <v>336</v>
      </c>
      <c r="K58" t="s">
        <v>337</v>
      </c>
      <c r="L58">
        <v>1348</v>
      </c>
      <c r="N58">
        <v>1009</v>
      </c>
      <c r="O58" t="s">
        <v>88</v>
      </c>
      <c r="P58" t="s">
        <v>88</v>
      </c>
      <c r="Q58">
        <v>1000</v>
      </c>
      <c r="X58">
        <v>4.0000000000000001E-3</v>
      </c>
      <c r="Y58">
        <v>11978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4.0000000000000001E-3</v>
      </c>
      <c r="AH58">
        <v>2</v>
      </c>
      <c r="AI58">
        <v>145185603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ROW(Source!A41)</f>
        <v>41</v>
      </c>
      <c r="B59">
        <v>145185604</v>
      </c>
      <c r="C59">
        <v>145185598</v>
      </c>
      <c r="D59">
        <v>140792324</v>
      </c>
      <c r="E59">
        <v>1</v>
      </c>
      <c r="F59">
        <v>1</v>
      </c>
      <c r="G59">
        <v>1</v>
      </c>
      <c r="H59">
        <v>3</v>
      </c>
      <c r="I59" t="s">
        <v>338</v>
      </c>
      <c r="J59" t="s">
        <v>339</v>
      </c>
      <c r="K59" t="s">
        <v>340</v>
      </c>
      <c r="L59">
        <v>1348</v>
      </c>
      <c r="N59">
        <v>1009</v>
      </c>
      <c r="O59" t="s">
        <v>88</v>
      </c>
      <c r="P59" t="s">
        <v>88</v>
      </c>
      <c r="Q59">
        <v>1000</v>
      </c>
      <c r="X59">
        <v>1.2E-2</v>
      </c>
      <c r="Y59">
        <v>8023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1.2E-2</v>
      </c>
      <c r="AH59">
        <v>2</v>
      </c>
      <c r="AI59">
        <v>145185604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ROW(Source!A41)</f>
        <v>41</v>
      </c>
      <c r="B60">
        <v>145185605</v>
      </c>
      <c r="C60">
        <v>145185598</v>
      </c>
      <c r="D60">
        <v>140762309</v>
      </c>
      <c r="E60">
        <v>70</v>
      </c>
      <c r="F60">
        <v>1</v>
      </c>
      <c r="G60">
        <v>1</v>
      </c>
      <c r="H60">
        <v>3</v>
      </c>
      <c r="I60" t="s">
        <v>341</v>
      </c>
      <c r="J60" t="s">
        <v>3</v>
      </c>
      <c r="K60" t="s">
        <v>342</v>
      </c>
      <c r="L60">
        <v>1348</v>
      </c>
      <c r="N60">
        <v>1009</v>
      </c>
      <c r="O60" t="s">
        <v>88</v>
      </c>
      <c r="P60" t="s">
        <v>88</v>
      </c>
      <c r="Q60">
        <v>1000</v>
      </c>
      <c r="X60">
        <v>0.41199999999999998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3</v>
      </c>
      <c r="AG60">
        <v>0.41199999999999998</v>
      </c>
      <c r="AH60">
        <v>2</v>
      </c>
      <c r="AI60">
        <v>145185605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ROW(Source!A41)</f>
        <v>41</v>
      </c>
      <c r="B61">
        <v>145185606</v>
      </c>
      <c r="C61">
        <v>145185598</v>
      </c>
      <c r="D61">
        <v>140765020</v>
      </c>
      <c r="E61">
        <v>70</v>
      </c>
      <c r="F61">
        <v>1</v>
      </c>
      <c r="G61">
        <v>1</v>
      </c>
      <c r="H61">
        <v>3</v>
      </c>
      <c r="I61" t="s">
        <v>343</v>
      </c>
      <c r="J61" t="s">
        <v>3</v>
      </c>
      <c r="K61" t="s">
        <v>344</v>
      </c>
      <c r="L61">
        <v>1348</v>
      </c>
      <c r="N61">
        <v>1009</v>
      </c>
      <c r="O61" t="s">
        <v>88</v>
      </c>
      <c r="P61" t="s">
        <v>88</v>
      </c>
      <c r="Q61">
        <v>1000</v>
      </c>
      <c r="X61">
        <v>0.49199999999999999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3</v>
      </c>
      <c r="AG61">
        <v>0.49199999999999999</v>
      </c>
      <c r="AH61">
        <v>2</v>
      </c>
      <c r="AI61">
        <v>145185606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ROW(Source!A42)</f>
        <v>42</v>
      </c>
      <c r="B62">
        <v>145187344</v>
      </c>
      <c r="C62">
        <v>145187343</v>
      </c>
      <c r="D62">
        <v>140759979</v>
      </c>
      <c r="E62">
        <v>70</v>
      </c>
      <c r="F62">
        <v>1</v>
      </c>
      <c r="G62">
        <v>1</v>
      </c>
      <c r="H62">
        <v>1</v>
      </c>
      <c r="I62" t="s">
        <v>330</v>
      </c>
      <c r="J62" t="s">
        <v>3</v>
      </c>
      <c r="K62" t="s">
        <v>331</v>
      </c>
      <c r="L62">
        <v>1191</v>
      </c>
      <c r="N62">
        <v>1013</v>
      </c>
      <c r="O62" t="s">
        <v>271</v>
      </c>
      <c r="P62" t="s">
        <v>271</v>
      </c>
      <c r="Q62">
        <v>1</v>
      </c>
      <c r="X62">
        <v>63.22</v>
      </c>
      <c r="Y62">
        <v>0</v>
      </c>
      <c r="Z62">
        <v>0</v>
      </c>
      <c r="AA62">
        <v>0</v>
      </c>
      <c r="AB62">
        <v>8.5299999999999994</v>
      </c>
      <c r="AC62">
        <v>0</v>
      </c>
      <c r="AD62">
        <v>1</v>
      </c>
      <c r="AE62">
        <v>1</v>
      </c>
      <c r="AF62" t="s">
        <v>3</v>
      </c>
      <c r="AG62">
        <v>63.22</v>
      </c>
      <c r="AH62">
        <v>2</v>
      </c>
      <c r="AI62">
        <v>145187344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ROW(Source!A42)</f>
        <v>42</v>
      </c>
      <c r="B63">
        <v>145187345</v>
      </c>
      <c r="C63">
        <v>145187343</v>
      </c>
      <c r="D63">
        <v>140760225</v>
      </c>
      <c r="E63">
        <v>70</v>
      </c>
      <c r="F63">
        <v>1</v>
      </c>
      <c r="G63">
        <v>1</v>
      </c>
      <c r="H63">
        <v>1</v>
      </c>
      <c r="I63" t="s">
        <v>278</v>
      </c>
      <c r="J63" t="s">
        <v>3</v>
      </c>
      <c r="K63" t="s">
        <v>279</v>
      </c>
      <c r="L63">
        <v>1191</v>
      </c>
      <c r="N63">
        <v>1013</v>
      </c>
      <c r="O63" t="s">
        <v>271</v>
      </c>
      <c r="P63" t="s">
        <v>271</v>
      </c>
      <c r="Q63">
        <v>1</v>
      </c>
      <c r="X63">
        <v>0.2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2</v>
      </c>
      <c r="AF63" t="s">
        <v>3</v>
      </c>
      <c r="AG63">
        <v>0.2</v>
      </c>
      <c r="AH63">
        <v>2</v>
      </c>
      <c r="AI63">
        <v>145187345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ROW(Source!A42)</f>
        <v>42</v>
      </c>
      <c r="B64">
        <v>145187346</v>
      </c>
      <c r="C64">
        <v>145187343</v>
      </c>
      <c r="D64">
        <v>140923145</v>
      </c>
      <c r="E64">
        <v>1</v>
      </c>
      <c r="F64">
        <v>1</v>
      </c>
      <c r="G64">
        <v>1</v>
      </c>
      <c r="H64">
        <v>2</v>
      </c>
      <c r="I64" t="s">
        <v>332</v>
      </c>
      <c r="J64" t="s">
        <v>333</v>
      </c>
      <c r="K64" t="s">
        <v>334</v>
      </c>
      <c r="L64">
        <v>1367</v>
      </c>
      <c r="N64">
        <v>1011</v>
      </c>
      <c r="O64" t="s">
        <v>275</v>
      </c>
      <c r="P64" t="s">
        <v>275</v>
      </c>
      <c r="Q64">
        <v>1</v>
      </c>
      <c r="X64">
        <v>0.14000000000000001</v>
      </c>
      <c r="Y64">
        <v>0</v>
      </c>
      <c r="Z64">
        <v>31.26</v>
      </c>
      <c r="AA64">
        <v>13.5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0.14000000000000001</v>
      </c>
      <c r="AH64">
        <v>2</v>
      </c>
      <c r="AI64">
        <v>145187346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ROW(Source!A42)</f>
        <v>42</v>
      </c>
      <c r="B65">
        <v>145187347</v>
      </c>
      <c r="C65">
        <v>145187343</v>
      </c>
      <c r="D65">
        <v>140923885</v>
      </c>
      <c r="E65">
        <v>1</v>
      </c>
      <c r="F65">
        <v>1</v>
      </c>
      <c r="G65">
        <v>1</v>
      </c>
      <c r="H65">
        <v>2</v>
      </c>
      <c r="I65" t="s">
        <v>310</v>
      </c>
      <c r="J65" t="s">
        <v>311</v>
      </c>
      <c r="K65" t="s">
        <v>312</v>
      </c>
      <c r="L65">
        <v>1367</v>
      </c>
      <c r="N65">
        <v>1011</v>
      </c>
      <c r="O65" t="s">
        <v>275</v>
      </c>
      <c r="P65" t="s">
        <v>275</v>
      </c>
      <c r="Q65">
        <v>1</v>
      </c>
      <c r="X65">
        <v>0.06</v>
      </c>
      <c r="Y65">
        <v>0</v>
      </c>
      <c r="Z65">
        <v>65.709999999999994</v>
      </c>
      <c r="AA65">
        <v>11.6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0.06</v>
      </c>
      <c r="AH65">
        <v>2</v>
      </c>
      <c r="AI65">
        <v>145187347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ROW(Source!A42)</f>
        <v>42</v>
      </c>
      <c r="B66">
        <v>145187348</v>
      </c>
      <c r="C66">
        <v>145187343</v>
      </c>
      <c r="D66">
        <v>140775118</v>
      </c>
      <c r="E66">
        <v>1</v>
      </c>
      <c r="F66">
        <v>1</v>
      </c>
      <c r="G66">
        <v>1</v>
      </c>
      <c r="H66">
        <v>3</v>
      </c>
      <c r="I66" t="s">
        <v>335</v>
      </c>
      <c r="J66" t="s">
        <v>336</v>
      </c>
      <c r="K66" t="s">
        <v>337</v>
      </c>
      <c r="L66">
        <v>1348</v>
      </c>
      <c r="N66">
        <v>1009</v>
      </c>
      <c r="O66" t="s">
        <v>88</v>
      </c>
      <c r="P66" t="s">
        <v>88</v>
      </c>
      <c r="Q66">
        <v>1000</v>
      </c>
      <c r="X66">
        <v>4.0000000000000001E-3</v>
      </c>
      <c r="Y66">
        <v>11978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4.0000000000000001E-3</v>
      </c>
      <c r="AH66">
        <v>2</v>
      </c>
      <c r="AI66">
        <v>145187348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ROW(Source!A42)</f>
        <v>42</v>
      </c>
      <c r="B67">
        <v>145187349</v>
      </c>
      <c r="C67">
        <v>145187343</v>
      </c>
      <c r="D67">
        <v>140792324</v>
      </c>
      <c r="E67">
        <v>1</v>
      </c>
      <c r="F67">
        <v>1</v>
      </c>
      <c r="G67">
        <v>1</v>
      </c>
      <c r="H67">
        <v>3</v>
      </c>
      <c r="I67" t="s">
        <v>338</v>
      </c>
      <c r="J67" t="s">
        <v>339</v>
      </c>
      <c r="K67" t="s">
        <v>340</v>
      </c>
      <c r="L67">
        <v>1348</v>
      </c>
      <c r="N67">
        <v>1009</v>
      </c>
      <c r="O67" t="s">
        <v>88</v>
      </c>
      <c r="P67" t="s">
        <v>88</v>
      </c>
      <c r="Q67">
        <v>1000</v>
      </c>
      <c r="X67">
        <v>6.0000000000000001E-3</v>
      </c>
      <c r="Y67">
        <v>8023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6.0000000000000001E-3</v>
      </c>
      <c r="AH67">
        <v>2</v>
      </c>
      <c r="AI67">
        <v>145187349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ROW(Source!A42)</f>
        <v>42</v>
      </c>
      <c r="B68">
        <v>145187350</v>
      </c>
      <c r="C68">
        <v>145187343</v>
      </c>
      <c r="D68">
        <v>140762309</v>
      </c>
      <c r="E68">
        <v>70</v>
      </c>
      <c r="F68">
        <v>1</v>
      </c>
      <c r="G68">
        <v>1</v>
      </c>
      <c r="H68">
        <v>3</v>
      </c>
      <c r="I68" t="s">
        <v>341</v>
      </c>
      <c r="J68" t="s">
        <v>3</v>
      </c>
      <c r="K68" t="s">
        <v>342</v>
      </c>
      <c r="L68">
        <v>1348</v>
      </c>
      <c r="N68">
        <v>1009</v>
      </c>
      <c r="O68" t="s">
        <v>88</v>
      </c>
      <c r="P68" t="s">
        <v>88</v>
      </c>
      <c r="Q68">
        <v>1000</v>
      </c>
      <c r="X68">
        <v>0.32400000000000001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 t="s">
        <v>3</v>
      </c>
      <c r="AG68">
        <v>0.32400000000000001</v>
      </c>
      <c r="AH68">
        <v>2</v>
      </c>
      <c r="AI68">
        <v>145187350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ROW(Source!A42)</f>
        <v>42</v>
      </c>
      <c r="B69">
        <v>145187351</v>
      </c>
      <c r="C69">
        <v>145187343</v>
      </c>
      <c r="D69">
        <v>140765020</v>
      </c>
      <c r="E69">
        <v>70</v>
      </c>
      <c r="F69">
        <v>1</v>
      </c>
      <c r="G69">
        <v>1</v>
      </c>
      <c r="H69">
        <v>3</v>
      </c>
      <c r="I69" t="s">
        <v>343</v>
      </c>
      <c r="J69" t="s">
        <v>3</v>
      </c>
      <c r="K69" t="s">
        <v>344</v>
      </c>
      <c r="L69">
        <v>1348</v>
      </c>
      <c r="N69">
        <v>1009</v>
      </c>
      <c r="O69" t="s">
        <v>88</v>
      </c>
      <c r="P69" t="s">
        <v>88</v>
      </c>
      <c r="Q69">
        <v>1000</v>
      </c>
      <c r="X69">
        <v>0.33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 t="s">
        <v>3</v>
      </c>
      <c r="AG69">
        <v>0.33</v>
      </c>
      <c r="AH69">
        <v>2</v>
      </c>
      <c r="AI69">
        <v>145187351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12 гр. по ФЕР</vt:lpstr>
      <vt:lpstr>Source</vt:lpstr>
      <vt:lpstr>SourceObSm</vt:lpstr>
      <vt:lpstr>SmtRes</vt:lpstr>
      <vt:lpstr>EtalonRes</vt:lpstr>
      <vt:lpstr>SrcKA</vt:lpstr>
      <vt:lpstr>'Смета 12 гр. по ФЕР'!Заголовки_для_печати</vt:lpstr>
      <vt:lpstr>'Смета 12 гр. по ФЕР'!Область_печати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Ковалев Денис Алексеевич</cp:lastModifiedBy>
  <cp:lastPrinted>2024-04-17T13:04:36Z</cp:lastPrinted>
  <dcterms:created xsi:type="dcterms:W3CDTF">2024-04-17T13:00:19Z</dcterms:created>
  <dcterms:modified xsi:type="dcterms:W3CDTF">2024-07-30T11:14:43Z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