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I:\OKS\Ковалев Д.А\Операционный бюджет\2024г\7. Кровля помола\ТЗ 1\В ТЕЗИС 4\Вложение №1 - Приложения к ТЗ (v.3)\"/>
    </mc:Choice>
  </mc:AlternateContent>
  <xr:revisionPtr revIDLastSave="0" documentId="13_ncr:1_{F17BAA40-D5C9-4CAF-AE51-99F8B4DEA786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Смета 12 гр. по Ф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12 гр. по ФЕР'!$28:$28</definedName>
    <definedName name="_xlnm.Print_Area" localSheetId="0">'Смета 12 гр. по ФЕР'!$A$5:$L$376</definedName>
  </definedNames>
  <calcPr calcId="191029" iterate="1"/>
</workbook>
</file>

<file path=xl/calcChain.xml><?xml version="1.0" encoding="utf-8"?>
<calcChain xmlns="http://schemas.openxmlformats.org/spreadsheetml/2006/main">
  <c r="C375" i="6" l="1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Z354" i="6"/>
  <c r="Y354" i="6"/>
  <c r="X354" i="6"/>
  <c r="J352" i="6"/>
  <c r="G352" i="6"/>
  <c r="F352" i="6"/>
  <c r="D352" i="6"/>
  <c r="I352" i="6"/>
  <c r="C352" i="6"/>
  <c r="B352" i="6"/>
  <c r="Z351" i="6"/>
  <c r="Y351" i="6"/>
  <c r="X351" i="6"/>
  <c r="J350" i="6"/>
  <c r="G350" i="6"/>
  <c r="F350" i="6"/>
  <c r="D350" i="6"/>
  <c r="I350" i="6"/>
  <c r="C350" i="6"/>
  <c r="B350" i="6"/>
  <c r="Z349" i="6"/>
  <c r="Y349" i="6"/>
  <c r="X349" i="6"/>
  <c r="J348" i="6"/>
  <c r="G348" i="6"/>
  <c r="F348" i="6"/>
  <c r="D348" i="6"/>
  <c r="I348" i="6"/>
  <c r="C348" i="6"/>
  <c r="B348" i="6"/>
  <c r="Z347" i="6"/>
  <c r="Y347" i="6"/>
  <c r="X347" i="6"/>
  <c r="J346" i="6"/>
  <c r="G346" i="6"/>
  <c r="F346" i="6"/>
  <c r="E346" i="6"/>
  <c r="D346" i="6"/>
  <c r="I346" i="6"/>
  <c r="B346" i="6"/>
  <c r="Z345" i="6"/>
  <c r="Y345" i="6"/>
  <c r="X345" i="6"/>
  <c r="J344" i="6"/>
  <c r="G344" i="6"/>
  <c r="F344" i="6"/>
  <c r="D344" i="6"/>
  <c r="I344" i="6"/>
  <c r="B344" i="6"/>
  <c r="Z343" i="6"/>
  <c r="Y343" i="6"/>
  <c r="X343" i="6"/>
  <c r="G342" i="6"/>
  <c r="E342" i="6"/>
  <c r="J341" i="6"/>
  <c r="E341" i="6"/>
  <c r="J340" i="6"/>
  <c r="E340" i="6"/>
  <c r="J339" i="6"/>
  <c r="G339" i="6"/>
  <c r="F339" i="6"/>
  <c r="J338" i="6"/>
  <c r="G338" i="6"/>
  <c r="F338" i="6"/>
  <c r="J337" i="6"/>
  <c r="G337" i="6"/>
  <c r="F337" i="6"/>
  <c r="J336" i="6"/>
  <c r="G336" i="6"/>
  <c r="F336" i="6"/>
  <c r="F335" i="6"/>
  <c r="E335" i="6"/>
  <c r="D335" i="6"/>
  <c r="I335" i="6"/>
  <c r="C335" i="6"/>
  <c r="B335" i="6"/>
  <c r="Z334" i="6"/>
  <c r="Y334" i="6"/>
  <c r="X334" i="6"/>
  <c r="J333" i="6"/>
  <c r="G333" i="6"/>
  <c r="F333" i="6"/>
  <c r="D333" i="6"/>
  <c r="I333" i="6"/>
  <c r="B333" i="6"/>
  <c r="Z332" i="6"/>
  <c r="Y332" i="6"/>
  <c r="X332" i="6"/>
  <c r="J331" i="6"/>
  <c r="Z331" i="6"/>
  <c r="Y331" i="6"/>
  <c r="X331" i="6"/>
  <c r="F331" i="6"/>
  <c r="D331" i="6"/>
  <c r="C331" i="6"/>
  <c r="B331" i="6"/>
  <c r="G330" i="6"/>
  <c r="E330" i="6"/>
  <c r="J329" i="6"/>
  <c r="F329" i="6"/>
  <c r="E329" i="6"/>
  <c r="J328" i="6"/>
  <c r="E328" i="6"/>
  <c r="J327" i="6"/>
  <c r="G327" i="6"/>
  <c r="F327" i="6"/>
  <c r="J326" i="6"/>
  <c r="G326" i="6"/>
  <c r="F326" i="6"/>
  <c r="J325" i="6"/>
  <c r="G325" i="6"/>
  <c r="F325" i="6"/>
  <c r="J324" i="6"/>
  <c r="G324" i="6"/>
  <c r="F324" i="6"/>
  <c r="F323" i="6"/>
  <c r="D323" i="6"/>
  <c r="I323" i="6"/>
  <c r="C323" i="6"/>
  <c r="B323" i="6"/>
  <c r="Z322" i="6"/>
  <c r="Y322" i="6"/>
  <c r="X322" i="6"/>
  <c r="J321" i="6"/>
  <c r="G321" i="6"/>
  <c r="F321" i="6"/>
  <c r="D321" i="6"/>
  <c r="I321" i="6"/>
  <c r="B321" i="6"/>
  <c r="Z320" i="6"/>
  <c r="Y320" i="6"/>
  <c r="X320" i="6"/>
  <c r="J319" i="6"/>
  <c r="G319" i="6"/>
  <c r="F319" i="6"/>
  <c r="E319" i="6"/>
  <c r="D319" i="6"/>
  <c r="I319" i="6"/>
  <c r="B319" i="6"/>
  <c r="Z318" i="6"/>
  <c r="Y318" i="6"/>
  <c r="X318" i="6"/>
  <c r="J317" i="6"/>
  <c r="Z317" i="6"/>
  <c r="Y317" i="6"/>
  <c r="X317" i="6"/>
  <c r="F317" i="6"/>
  <c r="D317" i="6"/>
  <c r="C317" i="6"/>
  <c r="B317" i="6"/>
  <c r="J316" i="6"/>
  <c r="Z316" i="6"/>
  <c r="Y316" i="6"/>
  <c r="X316" i="6"/>
  <c r="F316" i="6"/>
  <c r="D316" i="6"/>
  <c r="C316" i="6"/>
  <c r="B316" i="6"/>
  <c r="J315" i="6"/>
  <c r="Z315" i="6"/>
  <c r="Y315" i="6"/>
  <c r="X315" i="6"/>
  <c r="F315" i="6"/>
  <c r="D315" i="6"/>
  <c r="C315" i="6"/>
  <c r="B315" i="6"/>
  <c r="J314" i="6"/>
  <c r="Z314" i="6"/>
  <c r="Y314" i="6"/>
  <c r="X314" i="6"/>
  <c r="F314" i="6"/>
  <c r="D314" i="6"/>
  <c r="C314" i="6"/>
  <c r="B314" i="6"/>
  <c r="G313" i="6"/>
  <c r="E313" i="6"/>
  <c r="J312" i="6"/>
  <c r="F312" i="6"/>
  <c r="E312" i="6"/>
  <c r="J311" i="6"/>
  <c r="E311" i="6"/>
  <c r="J310" i="6"/>
  <c r="G310" i="6"/>
  <c r="F310" i="6"/>
  <c r="J309" i="6"/>
  <c r="G309" i="6"/>
  <c r="F309" i="6"/>
  <c r="J308" i="6"/>
  <c r="G308" i="6"/>
  <c r="F308" i="6"/>
  <c r="J307" i="6"/>
  <c r="G307" i="6"/>
  <c r="F307" i="6"/>
  <c r="F306" i="6"/>
  <c r="E306" i="6"/>
  <c r="D306" i="6"/>
  <c r="I306" i="6"/>
  <c r="C306" i="6"/>
  <c r="B306" i="6"/>
  <c r="Z305" i="6"/>
  <c r="Y305" i="6"/>
  <c r="X305" i="6"/>
  <c r="G304" i="6"/>
  <c r="E304" i="6"/>
  <c r="J303" i="6"/>
  <c r="E303" i="6"/>
  <c r="J302" i="6"/>
  <c r="E302" i="6"/>
  <c r="J301" i="6"/>
  <c r="G301" i="6"/>
  <c r="F301" i="6"/>
  <c r="J300" i="6"/>
  <c r="G300" i="6"/>
  <c r="F300" i="6"/>
  <c r="J299" i="6"/>
  <c r="G299" i="6"/>
  <c r="F299" i="6"/>
  <c r="F297" i="6"/>
  <c r="D297" i="6"/>
  <c r="I297" i="6"/>
  <c r="C297" i="6"/>
  <c r="B297" i="6"/>
  <c r="Z296" i="6"/>
  <c r="Y296" i="6"/>
  <c r="X296" i="6"/>
  <c r="J295" i="6"/>
  <c r="G295" i="6"/>
  <c r="F295" i="6"/>
  <c r="E295" i="6"/>
  <c r="D295" i="6"/>
  <c r="I295" i="6"/>
  <c r="B295" i="6"/>
  <c r="Z294" i="6"/>
  <c r="Y294" i="6"/>
  <c r="X294" i="6"/>
  <c r="G293" i="6"/>
  <c r="E293" i="6"/>
  <c r="J292" i="6"/>
  <c r="E292" i="6"/>
  <c r="J291" i="6"/>
  <c r="E291" i="6"/>
  <c r="J290" i="6"/>
  <c r="G290" i="6"/>
  <c r="F290" i="6"/>
  <c r="J289" i="6"/>
  <c r="G289" i="6"/>
  <c r="F289" i="6"/>
  <c r="J288" i="6"/>
  <c r="G288" i="6"/>
  <c r="F288" i="6"/>
  <c r="J287" i="6"/>
  <c r="G287" i="6"/>
  <c r="F287" i="6"/>
  <c r="F285" i="6"/>
  <c r="D285" i="6"/>
  <c r="I285" i="6"/>
  <c r="C285" i="6"/>
  <c r="B285" i="6"/>
  <c r="Z284" i="6"/>
  <c r="Y284" i="6"/>
  <c r="X284" i="6"/>
  <c r="J282" i="6"/>
  <c r="G282" i="6"/>
  <c r="F282" i="6"/>
  <c r="D282" i="6"/>
  <c r="I282" i="6"/>
  <c r="B282" i="6"/>
  <c r="Z281" i="6"/>
  <c r="Y281" i="6"/>
  <c r="X281" i="6"/>
  <c r="J280" i="6"/>
  <c r="G280" i="6"/>
  <c r="F280" i="6"/>
  <c r="D280" i="6"/>
  <c r="I280" i="6"/>
  <c r="B280" i="6"/>
  <c r="Z279" i="6"/>
  <c r="Y279" i="6"/>
  <c r="X279" i="6"/>
  <c r="J278" i="6"/>
  <c r="Z278" i="6"/>
  <c r="Y278" i="6"/>
  <c r="X278" i="6"/>
  <c r="F278" i="6"/>
  <c r="D278" i="6"/>
  <c r="C278" i="6"/>
  <c r="B278" i="6"/>
  <c r="G277" i="6"/>
  <c r="E277" i="6"/>
  <c r="J276" i="6"/>
  <c r="F276" i="6"/>
  <c r="E276" i="6"/>
  <c r="J275" i="6"/>
  <c r="E275" i="6"/>
  <c r="J274" i="6"/>
  <c r="G274" i="6"/>
  <c r="F274" i="6"/>
  <c r="J273" i="6"/>
  <c r="G273" i="6"/>
  <c r="F273" i="6"/>
  <c r="J272" i="6"/>
  <c r="G272" i="6"/>
  <c r="F272" i="6"/>
  <c r="J271" i="6"/>
  <c r="G271" i="6"/>
  <c r="F271" i="6"/>
  <c r="F270" i="6"/>
  <c r="D270" i="6"/>
  <c r="I270" i="6"/>
  <c r="C270" i="6"/>
  <c r="B270" i="6"/>
  <c r="Z269" i="6"/>
  <c r="Y269" i="6"/>
  <c r="X269" i="6"/>
  <c r="J268" i="6"/>
  <c r="G268" i="6"/>
  <c r="F268" i="6"/>
  <c r="E268" i="6"/>
  <c r="D268" i="6"/>
  <c r="I268" i="6"/>
  <c r="B268" i="6"/>
  <c r="Z267" i="6"/>
  <c r="Y267" i="6"/>
  <c r="X267" i="6"/>
  <c r="G266" i="6"/>
  <c r="E266" i="6"/>
  <c r="J265" i="6"/>
  <c r="F265" i="6"/>
  <c r="E265" i="6"/>
  <c r="J264" i="6"/>
  <c r="E264" i="6"/>
  <c r="J263" i="6"/>
  <c r="G263" i="6"/>
  <c r="F263" i="6"/>
  <c r="F262" i="6"/>
  <c r="E262" i="6"/>
  <c r="D262" i="6"/>
  <c r="I262" i="6"/>
  <c r="C262" i="6"/>
  <c r="B262" i="6"/>
  <c r="Z261" i="6"/>
  <c r="Y261" i="6"/>
  <c r="X261" i="6"/>
  <c r="J260" i="6"/>
  <c r="G260" i="6"/>
  <c r="F260" i="6"/>
  <c r="E260" i="6"/>
  <c r="D260" i="6"/>
  <c r="I260" i="6"/>
  <c r="B260" i="6"/>
  <c r="Z259" i="6"/>
  <c r="Y259" i="6"/>
  <c r="X259" i="6"/>
  <c r="G258" i="6"/>
  <c r="E258" i="6"/>
  <c r="J257" i="6"/>
  <c r="F257" i="6"/>
  <c r="E257" i="6"/>
  <c r="J256" i="6"/>
  <c r="E256" i="6"/>
  <c r="J255" i="6"/>
  <c r="G255" i="6"/>
  <c r="F255" i="6"/>
  <c r="F254" i="6"/>
  <c r="E254" i="6"/>
  <c r="D254" i="6"/>
  <c r="I254" i="6"/>
  <c r="C254" i="6"/>
  <c r="B254" i="6"/>
  <c r="Z253" i="6"/>
  <c r="Y253" i="6"/>
  <c r="X253" i="6"/>
  <c r="J252" i="6"/>
  <c r="G252" i="6"/>
  <c r="F252" i="6"/>
  <c r="E252" i="6"/>
  <c r="D252" i="6"/>
  <c r="I252" i="6"/>
  <c r="B252" i="6"/>
  <c r="Z251" i="6"/>
  <c r="Y251" i="6"/>
  <c r="X251" i="6"/>
  <c r="J250" i="6"/>
  <c r="G250" i="6"/>
  <c r="F250" i="6"/>
  <c r="E250" i="6"/>
  <c r="D250" i="6"/>
  <c r="I250" i="6"/>
  <c r="B250" i="6"/>
  <c r="Z249" i="6"/>
  <c r="Y249" i="6"/>
  <c r="X249" i="6"/>
  <c r="J248" i="6"/>
  <c r="G248" i="6"/>
  <c r="F248" i="6"/>
  <c r="E248" i="6"/>
  <c r="D248" i="6"/>
  <c r="I248" i="6"/>
  <c r="B248" i="6"/>
  <c r="Z247" i="6"/>
  <c r="Y247" i="6"/>
  <c r="X247" i="6"/>
  <c r="G246" i="6"/>
  <c r="E246" i="6"/>
  <c r="J245" i="6"/>
  <c r="F245" i="6"/>
  <c r="E245" i="6"/>
  <c r="J244" i="6"/>
  <c r="E244" i="6"/>
  <c r="J243" i="6"/>
  <c r="G243" i="6"/>
  <c r="F243" i="6"/>
  <c r="J242" i="6"/>
  <c r="G242" i="6"/>
  <c r="F242" i="6"/>
  <c r="F241" i="6"/>
  <c r="E241" i="6"/>
  <c r="D241" i="6"/>
  <c r="I241" i="6"/>
  <c r="C241" i="6"/>
  <c r="B241" i="6"/>
  <c r="Z240" i="6"/>
  <c r="Y240" i="6"/>
  <c r="X240" i="6"/>
  <c r="J239" i="6"/>
  <c r="G239" i="6"/>
  <c r="F239" i="6"/>
  <c r="E239" i="6"/>
  <c r="D239" i="6"/>
  <c r="I239" i="6"/>
  <c r="B239" i="6"/>
  <c r="Z238" i="6"/>
  <c r="Y238" i="6"/>
  <c r="X238" i="6"/>
  <c r="J237" i="6"/>
  <c r="G237" i="6"/>
  <c r="F237" i="6"/>
  <c r="E237" i="6"/>
  <c r="D237" i="6"/>
  <c r="I237" i="6"/>
  <c r="B237" i="6"/>
  <c r="Z236" i="6"/>
  <c r="Y236" i="6"/>
  <c r="X236" i="6"/>
  <c r="J235" i="6"/>
  <c r="G235" i="6"/>
  <c r="F235" i="6"/>
  <c r="E235" i="6"/>
  <c r="D235" i="6"/>
  <c r="I235" i="6"/>
  <c r="B235" i="6"/>
  <c r="Z234" i="6"/>
  <c r="Y234" i="6"/>
  <c r="X234" i="6"/>
  <c r="J233" i="6"/>
  <c r="Z233" i="6"/>
  <c r="Y233" i="6"/>
  <c r="X233" i="6"/>
  <c r="F233" i="6"/>
  <c r="D233" i="6"/>
  <c r="C233" i="6"/>
  <c r="B233" i="6"/>
  <c r="G232" i="6"/>
  <c r="E232" i="6"/>
  <c r="J231" i="6"/>
  <c r="F231" i="6"/>
  <c r="E231" i="6"/>
  <c r="J230" i="6"/>
  <c r="E230" i="6"/>
  <c r="J229" i="6"/>
  <c r="G229" i="6"/>
  <c r="F229" i="6"/>
  <c r="J228" i="6"/>
  <c r="G228" i="6"/>
  <c r="F228" i="6"/>
  <c r="J227" i="6"/>
  <c r="G227" i="6"/>
  <c r="F227" i="6"/>
  <c r="J226" i="6"/>
  <c r="G226" i="6"/>
  <c r="F226" i="6"/>
  <c r="F224" i="6"/>
  <c r="D224" i="6"/>
  <c r="I224" i="6"/>
  <c r="C224" i="6"/>
  <c r="B224" i="6"/>
  <c r="Z223" i="6"/>
  <c r="Y223" i="6"/>
  <c r="X223" i="6"/>
  <c r="J222" i="6"/>
  <c r="G222" i="6"/>
  <c r="F222" i="6"/>
  <c r="D222" i="6"/>
  <c r="I222" i="6"/>
  <c r="B222" i="6"/>
  <c r="Z221" i="6"/>
  <c r="Y221" i="6"/>
  <c r="X221" i="6"/>
  <c r="J220" i="6"/>
  <c r="G220" i="6"/>
  <c r="F220" i="6"/>
  <c r="E220" i="6"/>
  <c r="D220" i="6"/>
  <c r="I220" i="6"/>
  <c r="B220" i="6"/>
  <c r="Z219" i="6"/>
  <c r="Y219" i="6"/>
  <c r="X219" i="6"/>
  <c r="J218" i="6"/>
  <c r="G218" i="6"/>
  <c r="F218" i="6"/>
  <c r="E218" i="6"/>
  <c r="D218" i="6"/>
  <c r="I218" i="6"/>
  <c r="B218" i="6"/>
  <c r="Z217" i="6"/>
  <c r="Y217" i="6"/>
  <c r="X217" i="6"/>
  <c r="G216" i="6"/>
  <c r="E216" i="6"/>
  <c r="J215" i="6"/>
  <c r="F215" i="6"/>
  <c r="E215" i="6"/>
  <c r="J214" i="6"/>
  <c r="E214" i="6"/>
  <c r="J213" i="6"/>
  <c r="G213" i="6"/>
  <c r="F213" i="6"/>
  <c r="J212" i="6"/>
  <c r="G212" i="6"/>
  <c r="F212" i="6"/>
  <c r="J211" i="6"/>
  <c r="G211" i="6"/>
  <c r="F211" i="6"/>
  <c r="F210" i="6"/>
  <c r="D210" i="6"/>
  <c r="I210" i="6"/>
  <c r="C210" i="6"/>
  <c r="B210" i="6"/>
  <c r="Z209" i="6"/>
  <c r="Y209" i="6"/>
  <c r="X209" i="6"/>
  <c r="J207" i="6"/>
  <c r="G207" i="6"/>
  <c r="F207" i="6"/>
  <c r="D207" i="6"/>
  <c r="I207" i="6"/>
  <c r="B207" i="6"/>
  <c r="J206" i="6"/>
  <c r="P206" i="6" s="1"/>
  <c r="G206" i="6"/>
  <c r="O206" i="6" s="1"/>
  <c r="Z206" i="6"/>
  <c r="Y206" i="6"/>
  <c r="X206" i="6"/>
  <c r="W206" i="6"/>
  <c r="F204" i="6"/>
  <c r="D204" i="6"/>
  <c r="I204" i="6"/>
  <c r="C204" i="6"/>
  <c r="B204" i="6"/>
  <c r="Z203" i="6"/>
  <c r="Y203" i="6"/>
  <c r="X203" i="6"/>
  <c r="G202" i="6"/>
  <c r="E202" i="6"/>
  <c r="J201" i="6"/>
  <c r="F201" i="6"/>
  <c r="E201" i="6"/>
  <c r="J200" i="6"/>
  <c r="E200" i="6"/>
  <c r="J199" i="6"/>
  <c r="G199" i="6"/>
  <c r="F199" i="6"/>
  <c r="J198" i="6"/>
  <c r="G198" i="6"/>
  <c r="F198" i="6"/>
  <c r="J197" i="6"/>
  <c r="G197" i="6"/>
  <c r="F197" i="6"/>
  <c r="J196" i="6"/>
  <c r="G196" i="6"/>
  <c r="F196" i="6"/>
  <c r="F194" i="6"/>
  <c r="D194" i="6"/>
  <c r="I194" i="6"/>
  <c r="C194" i="6"/>
  <c r="B194" i="6"/>
  <c r="Z193" i="6"/>
  <c r="Y193" i="6"/>
  <c r="X193" i="6"/>
  <c r="G192" i="6"/>
  <c r="E192" i="6"/>
  <c r="J191" i="6"/>
  <c r="E191" i="6"/>
  <c r="J190" i="6"/>
  <c r="E190" i="6"/>
  <c r="J189" i="6"/>
  <c r="G189" i="6"/>
  <c r="F189" i="6"/>
  <c r="J188" i="6"/>
  <c r="G188" i="6"/>
  <c r="F188" i="6"/>
  <c r="F186" i="6"/>
  <c r="D186" i="6"/>
  <c r="I186" i="6"/>
  <c r="C186" i="6"/>
  <c r="B186" i="6"/>
  <c r="Z185" i="6"/>
  <c r="Y185" i="6"/>
  <c r="X185" i="6"/>
  <c r="J184" i="6"/>
  <c r="G184" i="6"/>
  <c r="F184" i="6"/>
  <c r="E184" i="6"/>
  <c r="D184" i="6"/>
  <c r="I184" i="6"/>
  <c r="B184" i="6"/>
  <c r="A183" i="6"/>
  <c r="Z177" i="6"/>
  <c r="Y177" i="6"/>
  <c r="X177" i="6"/>
  <c r="J175" i="6"/>
  <c r="G175" i="6"/>
  <c r="F175" i="6"/>
  <c r="D175" i="6"/>
  <c r="I175" i="6"/>
  <c r="C175" i="6"/>
  <c r="B175" i="6"/>
  <c r="Z174" i="6"/>
  <c r="Y174" i="6"/>
  <c r="X174" i="6"/>
  <c r="J173" i="6"/>
  <c r="G173" i="6"/>
  <c r="F173" i="6"/>
  <c r="D173" i="6"/>
  <c r="I173" i="6"/>
  <c r="C173" i="6"/>
  <c r="B173" i="6"/>
  <c r="Z172" i="6"/>
  <c r="Y172" i="6"/>
  <c r="X172" i="6"/>
  <c r="J171" i="6"/>
  <c r="G171" i="6"/>
  <c r="F171" i="6"/>
  <c r="D171" i="6"/>
  <c r="I171" i="6"/>
  <c r="C171" i="6"/>
  <c r="B171" i="6"/>
  <c r="Z170" i="6"/>
  <c r="Y170" i="6"/>
  <c r="X170" i="6"/>
  <c r="J168" i="6"/>
  <c r="G168" i="6"/>
  <c r="F168" i="6"/>
  <c r="D168" i="6"/>
  <c r="I168" i="6"/>
  <c r="B168" i="6"/>
  <c r="Z167" i="6"/>
  <c r="Y167" i="6"/>
  <c r="X167" i="6"/>
  <c r="J166" i="6"/>
  <c r="G166" i="6"/>
  <c r="F166" i="6"/>
  <c r="D166" i="6"/>
  <c r="I166" i="6"/>
  <c r="B166" i="6"/>
  <c r="Z165" i="6"/>
  <c r="Y165" i="6"/>
  <c r="X165" i="6"/>
  <c r="G164" i="6"/>
  <c r="E164" i="6"/>
  <c r="J163" i="6"/>
  <c r="E163" i="6"/>
  <c r="J162" i="6"/>
  <c r="E162" i="6"/>
  <c r="J161" i="6"/>
  <c r="G161" i="6"/>
  <c r="F161" i="6"/>
  <c r="J160" i="6"/>
  <c r="G160" i="6"/>
  <c r="F160" i="6"/>
  <c r="J159" i="6"/>
  <c r="G159" i="6"/>
  <c r="F159" i="6"/>
  <c r="J158" i="6"/>
  <c r="G158" i="6"/>
  <c r="F158" i="6"/>
  <c r="F157" i="6"/>
  <c r="D157" i="6"/>
  <c r="I157" i="6"/>
  <c r="C157" i="6"/>
  <c r="B157" i="6"/>
  <c r="Z156" i="6"/>
  <c r="Y156" i="6"/>
  <c r="X156" i="6"/>
  <c r="J155" i="6"/>
  <c r="G155" i="6"/>
  <c r="F155" i="6"/>
  <c r="D155" i="6"/>
  <c r="I155" i="6"/>
  <c r="B155" i="6"/>
  <c r="Z154" i="6"/>
  <c r="Y154" i="6"/>
  <c r="X154" i="6"/>
  <c r="J153" i="6"/>
  <c r="Z153" i="6"/>
  <c r="Y153" i="6"/>
  <c r="X153" i="6"/>
  <c r="F153" i="6"/>
  <c r="D153" i="6"/>
  <c r="C153" i="6"/>
  <c r="B153" i="6"/>
  <c r="G152" i="6"/>
  <c r="E152" i="6"/>
  <c r="J151" i="6"/>
  <c r="F151" i="6"/>
  <c r="E151" i="6"/>
  <c r="J150" i="6"/>
  <c r="E150" i="6"/>
  <c r="J149" i="6"/>
  <c r="G149" i="6"/>
  <c r="F149" i="6"/>
  <c r="J148" i="6"/>
  <c r="G148" i="6"/>
  <c r="F148" i="6"/>
  <c r="J147" i="6"/>
  <c r="G147" i="6"/>
  <c r="F147" i="6"/>
  <c r="J146" i="6"/>
  <c r="G146" i="6"/>
  <c r="F146" i="6"/>
  <c r="F144" i="6"/>
  <c r="D144" i="6"/>
  <c r="I144" i="6"/>
  <c r="C144" i="6"/>
  <c r="B144" i="6"/>
  <c r="Z143" i="6"/>
  <c r="Y143" i="6"/>
  <c r="X143" i="6"/>
  <c r="J142" i="6"/>
  <c r="G142" i="6"/>
  <c r="F142" i="6"/>
  <c r="E142" i="6"/>
  <c r="D142" i="6"/>
  <c r="I142" i="6"/>
  <c r="B142" i="6"/>
  <c r="Z141" i="6"/>
  <c r="Y141" i="6"/>
  <c r="X141" i="6"/>
  <c r="G140" i="6"/>
  <c r="E140" i="6"/>
  <c r="J139" i="6"/>
  <c r="E139" i="6"/>
  <c r="J138" i="6"/>
  <c r="E138" i="6"/>
  <c r="J137" i="6"/>
  <c r="G137" i="6"/>
  <c r="F137" i="6"/>
  <c r="J136" i="6"/>
  <c r="G136" i="6"/>
  <c r="F136" i="6"/>
  <c r="J135" i="6"/>
  <c r="G135" i="6"/>
  <c r="F135" i="6"/>
  <c r="J134" i="6"/>
  <c r="G134" i="6"/>
  <c r="F134" i="6"/>
  <c r="F132" i="6"/>
  <c r="D132" i="6"/>
  <c r="I132" i="6"/>
  <c r="C132" i="6"/>
  <c r="B132" i="6"/>
  <c r="Z131" i="6"/>
  <c r="Y131" i="6"/>
  <c r="X131" i="6"/>
  <c r="J129" i="6"/>
  <c r="G129" i="6"/>
  <c r="F129" i="6"/>
  <c r="D129" i="6"/>
  <c r="I129" i="6"/>
  <c r="B129" i="6"/>
  <c r="Z128" i="6"/>
  <c r="Y128" i="6"/>
  <c r="X128" i="6"/>
  <c r="J127" i="6"/>
  <c r="G127" i="6"/>
  <c r="F127" i="6"/>
  <c r="D127" i="6"/>
  <c r="I127" i="6"/>
  <c r="B127" i="6"/>
  <c r="Z126" i="6"/>
  <c r="Y126" i="6"/>
  <c r="X126" i="6"/>
  <c r="J125" i="6"/>
  <c r="Z125" i="6"/>
  <c r="Y125" i="6"/>
  <c r="X125" i="6"/>
  <c r="F125" i="6"/>
  <c r="D125" i="6"/>
  <c r="C125" i="6"/>
  <c r="B125" i="6"/>
  <c r="G124" i="6"/>
  <c r="E124" i="6"/>
  <c r="J123" i="6"/>
  <c r="F123" i="6"/>
  <c r="E123" i="6"/>
  <c r="J122" i="6"/>
  <c r="E122" i="6"/>
  <c r="J121" i="6"/>
  <c r="G121" i="6"/>
  <c r="F121" i="6"/>
  <c r="J120" i="6"/>
  <c r="G120" i="6"/>
  <c r="F120" i="6"/>
  <c r="J119" i="6"/>
  <c r="G119" i="6"/>
  <c r="F119" i="6"/>
  <c r="J118" i="6"/>
  <c r="G118" i="6"/>
  <c r="F118" i="6"/>
  <c r="F117" i="6"/>
  <c r="D117" i="6"/>
  <c r="I117" i="6"/>
  <c r="C117" i="6"/>
  <c r="B117" i="6"/>
  <c r="Z116" i="6"/>
  <c r="Y116" i="6"/>
  <c r="X116" i="6"/>
  <c r="J115" i="6"/>
  <c r="G115" i="6"/>
  <c r="F115" i="6"/>
  <c r="E115" i="6"/>
  <c r="D115" i="6"/>
  <c r="I115" i="6"/>
  <c r="B115" i="6"/>
  <c r="Z114" i="6"/>
  <c r="Y114" i="6"/>
  <c r="X114" i="6"/>
  <c r="G113" i="6"/>
  <c r="E113" i="6"/>
  <c r="J112" i="6"/>
  <c r="F112" i="6"/>
  <c r="E112" i="6"/>
  <c r="J111" i="6"/>
  <c r="E111" i="6"/>
  <c r="J110" i="6"/>
  <c r="G110" i="6"/>
  <c r="F110" i="6"/>
  <c r="F109" i="6"/>
  <c r="E109" i="6"/>
  <c r="D109" i="6"/>
  <c r="I109" i="6"/>
  <c r="C109" i="6"/>
  <c r="B109" i="6"/>
  <c r="Z108" i="6"/>
  <c r="Y108" i="6"/>
  <c r="X108" i="6"/>
  <c r="J107" i="6"/>
  <c r="G107" i="6"/>
  <c r="F107" i="6"/>
  <c r="E107" i="6"/>
  <c r="D107" i="6"/>
  <c r="I107" i="6"/>
  <c r="B107" i="6"/>
  <c r="Z106" i="6"/>
  <c r="Y106" i="6"/>
  <c r="X106" i="6"/>
  <c r="G105" i="6"/>
  <c r="E105" i="6"/>
  <c r="J104" i="6"/>
  <c r="F104" i="6"/>
  <c r="E104" i="6"/>
  <c r="J103" i="6"/>
  <c r="E103" i="6"/>
  <c r="J102" i="6"/>
  <c r="G102" i="6"/>
  <c r="F102" i="6"/>
  <c r="F101" i="6"/>
  <c r="E101" i="6"/>
  <c r="D101" i="6"/>
  <c r="I101" i="6"/>
  <c r="C101" i="6"/>
  <c r="B101" i="6"/>
  <c r="Z100" i="6"/>
  <c r="Y100" i="6"/>
  <c r="X100" i="6"/>
  <c r="J99" i="6"/>
  <c r="G99" i="6"/>
  <c r="F99" i="6"/>
  <c r="E99" i="6"/>
  <c r="D99" i="6"/>
  <c r="I99" i="6"/>
  <c r="B99" i="6"/>
  <c r="Z98" i="6"/>
  <c r="Y98" i="6"/>
  <c r="X98" i="6"/>
  <c r="J97" i="6"/>
  <c r="G97" i="6"/>
  <c r="F97" i="6"/>
  <c r="E97" i="6"/>
  <c r="D97" i="6"/>
  <c r="I97" i="6"/>
  <c r="B97" i="6"/>
  <c r="Z96" i="6"/>
  <c r="Y96" i="6"/>
  <c r="X96" i="6"/>
  <c r="J95" i="6"/>
  <c r="G95" i="6"/>
  <c r="F95" i="6"/>
  <c r="E95" i="6"/>
  <c r="D95" i="6"/>
  <c r="I95" i="6"/>
  <c r="B95" i="6"/>
  <c r="Z94" i="6"/>
  <c r="Y94" i="6"/>
  <c r="X94" i="6"/>
  <c r="G93" i="6"/>
  <c r="E93" i="6"/>
  <c r="J92" i="6"/>
  <c r="F92" i="6"/>
  <c r="E92" i="6"/>
  <c r="J91" i="6"/>
  <c r="E91" i="6"/>
  <c r="J90" i="6"/>
  <c r="G90" i="6"/>
  <c r="F90" i="6"/>
  <c r="J89" i="6"/>
  <c r="G89" i="6"/>
  <c r="F89" i="6"/>
  <c r="F88" i="6"/>
  <c r="E88" i="6"/>
  <c r="D88" i="6"/>
  <c r="I88" i="6"/>
  <c r="C88" i="6"/>
  <c r="B88" i="6"/>
  <c r="Z87" i="6"/>
  <c r="Y87" i="6"/>
  <c r="X87" i="6"/>
  <c r="J86" i="6"/>
  <c r="G86" i="6"/>
  <c r="F86" i="6"/>
  <c r="E86" i="6"/>
  <c r="D86" i="6"/>
  <c r="I86" i="6"/>
  <c r="B86" i="6"/>
  <c r="Z85" i="6"/>
  <c r="Y85" i="6"/>
  <c r="X85" i="6"/>
  <c r="J84" i="6"/>
  <c r="G84" i="6"/>
  <c r="F84" i="6"/>
  <c r="E84" i="6"/>
  <c r="D84" i="6"/>
  <c r="I84" i="6"/>
  <c r="B84" i="6"/>
  <c r="Z83" i="6"/>
  <c r="Y83" i="6"/>
  <c r="X83" i="6"/>
  <c r="J82" i="6"/>
  <c r="G82" i="6"/>
  <c r="F82" i="6"/>
  <c r="E82" i="6"/>
  <c r="D82" i="6"/>
  <c r="I82" i="6"/>
  <c r="B82" i="6"/>
  <c r="Z81" i="6"/>
  <c r="Y81" i="6"/>
  <c r="X81" i="6"/>
  <c r="J80" i="6"/>
  <c r="Z80" i="6"/>
  <c r="Y80" i="6"/>
  <c r="X80" i="6"/>
  <c r="F80" i="6"/>
  <c r="D80" i="6"/>
  <c r="C80" i="6"/>
  <c r="B80" i="6"/>
  <c r="G79" i="6"/>
  <c r="E79" i="6"/>
  <c r="J78" i="6"/>
  <c r="F78" i="6"/>
  <c r="E78" i="6"/>
  <c r="J77" i="6"/>
  <c r="E77" i="6"/>
  <c r="J76" i="6"/>
  <c r="G76" i="6"/>
  <c r="F76" i="6"/>
  <c r="J75" i="6"/>
  <c r="G75" i="6"/>
  <c r="F75" i="6"/>
  <c r="J74" i="6"/>
  <c r="G74" i="6"/>
  <c r="F74" i="6"/>
  <c r="J73" i="6"/>
  <c r="G73" i="6"/>
  <c r="F73" i="6"/>
  <c r="F71" i="6"/>
  <c r="D71" i="6"/>
  <c r="I71" i="6"/>
  <c r="C71" i="6"/>
  <c r="B71" i="6"/>
  <c r="Z70" i="6"/>
  <c r="Y70" i="6"/>
  <c r="X70" i="6"/>
  <c r="J69" i="6"/>
  <c r="G69" i="6"/>
  <c r="F69" i="6"/>
  <c r="D69" i="6"/>
  <c r="I69" i="6"/>
  <c r="B69" i="6"/>
  <c r="Z68" i="6"/>
  <c r="Y68" i="6"/>
  <c r="X68" i="6"/>
  <c r="J67" i="6"/>
  <c r="G67" i="6"/>
  <c r="F67" i="6"/>
  <c r="E67" i="6"/>
  <c r="D67" i="6"/>
  <c r="I67" i="6"/>
  <c r="B67" i="6"/>
  <c r="Z66" i="6"/>
  <c r="Y66" i="6"/>
  <c r="X66" i="6"/>
  <c r="J65" i="6"/>
  <c r="G65" i="6"/>
  <c r="F65" i="6"/>
  <c r="E65" i="6"/>
  <c r="D65" i="6"/>
  <c r="I65" i="6"/>
  <c r="B65" i="6"/>
  <c r="Z64" i="6"/>
  <c r="Y64" i="6"/>
  <c r="X64" i="6"/>
  <c r="G63" i="6"/>
  <c r="E63" i="6"/>
  <c r="J62" i="6"/>
  <c r="F62" i="6"/>
  <c r="E62" i="6"/>
  <c r="J61" i="6"/>
  <c r="E61" i="6"/>
  <c r="J60" i="6"/>
  <c r="G60" i="6"/>
  <c r="F60" i="6"/>
  <c r="J59" i="6"/>
  <c r="G59" i="6"/>
  <c r="F59" i="6"/>
  <c r="J58" i="6"/>
  <c r="G58" i="6"/>
  <c r="F58" i="6"/>
  <c r="F57" i="6"/>
  <c r="D57" i="6"/>
  <c r="I57" i="6"/>
  <c r="C57" i="6"/>
  <c r="B57" i="6"/>
  <c r="Z56" i="6"/>
  <c r="Y56" i="6"/>
  <c r="X56" i="6"/>
  <c r="J54" i="6"/>
  <c r="G54" i="6"/>
  <c r="F54" i="6"/>
  <c r="D54" i="6"/>
  <c r="I54" i="6"/>
  <c r="B54" i="6"/>
  <c r="J53" i="6"/>
  <c r="P53" i="6" s="1"/>
  <c r="G53" i="6"/>
  <c r="O53" i="6" s="1"/>
  <c r="Z53" i="6"/>
  <c r="Y53" i="6"/>
  <c r="X53" i="6"/>
  <c r="W53" i="6"/>
  <c r="F51" i="6"/>
  <c r="D51" i="6"/>
  <c r="I51" i="6"/>
  <c r="C51" i="6"/>
  <c r="B51" i="6"/>
  <c r="Z50" i="6"/>
  <c r="Y50" i="6"/>
  <c r="X50" i="6"/>
  <c r="G49" i="6"/>
  <c r="E49" i="6"/>
  <c r="J48" i="6"/>
  <c r="F48" i="6"/>
  <c r="E48" i="6"/>
  <c r="J47" i="6"/>
  <c r="E47" i="6"/>
  <c r="J46" i="6"/>
  <c r="G46" i="6"/>
  <c r="F46" i="6"/>
  <c r="J45" i="6"/>
  <c r="G45" i="6"/>
  <c r="F45" i="6"/>
  <c r="J44" i="6"/>
  <c r="G44" i="6"/>
  <c r="F44" i="6"/>
  <c r="J43" i="6"/>
  <c r="G43" i="6"/>
  <c r="F43" i="6"/>
  <c r="F41" i="6"/>
  <c r="D41" i="6"/>
  <c r="I41" i="6"/>
  <c r="C41" i="6"/>
  <c r="B41" i="6"/>
  <c r="Z40" i="6"/>
  <c r="Y40" i="6"/>
  <c r="X40" i="6"/>
  <c r="G39" i="6"/>
  <c r="E39" i="6"/>
  <c r="J38" i="6"/>
  <c r="E38" i="6"/>
  <c r="J37" i="6"/>
  <c r="E37" i="6"/>
  <c r="J36" i="6"/>
  <c r="G36" i="6"/>
  <c r="F36" i="6"/>
  <c r="J35" i="6"/>
  <c r="G35" i="6"/>
  <c r="F35" i="6"/>
  <c r="F33" i="6"/>
  <c r="D33" i="6"/>
  <c r="I33" i="6"/>
  <c r="C33" i="6"/>
  <c r="B33" i="6"/>
  <c r="Z32" i="6"/>
  <c r="Y32" i="6"/>
  <c r="X32" i="6"/>
  <c r="J31" i="6"/>
  <c r="G31" i="6"/>
  <c r="F31" i="6"/>
  <c r="E31" i="6"/>
  <c r="D31" i="6"/>
  <c r="I31" i="6"/>
  <c r="B31" i="6"/>
  <c r="A30" i="6"/>
  <c r="A16" i="6"/>
  <c r="B13" i="6"/>
  <c r="A5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" i="3"/>
  <c r="Y1" i="3"/>
  <c r="CY1" i="3"/>
  <c r="CZ1" i="3"/>
  <c r="DA1" i="3"/>
  <c r="DB1" i="3"/>
  <c r="DC1" i="3"/>
  <c r="A2" i="3"/>
  <c r="Y2" i="3"/>
  <c r="CY2" i="3"/>
  <c r="CZ2" i="3"/>
  <c r="DB2" i="3" s="1"/>
  <c r="DA2" i="3"/>
  <c r="DC2" i="3"/>
  <c r="A3" i="3"/>
  <c r="Y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B8" i="3" s="1"/>
  <c r="DA8" i="3"/>
  <c r="DC8" i="3"/>
  <c r="A9" i="3"/>
  <c r="Y9" i="3"/>
  <c r="CY9" i="3"/>
  <c r="CZ9" i="3"/>
  <c r="DB9" i="3" s="1"/>
  <c r="DA9" i="3"/>
  <c r="DC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B41" i="3" s="1"/>
  <c r="DA41" i="3"/>
  <c r="DC41" i="3"/>
  <c r="A42" i="3"/>
  <c r="Y42" i="3"/>
  <c r="CX42" i="3" s="1"/>
  <c r="CY42" i="3"/>
  <c r="CZ42" i="3"/>
  <c r="DA42" i="3"/>
  <c r="DB42" i="3"/>
  <c r="DC42" i="3"/>
  <c r="DG42" i="3"/>
  <c r="A43" i="3"/>
  <c r="Y43" i="3"/>
  <c r="CX43" i="3" s="1"/>
  <c r="DI43" i="3" s="1"/>
  <c r="CY43" i="3"/>
  <c r="CZ43" i="3"/>
  <c r="DB43" i="3" s="1"/>
  <c r="DA43" i="3"/>
  <c r="DC43" i="3"/>
  <c r="A44" i="3"/>
  <c r="Y44" i="3"/>
  <c r="CX44" i="3" s="1"/>
  <c r="CY44" i="3"/>
  <c r="CZ44" i="3"/>
  <c r="DB44" i="3" s="1"/>
  <c r="DA44" i="3"/>
  <c r="DC44" i="3"/>
  <c r="A45" i="3"/>
  <c r="Y45" i="3"/>
  <c r="CX45" i="3" s="1"/>
  <c r="CY45" i="3"/>
  <c r="CZ45" i="3"/>
  <c r="DB45" i="3" s="1"/>
  <c r="DA45" i="3"/>
  <c r="DC45" i="3"/>
  <c r="A46" i="3"/>
  <c r="Y46" i="3"/>
  <c r="CX46" i="3"/>
  <c r="CY46" i="3"/>
  <c r="CZ46" i="3"/>
  <c r="DB46" i="3" s="1"/>
  <c r="DA46" i="3"/>
  <c r="DC46" i="3"/>
  <c r="A47" i="3"/>
  <c r="Y47" i="3"/>
  <c r="CX47" i="3"/>
  <c r="CY47" i="3"/>
  <c r="CZ47" i="3"/>
  <c r="DB47" i="3" s="1"/>
  <c r="DA47" i="3"/>
  <c r="DC47" i="3"/>
  <c r="A48" i="3"/>
  <c r="Y48" i="3"/>
  <c r="CX48" i="3" s="1"/>
  <c r="CY48" i="3"/>
  <c r="CZ48" i="3"/>
  <c r="DB48" i="3" s="1"/>
  <c r="DA48" i="3"/>
  <c r="DC48" i="3"/>
  <c r="A49" i="3"/>
  <c r="Y49" i="3"/>
  <c r="CX49" i="3" s="1"/>
  <c r="DI49" i="3" s="1"/>
  <c r="CY49" i="3"/>
  <c r="CZ49" i="3"/>
  <c r="DA49" i="3"/>
  <c r="DB49" i="3"/>
  <c r="DC49" i="3"/>
  <c r="DF49" i="3"/>
  <c r="DJ49" i="3" s="1"/>
  <c r="A50" i="3"/>
  <c r="Y50" i="3"/>
  <c r="CY50" i="3"/>
  <c r="CZ50" i="3"/>
  <c r="DA50" i="3"/>
  <c r="DB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B58" i="3" s="1"/>
  <c r="DA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B67" i="3" s="1"/>
  <c r="DA67" i="3"/>
  <c r="DC67" i="3"/>
  <c r="A68" i="3"/>
  <c r="Y68" i="3"/>
  <c r="CY68" i="3"/>
  <c r="CZ68" i="3"/>
  <c r="DB68" i="3" s="1"/>
  <c r="DA68" i="3"/>
  <c r="DC68" i="3"/>
  <c r="A69" i="3"/>
  <c r="Y69" i="3"/>
  <c r="CY69" i="3"/>
  <c r="CZ69" i="3"/>
  <c r="DB69" i="3" s="1"/>
  <c r="DA69" i="3"/>
  <c r="DC69" i="3"/>
  <c r="A70" i="3"/>
  <c r="Y70" i="3"/>
  <c r="CY70" i="3"/>
  <c r="CZ70" i="3"/>
  <c r="DB70" i="3" s="1"/>
  <c r="DA70" i="3"/>
  <c r="DC70" i="3"/>
  <c r="A71" i="3"/>
  <c r="Y71" i="3"/>
  <c r="CY71" i="3"/>
  <c r="CZ71" i="3"/>
  <c r="DB71" i="3" s="1"/>
  <c r="DA71" i="3"/>
  <c r="DC71" i="3"/>
  <c r="A72" i="3"/>
  <c r="Y72" i="3"/>
  <c r="CY72" i="3"/>
  <c r="CZ72" i="3"/>
  <c r="DA72" i="3"/>
  <c r="DB72" i="3"/>
  <c r="DC72" i="3"/>
  <c r="A73" i="3"/>
  <c r="Y73" i="3"/>
  <c r="CY73" i="3"/>
  <c r="CZ73" i="3"/>
  <c r="DB73" i="3" s="1"/>
  <c r="DA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DA77" i="3"/>
  <c r="DC77" i="3"/>
  <c r="A78" i="3"/>
  <c r="Y78" i="3"/>
  <c r="CY78" i="3"/>
  <c r="CZ78" i="3"/>
  <c r="DB78" i="3" s="1"/>
  <c r="DA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A80" i="3"/>
  <c r="DB80" i="3"/>
  <c r="DC80" i="3"/>
  <c r="A81" i="3"/>
  <c r="Y81" i="3"/>
  <c r="CY81" i="3"/>
  <c r="CZ81" i="3"/>
  <c r="DB81" i="3" s="1"/>
  <c r="DA81" i="3"/>
  <c r="DC81" i="3"/>
  <c r="A82" i="3"/>
  <c r="Y82" i="3"/>
  <c r="CY82" i="3"/>
  <c r="CZ82" i="3"/>
  <c r="DB82" i="3" s="1"/>
  <c r="DA82" i="3"/>
  <c r="DC82" i="3"/>
  <c r="A83" i="3"/>
  <c r="Y83" i="3"/>
  <c r="CY83" i="3"/>
  <c r="CZ83" i="3"/>
  <c r="DB83" i="3" s="1"/>
  <c r="DA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B85" i="3" s="1"/>
  <c r="DA85" i="3"/>
  <c r="DC85" i="3"/>
  <c r="A86" i="3"/>
  <c r="Y86" i="3"/>
  <c r="CY86" i="3"/>
  <c r="CZ86" i="3"/>
  <c r="DB86" i="3" s="1"/>
  <c r="DA86" i="3"/>
  <c r="DC86" i="3"/>
  <c r="A87" i="3"/>
  <c r="Y87" i="3"/>
  <c r="CY87" i="3"/>
  <c r="CZ87" i="3"/>
  <c r="DB87" i="3" s="1"/>
  <c r="DA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B94" i="3" s="1"/>
  <c r="DA94" i="3"/>
  <c r="DC94" i="3"/>
  <c r="A95" i="3"/>
  <c r="Y95" i="3"/>
  <c r="CY95" i="3"/>
  <c r="CZ95" i="3"/>
  <c r="DB95" i="3" s="1"/>
  <c r="DA95" i="3"/>
  <c r="DC95" i="3"/>
  <c r="A96" i="3"/>
  <c r="Y96" i="3"/>
  <c r="CY96" i="3"/>
  <c r="CZ96" i="3"/>
  <c r="DB96" i="3" s="1"/>
  <c r="DA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B98" i="3" s="1"/>
  <c r="DA98" i="3"/>
  <c r="DC98" i="3"/>
  <c r="A99" i="3"/>
  <c r="Y99" i="3"/>
  <c r="CY99" i="3"/>
  <c r="CZ99" i="3"/>
  <c r="DB99" i="3" s="1"/>
  <c r="DA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B103" i="3" s="1"/>
  <c r="DA103" i="3"/>
  <c r="DC103" i="3"/>
  <c r="A104" i="3"/>
  <c r="Y104" i="3"/>
  <c r="CY104" i="3"/>
  <c r="CZ104" i="3"/>
  <c r="DB104" i="3" s="1"/>
  <c r="DA104" i="3"/>
  <c r="DC104" i="3"/>
  <c r="A105" i="3"/>
  <c r="Y105" i="3"/>
  <c r="CY105" i="3"/>
  <c r="CZ105" i="3"/>
  <c r="DB105" i="3" s="1"/>
  <c r="DA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B109" i="3" s="1"/>
  <c r="DA109" i="3"/>
  <c r="DC109" i="3"/>
  <c r="A110" i="3"/>
  <c r="Y110" i="3"/>
  <c r="CY110" i="3"/>
  <c r="CZ110" i="3"/>
  <c r="DB110" i="3" s="1"/>
  <c r="DA110" i="3"/>
  <c r="DC110" i="3"/>
  <c r="A111" i="3"/>
  <c r="Y111" i="3"/>
  <c r="CY111" i="3"/>
  <c r="CZ111" i="3"/>
  <c r="DB111" i="3" s="1"/>
  <c r="DA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B113" i="3" s="1"/>
  <c r="DA113" i="3"/>
  <c r="DC113" i="3"/>
  <c r="A114" i="3"/>
  <c r="Y114" i="3"/>
  <c r="CY114" i="3"/>
  <c r="CZ114" i="3"/>
  <c r="DB114" i="3" s="1"/>
  <c r="DA114" i="3"/>
  <c r="DC114" i="3"/>
  <c r="A115" i="3"/>
  <c r="Y115" i="3"/>
  <c r="CY115" i="3"/>
  <c r="CZ115" i="3"/>
  <c r="DB115" i="3" s="1"/>
  <c r="DA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B118" i="3" s="1"/>
  <c r="DA118" i="3"/>
  <c r="DC118" i="3"/>
  <c r="A119" i="3"/>
  <c r="Y119" i="3"/>
  <c r="CY119" i="3"/>
  <c r="CZ119" i="3"/>
  <c r="DB119" i="3" s="1"/>
  <c r="DA119" i="3"/>
  <c r="DC119" i="3"/>
  <c r="A120" i="3"/>
  <c r="Y120" i="3"/>
  <c r="CX120" i="3" s="1"/>
  <c r="DG120" i="3" s="1"/>
  <c r="CY120" i="3"/>
  <c r="CZ120" i="3"/>
  <c r="DB120" i="3" s="1"/>
  <c r="DA120" i="3"/>
  <c r="DC120" i="3"/>
  <c r="A121" i="3"/>
  <c r="Y121" i="3"/>
  <c r="CX121" i="3" s="1"/>
  <c r="CY121" i="3"/>
  <c r="CZ121" i="3"/>
  <c r="DB121" i="3" s="1"/>
  <c r="DA121" i="3"/>
  <c r="DC121" i="3"/>
  <c r="A122" i="3"/>
  <c r="Y122" i="3"/>
  <c r="CX122" i="3" s="1"/>
  <c r="DH122" i="3" s="1"/>
  <c r="CY122" i="3"/>
  <c r="CZ122" i="3"/>
  <c r="DB122" i="3" s="1"/>
  <c r="DA122" i="3"/>
  <c r="DC122" i="3"/>
  <c r="A123" i="3"/>
  <c r="Y123" i="3"/>
  <c r="CX123" i="3" s="1"/>
  <c r="DF123" i="3" s="1"/>
  <c r="DJ123" i="3" s="1"/>
  <c r="CY123" i="3"/>
  <c r="CZ123" i="3"/>
  <c r="DB123" i="3" s="1"/>
  <c r="DA123" i="3"/>
  <c r="DC123" i="3"/>
  <c r="A124" i="3"/>
  <c r="Y124" i="3"/>
  <c r="CX124" i="3" s="1"/>
  <c r="DI124" i="3" s="1"/>
  <c r="DJ124" i="3" s="1"/>
  <c r="CY124" i="3"/>
  <c r="CZ124" i="3"/>
  <c r="DB124" i="3" s="1"/>
  <c r="DA124" i="3"/>
  <c r="DC124" i="3"/>
  <c r="DH124" i="3"/>
  <c r="A125" i="3"/>
  <c r="Y125" i="3"/>
  <c r="CX125" i="3" s="1"/>
  <c r="DF125" i="3" s="1"/>
  <c r="DJ125" i="3" s="1"/>
  <c r="CY125" i="3"/>
  <c r="CZ125" i="3"/>
  <c r="DB125" i="3" s="1"/>
  <c r="DA125" i="3"/>
  <c r="DC125" i="3"/>
  <c r="A126" i="3"/>
  <c r="Y126" i="3"/>
  <c r="CX126" i="3" s="1"/>
  <c r="DF126" i="3" s="1"/>
  <c r="CY126" i="3"/>
  <c r="CZ126" i="3"/>
  <c r="DA126" i="3"/>
  <c r="DB126" i="3"/>
  <c r="DC126" i="3"/>
  <c r="A127" i="3"/>
  <c r="Y127" i="3"/>
  <c r="CX127" i="3" s="1"/>
  <c r="DG127" i="3" s="1"/>
  <c r="CY127" i="3"/>
  <c r="CZ127" i="3"/>
  <c r="DB127" i="3" s="1"/>
  <c r="DA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B131" i="3" s="1"/>
  <c r="DA131" i="3"/>
  <c r="DC131" i="3"/>
  <c r="A132" i="3"/>
  <c r="Y132" i="3"/>
  <c r="CY132" i="3"/>
  <c r="CZ132" i="3"/>
  <c r="DB132" i="3" s="1"/>
  <c r="DA132" i="3"/>
  <c r="DC132" i="3"/>
  <c r="A133" i="3"/>
  <c r="Y133" i="3"/>
  <c r="CY133" i="3"/>
  <c r="CZ133" i="3"/>
  <c r="DB133" i="3" s="1"/>
  <c r="DA133" i="3"/>
  <c r="DC133" i="3"/>
  <c r="A134" i="3"/>
  <c r="Y134" i="3"/>
  <c r="CY134" i="3"/>
  <c r="CZ134" i="3"/>
  <c r="DB134" i="3" s="1"/>
  <c r="DA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B136" i="3" s="1"/>
  <c r="DA136" i="3"/>
  <c r="DC136" i="3"/>
  <c r="A137" i="3"/>
  <c r="Y137" i="3"/>
  <c r="CY137" i="3"/>
  <c r="CZ137" i="3"/>
  <c r="DB137" i="3" s="1"/>
  <c r="DA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B139" i="3" s="1"/>
  <c r="DA139" i="3"/>
  <c r="DC139" i="3"/>
  <c r="A140" i="3"/>
  <c r="Y140" i="3"/>
  <c r="CY140" i="3"/>
  <c r="CZ140" i="3"/>
  <c r="DB140" i="3" s="1"/>
  <c r="DA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B142" i="3" s="1"/>
  <c r="DA142" i="3"/>
  <c r="DC142" i="3"/>
  <c r="A143" i="3"/>
  <c r="Y143" i="3"/>
  <c r="CY143" i="3"/>
  <c r="CZ143" i="3"/>
  <c r="DB143" i="3" s="1"/>
  <c r="DA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B145" i="3" s="1"/>
  <c r="DA145" i="3"/>
  <c r="DC145" i="3"/>
  <c r="A146" i="3"/>
  <c r="Y146" i="3"/>
  <c r="CX146" i="3" s="1"/>
  <c r="DH146" i="3" s="1"/>
  <c r="CY146" i="3"/>
  <c r="CZ146" i="3"/>
  <c r="DB146" i="3" s="1"/>
  <c r="DA146" i="3"/>
  <c r="DC146" i="3"/>
  <c r="A147" i="3"/>
  <c r="Y147" i="3"/>
  <c r="CX147" i="3" s="1"/>
  <c r="CY147" i="3"/>
  <c r="CZ147" i="3"/>
  <c r="DB147" i="3" s="1"/>
  <c r="DA147" i="3"/>
  <c r="DC147" i="3"/>
  <c r="A148" i="3"/>
  <c r="Y148" i="3"/>
  <c r="CX148" i="3" s="1"/>
  <c r="CY148" i="3"/>
  <c r="CZ148" i="3"/>
  <c r="DB148" i="3" s="1"/>
  <c r="DA148" i="3"/>
  <c r="DC148" i="3"/>
  <c r="DF148" i="3"/>
  <c r="A149" i="3"/>
  <c r="Y149" i="3"/>
  <c r="CX149" i="3" s="1"/>
  <c r="CY149" i="3"/>
  <c r="CZ149" i="3"/>
  <c r="DB149" i="3" s="1"/>
  <c r="DA149" i="3"/>
  <c r="DC149" i="3"/>
  <c r="A150" i="3"/>
  <c r="Y150" i="3"/>
  <c r="CX150" i="3"/>
  <c r="CY150" i="3"/>
  <c r="CZ150" i="3"/>
  <c r="DB150" i="3" s="1"/>
  <c r="DA150" i="3"/>
  <c r="DC150" i="3"/>
  <c r="A151" i="3"/>
  <c r="Y151" i="3"/>
  <c r="CX151" i="3" s="1"/>
  <c r="CY151" i="3"/>
  <c r="CZ151" i="3"/>
  <c r="DB151" i="3" s="1"/>
  <c r="DA151" i="3"/>
  <c r="DC151" i="3"/>
  <c r="DG151" i="3"/>
  <c r="DI151" i="3"/>
  <c r="A152" i="3"/>
  <c r="Y152" i="3"/>
  <c r="CX152" i="3" s="1"/>
  <c r="DI152" i="3" s="1"/>
  <c r="CY152" i="3"/>
  <c r="CZ152" i="3"/>
  <c r="DA152" i="3"/>
  <c r="DB152" i="3"/>
  <c r="DC152" i="3"/>
  <c r="A153" i="3"/>
  <c r="Y153" i="3"/>
  <c r="CX153" i="3" s="1"/>
  <c r="DG153" i="3" s="1"/>
  <c r="CY153" i="3"/>
  <c r="CZ153" i="3"/>
  <c r="DB153" i="3" s="1"/>
  <c r="DA153" i="3"/>
  <c r="DC153" i="3"/>
  <c r="A154" i="3"/>
  <c r="Y154" i="3"/>
  <c r="CX154" i="3" s="1"/>
  <c r="CY154" i="3"/>
  <c r="CZ154" i="3"/>
  <c r="DB154" i="3" s="1"/>
  <c r="DA154" i="3"/>
  <c r="DC154" i="3"/>
  <c r="A155" i="3"/>
  <c r="Y155" i="3"/>
  <c r="CX155" i="3" s="1"/>
  <c r="DH155" i="3" s="1"/>
  <c r="CY155" i="3"/>
  <c r="CZ155" i="3"/>
  <c r="DB155" i="3" s="1"/>
  <c r="DA155" i="3"/>
  <c r="DC155" i="3"/>
  <c r="DG155" i="3"/>
  <c r="A156" i="3"/>
  <c r="Y156" i="3"/>
  <c r="CX156" i="3"/>
  <c r="CY156" i="3"/>
  <c r="CZ156" i="3"/>
  <c r="DB156" i="3" s="1"/>
  <c r="DA156" i="3"/>
  <c r="DC156" i="3"/>
  <c r="A157" i="3"/>
  <c r="Y157" i="3"/>
  <c r="CX157" i="3" s="1"/>
  <c r="DG157" i="3" s="1"/>
  <c r="CY157" i="3"/>
  <c r="CZ157" i="3"/>
  <c r="DA157" i="3"/>
  <c r="DB157" i="3"/>
  <c r="DC157" i="3"/>
  <c r="A158" i="3"/>
  <c r="Y158" i="3"/>
  <c r="CY158" i="3"/>
  <c r="CZ158" i="3"/>
  <c r="DB158" i="3" s="1"/>
  <c r="DA158" i="3"/>
  <c r="DC158" i="3"/>
  <c r="A159" i="3"/>
  <c r="Y159" i="3"/>
  <c r="CY159" i="3"/>
  <c r="CZ159" i="3"/>
  <c r="DB159" i="3" s="1"/>
  <c r="DA159" i="3"/>
  <c r="DC159" i="3"/>
  <c r="A160" i="3"/>
  <c r="Y160" i="3"/>
  <c r="CY160" i="3"/>
  <c r="CZ160" i="3"/>
  <c r="DB160" i="3" s="1"/>
  <c r="DA160" i="3"/>
  <c r="DC160" i="3"/>
  <c r="A161" i="3"/>
  <c r="Y161" i="3"/>
  <c r="CY161" i="3"/>
  <c r="CZ161" i="3"/>
  <c r="DB161" i="3" s="1"/>
  <c r="DA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B163" i="3" s="1"/>
  <c r="DA163" i="3"/>
  <c r="DC163" i="3"/>
  <c r="A164" i="3"/>
  <c r="Y164" i="3"/>
  <c r="CY164" i="3"/>
  <c r="CZ164" i="3"/>
  <c r="DB164" i="3" s="1"/>
  <c r="DA164" i="3"/>
  <c r="DC164" i="3"/>
  <c r="A165" i="3"/>
  <c r="Y165" i="3"/>
  <c r="CX165" i="3"/>
  <c r="CY165" i="3"/>
  <c r="CZ165" i="3"/>
  <c r="DB165" i="3" s="1"/>
  <c r="DA165" i="3"/>
  <c r="DC165" i="3"/>
  <c r="A166" i="3"/>
  <c r="Y166" i="3"/>
  <c r="CX166" i="3"/>
  <c r="DG166" i="3" s="1"/>
  <c r="CY166" i="3"/>
  <c r="CZ166" i="3"/>
  <c r="DB166" i="3" s="1"/>
  <c r="DA166" i="3"/>
  <c r="DC166" i="3"/>
  <c r="A167" i="3"/>
  <c r="Y167" i="3"/>
  <c r="CX167" i="3" s="1"/>
  <c r="CY167" i="3"/>
  <c r="CZ167" i="3"/>
  <c r="DB167" i="3" s="1"/>
  <c r="DA167" i="3"/>
  <c r="DC167" i="3"/>
  <c r="DF167" i="3"/>
  <c r="DI167" i="3"/>
  <c r="A168" i="3"/>
  <c r="Y168" i="3"/>
  <c r="CX168" i="3" s="1"/>
  <c r="CY168" i="3"/>
  <c r="CZ168" i="3"/>
  <c r="DA168" i="3"/>
  <c r="DB168" i="3"/>
  <c r="DC168" i="3"/>
  <c r="A169" i="3"/>
  <c r="Y169" i="3"/>
  <c r="CX169" i="3" s="1"/>
  <c r="CY169" i="3"/>
  <c r="CZ169" i="3"/>
  <c r="DB169" i="3" s="1"/>
  <c r="DA169" i="3"/>
  <c r="DC169" i="3"/>
  <c r="DG169" i="3"/>
  <c r="DJ169" i="3" s="1"/>
  <c r="DH169" i="3"/>
  <c r="A170" i="3"/>
  <c r="Y170" i="3"/>
  <c r="CX170" i="3"/>
  <c r="DH170" i="3" s="1"/>
  <c r="CY170" i="3"/>
  <c r="CZ170" i="3"/>
  <c r="DB170" i="3" s="1"/>
  <c r="DA170" i="3"/>
  <c r="DC170" i="3"/>
  <c r="DF170" i="3"/>
  <c r="A171" i="3"/>
  <c r="Y171" i="3"/>
  <c r="CX171" i="3" s="1"/>
  <c r="DI171" i="3" s="1"/>
  <c r="CY171" i="3"/>
  <c r="CZ171" i="3"/>
  <c r="DB171" i="3" s="1"/>
  <c r="DA171" i="3"/>
  <c r="DC171" i="3"/>
  <c r="DH171" i="3"/>
  <c r="A172" i="3"/>
  <c r="Y172" i="3"/>
  <c r="CX172" i="3" s="1"/>
  <c r="CY172" i="3"/>
  <c r="CZ172" i="3"/>
  <c r="DB172" i="3" s="1"/>
  <c r="DA172" i="3"/>
  <c r="DC172" i="3"/>
  <c r="A173" i="3"/>
  <c r="Y173" i="3"/>
  <c r="CX173" i="3" s="1"/>
  <c r="CY173" i="3"/>
  <c r="CZ173" i="3"/>
  <c r="DA173" i="3"/>
  <c r="DB173" i="3"/>
  <c r="DC173" i="3"/>
  <c r="A174" i="3"/>
  <c r="Y174" i="3"/>
  <c r="CX174" i="3"/>
  <c r="CY174" i="3"/>
  <c r="CZ174" i="3"/>
  <c r="DB174" i="3" s="1"/>
  <c r="DA174" i="3"/>
  <c r="DC174" i="3"/>
  <c r="A175" i="3"/>
  <c r="Y175" i="3"/>
  <c r="CX175" i="3" s="1"/>
  <c r="CY175" i="3"/>
  <c r="CZ175" i="3"/>
  <c r="DB175" i="3" s="1"/>
  <c r="DA175" i="3"/>
  <c r="DC175" i="3"/>
  <c r="DG175" i="3"/>
  <c r="DI175" i="3"/>
  <c r="A176" i="3"/>
  <c r="Y176" i="3"/>
  <c r="CX176" i="3"/>
  <c r="DG176" i="3" s="1"/>
  <c r="CY176" i="3"/>
  <c r="CZ176" i="3"/>
  <c r="DB176" i="3" s="1"/>
  <c r="DA176" i="3"/>
  <c r="DC176" i="3"/>
  <c r="A177" i="3"/>
  <c r="Y177" i="3"/>
  <c r="CX177" i="3" s="1"/>
  <c r="CY177" i="3"/>
  <c r="CZ177" i="3"/>
  <c r="DB177" i="3" s="1"/>
  <c r="DA177" i="3"/>
  <c r="DC17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R28" i="1"/>
  <c r="AC28" i="1"/>
  <c r="AD28" i="1"/>
  <c r="AE28" i="1"/>
  <c r="CR28" i="1" s="1"/>
  <c r="Q28" i="1" s="1"/>
  <c r="AF28" i="1"/>
  <c r="AG28" i="1"/>
  <c r="AH28" i="1"/>
  <c r="CV28" i="1" s="1"/>
  <c r="U28" i="1" s="1"/>
  <c r="L32" i="6" s="1"/>
  <c r="Q32" i="6" s="1"/>
  <c r="AI28" i="1"/>
  <c r="CW28" i="1" s="1"/>
  <c r="V28" i="1" s="1"/>
  <c r="AJ28" i="1"/>
  <c r="CX28" i="1" s="1"/>
  <c r="W28" i="1" s="1"/>
  <c r="CS28" i="1"/>
  <c r="CU28" i="1"/>
  <c r="T28" i="1" s="1"/>
  <c r="FR28" i="1"/>
  <c r="GL28" i="1"/>
  <c r="GO28" i="1"/>
  <c r="GP28" i="1"/>
  <c r="GV28" i="1"/>
  <c r="HC28" i="1"/>
  <c r="GX28" i="1" s="1"/>
  <c r="C29" i="1"/>
  <c r="D29" i="1"/>
  <c r="I29" i="1"/>
  <c r="K29" i="1"/>
  <c r="U29" i="1"/>
  <c r="AC29" i="1"/>
  <c r="AE29" i="1"/>
  <c r="AF29" i="1"/>
  <c r="AG29" i="1"/>
  <c r="CU29" i="1" s="1"/>
  <c r="T29" i="1" s="1"/>
  <c r="AH29" i="1"/>
  <c r="CV29" i="1" s="1"/>
  <c r="AI29" i="1"/>
  <c r="CW29" i="1" s="1"/>
  <c r="V29" i="1" s="1"/>
  <c r="AJ29" i="1"/>
  <c r="CR29" i="1"/>
  <c r="Q29" i="1" s="1"/>
  <c r="K36" i="6" s="1"/>
  <c r="CS29" i="1"/>
  <c r="R29" i="1" s="1"/>
  <c r="CX29" i="1"/>
  <c r="W29" i="1" s="1"/>
  <c r="FR29" i="1"/>
  <c r="GL29" i="1"/>
  <c r="GO29" i="1"/>
  <c r="GP29" i="1"/>
  <c r="GV29" i="1"/>
  <c r="HC29" i="1" s="1"/>
  <c r="GX29" i="1" s="1"/>
  <c r="C30" i="1"/>
  <c r="D30" i="1"/>
  <c r="I30" i="1"/>
  <c r="K31" i="1" s="1"/>
  <c r="K30" i="1"/>
  <c r="R30" i="1"/>
  <c r="K45" i="6" s="1"/>
  <c r="S30" i="1"/>
  <c r="AC30" i="1"/>
  <c r="AD30" i="1"/>
  <c r="AE30" i="1"/>
  <c r="AF30" i="1"/>
  <c r="AG30" i="1"/>
  <c r="AH30" i="1"/>
  <c r="CV30" i="1" s="1"/>
  <c r="U30" i="1" s="1"/>
  <c r="AI30" i="1"/>
  <c r="AJ30" i="1"/>
  <c r="CQ30" i="1"/>
  <c r="CR30" i="1"/>
  <c r="Q30" i="1" s="1"/>
  <c r="K44" i="6" s="1"/>
  <c r="CS30" i="1"/>
  <c r="CT30" i="1"/>
  <c r="CU30" i="1"/>
  <c r="T30" i="1" s="1"/>
  <c r="CW30" i="1"/>
  <c r="V30" i="1" s="1"/>
  <c r="CX30" i="1"/>
  <c r="W30" i="1" s="1"/>
  <c r="FR30" i="1"/>
  <c r="GL30" i="1"/>
  <c r="GO30" i="1"/>
  <c r="GP30" i="1"/>
  <c r="GV30" i="1"/>
  <c r="HC30" i="1"/>
  <c r="GX30" i="1" s="1"/>
  <c r="I31" i="1"/>
  <c r="AC31" i="1"/>
  <c r="AE31" i="1"/>
  <c r="AF31" i="1"/>
  <c r="AG31" i="1"/>
  <c r="CU31" i="1" s="1"/>
  <c r="AH31" i="1"/>
  <c r="CV31" i="1" s="1"/>
  <c r="AI31" i="1"/>
  <c r="CW31" i="1" s="1"/>
  <c r="AJ31" i="1"/>
  <c r="CX31" i="1" s="1"/>
  <c r="CQ31" i="1"/>
  <c r="CS31" i="1"/>
  <c r="FR31" i="1"/>
  <c r="GL31" i="1"/>
  <c r="GO31" i="1"/>
  <c r="GP31" i="1"/>
  <c r="GV31" i="1"/>
  <c r="HC31" i="1" s="1"/>
  <c r="I32" i="1"/>
  <c r="K32" i="1"/>
  <c r="AC32" i="1"/>
  <c r="AE32" i="1"/>
  <c r="AF32" i="1"/>
  <c r="AG32" i="1"/>
  <c r="CU32" i="1" s="1"/>
  <c r="AH32" i="1"/>
  <c r="CV32" i="1" s="1"/>
  <c r="AI32" i="1"/>
  <c r="CW32" i="1" s="1"/>
  <c r="V32" i="1" s="1"/>
  <c r="AJ32" i="1"/>
  <c r="CX32" i="1" s="1"/>
  <c r="CR32" i="1"/>
  <c r="CT32" i="1"/>
  <c r="FR32" i="1"/>
  <c r="GL32" i="1"/>
  <c r="GO32" i="1"/>
  <c r="GP32" i="1"/>
  <c r="GV32" i="1"/>
  <c r="HC32" i="1"/>
  <c r="C33" i="1"/>
  <c r="D33" i="1"/>
  <c r="I33" i="1"/>
  <c r="E57" i="6" s="1"/>
  <c r="K33" i="1"/>
  <c r="AC33" i="1"/>
  <c r="AE33" i="1"/>
  <c r="AF33" i="1"/>
  <c r="AG33" i="1"/>
  <c r="AH33" i="1"/>
  <c r="AI33" i="1"/>
  <c r="CW33" i="1" s="1"/>
  <c r="V33" i="1" s="1"/>
  <c r="AJ33" i="1"/>
  <c r="CX33" i="1" s="1"/>
  <c r="CQ33" i="1"/>
  <c r="P33" i="1" s="1"/>
  <c r="CS33" i="1"/>
  <c r="CU33" i="1"/>
  <c r="T33" i="1" s="1"/>
  <c r="CV33" i="1"/>
  <c r="U33" i="1" s="1"/>
  <c r="FR33" i="1"/>
  <c r="GL33" i="1"/>
  <c r="GO33" i="1"/>
  <c r="GP33" i="1"/>
  <c r="GV33" i="1"/>
  <c r="GX33" i="1"/>
  <c r="HC33" i="1"/>
  <c r="U34" i="1"/>
  <c r="L66" i="6" s="1"/>
  <c r="Q66" i="6" s="1"/>
  <c r="AC34" i="1"/>
  <c r="H65" i="6" s="1"/>
  <c r="AE34" i="1"/>
  <c r="AD34" i="1" s="1"/>
  <c r="AF34" i="1"/>
  <c r="AG34" i="1"/>
  <c r="CU34" i="1" s="1"/>
  <c r="T34" i="1" s="1"/>
  <c r="AH34" i="1"/>
  <c r="CV34" i="1" s="1"/>
  <c r="AI34" i="1"/>
  <c r="CW34" i="1" s="1"/>
  <c r="V34" i="1" s="1"/>
  <c r="AJ34" i="1"/>
  <c r="CR34" i="1"/>
  <c r="Q34" i="1" s="1"/>
  <c r="CS34" i="1"/>
  <c r="R34" i="1" s="1"/>
  <c r="CX34" i="1"/>
  <c r="W34" i="1" s="1"/>
  <c r="FR34" i="1"/>
  <c r="GL34" i="1"/>
  <c r="GO34" i="1"/>
  <c r="GP34" i="1"/>
  <c r="GV34" i="1"/>
  <c r="HC34" i="1"/>
  <c r="GX34" i="1" s="1"/>
  <c r="V35" i="1"/>
  <c r="AC35" i="1"/>
  <c r="H67" i="6" s="1"/>
  <c r="W68" i="6" s="1"/>
  <c r="AD35" i="1"/>
  <c r="AE35" i="1"/>
  <c r="AF35" i="1"/>
  <c r="AG35" i="1"/>
  <c r="CU35" i="1" s="1"/>
  <c r="T35" i="1" s="1"/>
  <c r="AH35" i="1"/>
  <c r="AI35" i="1"/>
  <c r="CW35" i="1" s="1"/>
  <c r="AJ35" i="1"/>
  <c r="CQ35" i="1"/>
  <c r="P35" i="1" s="1"/>
  <c r="K67" i="6" s="1"/>
  <c r="J68" i="6" s="1"/>
  <c r="P68" i="6" s="1"/>
  <c r="CR35" i="1"/>
  <c r="Q35" i="1" s="1"/>
  <c r="CS35" i="1"/>
  <c r="R35" i="1" s="1"/>
  <c r="CV35" i="1"/>
  <c r="U35" i="1" s="1"/>
  <c r="L68" i="6" s="1"/>
  <c r="Q68" i="6" s="1"/>
  <c r="CX35" i="1"/>
  <c r="W35" i="1" s="1"/>
  <c r="FR35" i="1"/>
  <c r="GL35" i="1"/>
  <c r="GO35" i="1"/>
  <c r="GP35" i="1"/>
  <c r="GV35" i="1"/>
  <c r="HC35" i="1" s="1"/>
  <c r="GX35" i="1" s="1"/>
  <c r="I36" i="1"/>
  <c r="E69" i="6" s="1"/>
  <c r="K36" i="1"/>
  <c r="R36" i="1"/>
  <c r="AC36" i="1"/>
  <c r="H69" i="6" s="1"/>
  <c r="AE36" i="1"/>
  <c r="AD36" i="1" s="1"/>
  <c r="AF36" i="1"/>
  <c r="AG36" i="1"/>
  <c r="CU36" i="1" s="1"/>
  <c r="T36" i="1" s="1"/>
  <c r="AH36" i="1"/>
  <c r="AI36" i="1"/>
  <c r="CW36" i="1" s="1"/>
  <c r="V36" i="1" s="1"/>
  <c r="AJ36" i="1"/>
  <c r="CX36" i="1" s="1"/>
  <c r="W36" i="1" s="1"/>
  <c r="CQ36" i="1"/>
  <c r="P36" i="1" s="1"/>
  <c r="CS36" i="1"/>
  <c r="CV36" i="1"/>
  <c r="U36" i="1" s="1"/>
  <c r="L70" i="6" s="1"/>
  <c r="Q70" i="6" s="1"/>
  <c r="FR36" i="1"/>
  <c r="GL36" i="1"/>
  <c r="GO36" i="1"/>
  <c r="GP36" i="1"/>
  <c r="GV36" i="1"/>
  <c r="HC36" i="1" s="1"/>
  <c r="GX36" i="1" s="1"/>
  <c r="C37" i="1"/>
  <c r="D37" i="1"/>
  <c r="I37" i="1"/>
  <c r="K37" i="1"/>
  <c r="AC37" i="1"/>
  <c r="AE37" i="1"/>
  <c r="AF37" i="1"/>
  <c r="AG37" i="1"/>
  <c r="AH37" i="1"/>
  <c r="CV37" i="1" s="1"/>
  <c r="AI37" i="1"/>
  <c r="CW37" i="1" s="1"/>
  <c r="AJ37" i="1"/>
  <c r="CX37" i="1" s="1"/>
  <c r="CT37" i="1"/>
  <c r="CU37" i="1"/>
  <c r="FR37" i="1"/>
  <c r="BY66" i="1" s="1"/>
  <c r="AP66" i="1" s="1"/>
  <c r="GL37" i="1"/>
  <c r="GO37" i="1"/>
  <c r="GP37" i="1"/>
  <c r="GV37" i="1"/>
  <c r="HC37" i="1" s="1"/>
  <c r="AC38" i="1"/>
  <c r="AE38" i="1"/>
  <c r="AF38" i="1"/>
  <c r="AG38" i="1"/>
  <c r="CU38" i="1" s="1"/>
  <c r="AH38" i="1"/>
  <c r="CV38" i="1" s="1"/>
  <c r="AI38" i="1"/>
  <c r="AJ38" i="1"/>
  <c r="CX38" i="1" s="1"/>
  <c r="CQ38" i="1"/>
  <c r="CW38" i="1"/>
  <c r="FR38" i="1"/>
  <c r="GL38" i="1"/>
  <c r="GO38" i="1"/>
  <c r="GP38" i="1"/>
  <c r="GV38" i="1"/>
  <c r="HC38" i="1" s="1"/>
  <c r="AC39" i="1"/>
  <c r="H82" i="6" s="1"/>
  <c r="AE39" i="1"/>
  <c r="AD39" i="1" s="1"/>
  <c r="AF39" i="1"/>
  <c r="AG39" i="1"/>
  <c r="CU39" i="1" s="1"/>
  <c r="T39" i="1" s="1"/>
  <c r="AH39" i="1"/>
  <c r="AI39" i="1"/>
  <c r="CW39" i="1" s="1"/>
  <c r="V39" i="1" s="1"/>
  <c r="AJ39" i="1"/>
  <c r="CX39" i="1" s="1"/>
  <c r="W39" i="1" s="1"/>
  <c r="CS39" i="1"/>
  <c r="R39" i="1" s="1"/>
  <c r="CT39" i="1"/>
  <c r="S39" i="1" s="1"/>
  <c r="CV39" i="1"/>
  <c r="U39" i="1" s="1"/>
  <c r="L83" i="6" s="1"/>
  <c r="Q83" i="6" s="1"/>
  <c r="FR39" i="1"/>
  <c r="GL39" i="1"/>
  <c r="GO39" i="1"/>
  <c r="GP39" i="1"/>
  <c r="GV39" i="1"/>
  <c r="HC39" i="1"/>
  <c r="GX39" i="1" s="1"/>
  <c r="T40" i="1"/>
  <c r="AC40" i="1"/>
  <c r="AE40" i="1"/>
  <c r="AD40" i="1" s="1"/>
  <c r="AB40" i="1" s="1"/>
  <c r="AF40" i="1"/>
  <c r="AG40" i="1"/>
  <c r="CU40" i="1" s="1"/>
  <c r="AH40" i="1"/>
  <c r="CV40" i="1" s="1"/>
  <c r="U40" i="1" s="1"/>
  <c r="L85" i="6" s="1"/>
  <c r="Q85" i="6" s="1"/>
  <c r="AI40" i="1"/>
  <c r="CW40" i="1" s="1"/>
  <c r="V40" i="1" s="1"/>
  <c r="AJ40" i="1"/>
  <c r="CX40" i="1" s="1"/>
  <c r="W40" i="1" s="1"/>
  <c r="CS40" i="1"/>
  <c r="R40" i="1" s="1"/>
  <c r="CT40" i="1"/>
  <c r="S40" i="1" s="1"/>
  <c r="FR40" i="1"/>
  <c r="GL40" i="1"/>
  <c r="GO40" i="1"/>
  <c r="GP40" i="1"/>
  <c r="GV40" i="1"/>
  <c r="HC40" i="1" s="1"/>
  <c r="GX40" i="1" s="1"/>
  <c r="U41" i="1"/>
  <c r="L87" i="6" s="1"/>
  <c r="Q87" i="6" s="1"/>
  <c r="AC41" i="1"/>
  <c r="H86" i="6" s="1"/>
  <c r="W87" i="6" s="1"/>
  <c r="AE41" i="1"/>
  <c r="AF41" i="1"/>
  <c r="AG41" i="1"/>
  <c r="CU41" i="1" s="1"/>
  <c r="T41" i="1" s="1"/>
  <c r="AH41" i="1"/>
  <c r="AI41" i="1"/>
  <c r="CW41" i="1" s="1"/>
  <c r="V41" i="1" s="1"/>
  <c r="AJ41" i="1"/>
  <c r="CX41" i="1" s="1"/>
  <c r="W41" i="1" s="1"/>
  <c r="CT41" i="1"/>
  <c r="S41" i="1" s="1"/>
  <c r="CV41" i="1"/>
  <c r="FR41" i="1"/>
  <c r="GL41" i="1"/>
  <c r="GO41" i="1"/>
  <c r="GP41" i="1"/>
  <c r="GV41" i="1"/>
  <c r="HC41" i="1" s="1"/>
  <c r="GX41" i="1" s="1"/>
  <c r="C42" i="1"/>
  <c r="D42" i="1"/>
  <c r="AC42" i="1"/>
  <c r="H90" i="6" s="1"/>
  <c r="AE42" i="1"/>
  <c r="CS42" i="1" s="1"/>
  <c r="R42" i="1" s="1"/>
  <c r="AF42" i="1"/>
  <c r="AG42" i="1"/>
  <c r="AH42" i="1"/>
  <c r="CV42" i="1" s="1"/>
  <c r="U42" i="1" s="1"/>
  <c r="AI42" i="1"/>
  <c r="AJ42" i="1"/>
  <c r="CX42" i="1" s="1"/>
  <c r="W42" i="1" s="1"/>
  <c r="CQ42" i="1"/>
  <c r="P42" i="1" s="1"/>
  <c r="CU42" i="1"/>
  <c r="T42" i="1" s="1"/>
  <c r="CW42" i="1"/>
  <c r="V42" i="1" s="1"/>
  <c r="FR42" i="1"/>
  <c r="GL42" i="1"/>
  <c r="GO42" i="1"/>
  <c r="GP42" i="1"/>
  <c r="GV42" i="1"/>
  <c r="HC42" i="1" s="1"/>
  <c r="GX42" i="1"/>
  <c r="AC43" i="1"/>
  <c r="H95" i="6" s="1"/>
  <c r="W96" i="6" s="1"/>
  <c r="AE43" i="1"/>
  <c r="CS43" i="1" s="1"/>
  <c r="R43" i="1" s="1"/>
  <c r="AF43" i="1"/>
  <c r="AG43" i="1"/>
  <c r="CU43" i="1" s="1"/>
  <c r="T43" i="1" s="1"/>
  <c r="AH43" i="1"/>
  <c r="CV43" i="1" s="1"/>
  <c r="U43" i="1" s="1"/>
  <c r="L96" i="6" s="1"/>
  <c r="Q96" i="6" s="1"/>
  <c r="AI43" i="1"/>
  <c r="AJ43" i="1"/>
  <c r="CX43" i="1" s="1"/>
  <c r="W43" i="1" s="1"/>
  <c r="CR43" i="1"/>
  <c r="Q43" i="1" s="1"/>
  <c r="CW43" i="1"/>
  <c r="V43" i="1" s="1"/>
  <c r="FR43" i="1"/>
  <c r="GL43" i="1"/>
  <c r="GO43" i="1"/>
  <c r="GP43" i="1"/>
  <c r="GV43" i="1"/>
  <c r="HC43" i="1" s="1"/>
  <c r="GX43" i="1" s="1"/>
  <c r="P44" i="1"/>
  <c r="AC44" i="1"/>
  <c r="H97" i="6" s="1"/>
  <c r="G98" i="6" s="1"/>
  <c r="O98" i="6" s="1"/>
  <c r="AE44" i="1"/>
  <c r="AF44" i="1"/>
  <c r="AG44" i="1"/>
  <c r="AH44" i="1"/>
  <c r="CV44" i="1" s="1"/>
  <c r="U44" i="1" s="1"/>
  <c r="L98" i="6" s="1"/>
  <c r="Q98" i="6" s="1"/>
  <c r="AI44" i="1"/>
  <c r="CW44" i="1" s="1"/>
  <c r="V44" i="1" s="1"/>
  <c r="AJ44" i="1"/>
  <c r="CX44" i="1" s="1"/>
  <c r="W44" i="1" s="1"/>
  <c r="CQ44" i="1"/>
  <c r="CT44" i="1"/>
  <c r="S44" i="1" s="1"/>
  <c r="CU44" i="1"/>
  <c r="T44" i="1" s="1"/>
  <c r="FR44" i="1"/>
  <c r="GL44" i="1"/>
  <c r="GO44" i="1"/>
  <c r="GP44" i="1"/>
  <c r="GV44" i="1"/>
  <c r="HC44" i="1" s="1"/>
  <c r="GX44" i="1"/>
  <c r="AC45" i="1"/>
  <c r="H99" i="6" s="1"/>
  <c r="W100" i="6" s="1"/>
  <c r="AE45" i="1"/>
  <c r="CR45" i="1" s="1"/>
  <c r="Q45" i="1" s="1"/>
  <c r="AF45" i="1"/>
  <c r="AG45" i="1"/>
  <c r="CU45" i="1" s="1"/>
  <c r="T45" i="1" s="1"/>
  <c r="AH45" i="1"/>
  <c r="CV45" i="1" s="1"/>
  <c r="U45" i="1" s="1"/>
  <c r="L100" i="6" s="1"/>
  <c r="Q100" i="6" s="1"/>
  <c r="AI45" i="1"/>
  <c r="AJ45" i="1"/>
  <c r="CX45" i="1" s="1"/>
  <c r="W45" i="1" s="1"/>
  <c r="CW45" i="1"/>
  <c r="V45" i="1" s="1"/>
  <c r="FR45" i="1"/>
  <c r="GL45" i="1"/>
  <c r="GO45" i="1"/>
  <c r="GP45" i="1"/>
  <c r="GV45" i="1"/>
  <c r="HC45" i="1" s="1"/>
  <c r="GX45" i="1" s="1"/>
  <c r="C46" i="1"/>
  <c r="D46" i="1"/>
  <c r="AC46" i="1"/>
  <c r="AE46" i="1"/>
  <c r="AF46" i="1"/>
  <c r="AG46" i="1"/>
  <c r="AH46" i="1"/>
  <c r="AI46" i="1"/>
  <c r="CW46" i="1" s="1"/>
  <c r="V46" i="1" s="1"/>
  <c r="AJ46" i="1"/>
  <c r="CX46" i="1" s="1"/>
  <c r="W46" i="1" s="1"/>
  <c r="CU46" i="1"/>
  <c r="T46" i="1" s="1"/>
  <c r="CV46" i="1"/>
  <c r="U46" i="1" s="1"/>
  <c r="FR46" i="1"/>
  <c r="GL46" i="1"/>
  <c r="GO46" i="1"/>
  <c r="GP46" i="1"/>
  <c r="GV46" i="1"/>
  <c r="HC46" i="1"/>
  <c r="GX46" i="1" s="1"/>
  <c r="Q47" i="1"/>
  <c r="AC47" i="1"/>
  <c r="AE47" i="1"/>
  <c r="AD47" i="1" s="1"/>
  <c r="AF47" i="1"/>
  <c r="AG47" i="1"/>
  <c r="CU47" i="1" s="1"/>
  <c r="T47" i="1" s="1"/>
  <c r="AH47" i="1"/>
  <c r="CV47" i="1" s="1"/>
  <c r="U47" i="1" s="1"/>
  <c r="L108" i="6" s="1"/>
  <c r="Q108" i="6" s="1"/>
  <c r="AI47" i="1"/>
  <c r="CW47" i="1" s="1"/>
  <c r="V47" i="1" s="1"/>
  <c r="AJ47" i="1"/>
  <c r="CR47" i="1"/>
  <c r="CX47" i="1"/>
  <c r="W47" i="1" s="1"/>
  <c r="FR47" i="1"/>
  <c r="GL47" i="1"/>
  <c r="GO47" i="1"/>
  <c r="GP47" i="1"/>
  <c r="GV47" i="1"/>
  <c r="HC47" i="1" s="1"/>
  <c r="GX47" i="1" s="1"/>
  <c r="C48" i="1"/>
  <c r="D48" i="1"/>
  <c r="Q48" i="1"/>
  <c r="AC48" i="1"/>
  <c r="AD48" i="1"/>
  <c r="AE48" i="1"/>
  <c r="AF48" i="1"/>
  <c r="AG48" i="1"/>
  <c r="AH48" i="1"/>
  <c r="AI48" i="1"/>
  <c r="CW48" i="1" s="1"/>
  <c r="V48" i="1" s="1"/>
  <c r="AJ48" i="1"/>
  <c r="CQ48" i="1"/>
  <c r="P48" i="1" s="1"/>
  <c r="CR48" i="1"/>
  <c r="CS48" i="1"/>
  <c r="R48" i="1" s="1"/>
  <c r="CY48" i="1" s="1"/>
  <c r="X48" i="1" s="1"/>
  <c r="T109" i="6" s="1"/>
  <c r="K111" i="6" s="1"/>
  <c r="CT48" i="1"/>
  <c r="S48" i="1" s="1"/>
  <c r="K110" i="6" s="1"/>
  <c r="CU48" i="1"/>
  <c r="T48" i="1" s="1"/>
  <c r="CV48" i="1"/>
  <c r="U48" i="1" s="1"/>
  <c r="CX48" i="1"/>
  <c r="W48" i="1" s="1"/>
  <c r="FR48" i="1"/>
  <c r="GL48" i="1"/>
  <c r="GO48" i="1"/>
  <c r="GP48" i="1"/>
  <c r="GV48" i="1"/>
  <c r="HC48" i="1"/>
  <c r="GX48" i="1" s="1"/>
  <c r="AC49" i="1"/>
  <c r="AD49" i="1"/>
  <c r="AE49" i="1"/>
  <c r="AF49" i="1"/>
  <c r="AG49" i="1"/>
  <c r="AH49" i="1"/>
  <c r="AI49" i="1"/>
  <c r="CW49" i="1" s="1"/>
  <c r="V49" i="1" s="1"/>
  <c r="AJ49" i="1"/>
  <c r="CQ49" i="1"/>
  <c r="P49" i="1" s="1"/>
  <c r="CR49" i="1"/>
  <c r="Q49" i="1" s="1"/>
  <c r="CS49" i="1"/>
  <c r="R49" i="1" s="1"/>
  <c r="CY49" i="1" s="1"/>
  <c r="X49" i="1" s="1"/>
  <c r="T115" i="6" s="1"/>
  <c r="CT49" i="1"/>
  <c r="S49" i="1" s="1"/>
  <c r="CU49" i="1"/>
  <c r="T49" i="1" s="1"/>
  <c r="CV49" i="1"/>
  <c r="U49" i="1" s="1"/>
  <c r="L116" i="6" s="1"/>
  <c r="Q116" i="6" s="1"/>
  <c r="CX49" i="1"/>
  <c r="W49" i="1" s="1"/>
  <c r="FR49" i="1"/>
  <c r="GL49" i="1"/>
  <c r="GO49" i="1"/>
  <c r="GP49" i="1"/>
  <c r="GV49" i="1"/>
  <c r="HC49" i="1"/>
  <c r="GX49" i="1" s="1"/>
  <c r="C50" i="1"/>
  <c r="D50" i="1"/>
  <c r="I50" i="1"/>
  <c r="K50" i="1"/>
  <c r="AC50" i="1"/>
  <c r="AE50" i="1"/>
  <c r="AF50" i="1"/>
  <c r="AG50" i="1"/>
  <c r="CU50" i="1" s="1"/>
  <c r="AH50" i="1"/>
  <c r="CV50" i="1" s="1"/>
  <c r="U50" i="1" s="1"/>
  <c r="AI50" i="1"/>
  <c r="CW50" i="1" s="1"/>
  <c r="AJ50" i="1"/>
  <c r="CX50" i="1" s="1"/>
  <c r="CR50" i="1"/>
  <c r="CT50" i="1"/>
  <c r="FR50" i="1"/>
  <c r="GL50" i="1"/>
  <c r="GO50" i="1"/>
  <c r="GP50" i="1"/>
  <c r="GV50" i="1"/>
  <c r="HC50" i="1" s="1"/>
  <c r="AC51" i="1"/>
  <c r="AE51" i="1"/>
  <c r="AF51" i="1"/>
  <c r="AG51" i="1"/>
  <c r="CU51" i="1" s="1"/>
  <c r="AH51" i="1"/>
  <c r="CV51" i="1" s="1"/>
  <c r="AI51" i="1"/>
  <c r="CW51" i="1" s="1"/>
  <c r="AJ51" i="1"/>
  <c r="CX51" i="1" s="1"/>
  <c r="CQ51" i="1"/>
  <c r="CT51" i="1"/>
  <c r="FR51" i="1"/>
  <c r="GL51" i="1"/>
  <c r="GO51" i="1"/>
  <c r="GP51" i="1"/>
  <c r="GV51" i="1"/>
  <c r="HC51" i="1" s="1"/>
  <c r="I52" i="1"/>
  <c r="E127" i="6" s="1"/>
  <c r="K52" i="1"/>
  <c r="AC52" i="1"/>
  <c r="AE52" i="1"/>
  <c r="CR52" i="1" s="1"/>
  <c r="AF52" i="1"/>
  <c r="AG52" i="1"/>
  <c r="CU52" i="1" s="1"/>
  <c r="AH52" i="1"/>
  <c r="AI52" i="1"/>
  <c r="CW52" i="1" s="1"/>
  <c r="AJ52" i="1"/>
  <c r="CX52" i="1" s="1"/>
  <c r="CT52" i="1"/>
  <c r="CV52" i="1"/>
  <c r="FR52" i="1"/>
  <c r="GL52" i="1"/>
  <c r="GO52" i="1"/>
  <c r="GP52" i="1"/>
  <c r="GV52" i="1"/>
  <c r="HC52" i="1"/>
  <c r="AC53" i="1"/>
  <c r="AE53" i="1"/>
  <c r="AF53" i="1"/>
  <c r="AG53" i="1"/>
  <c r="AH53" i="1"/>
  <c r="CV53" i="1" s="1"/>
  <c r="AI53" i="1"/>
  <c r="CW53" i="1" s="1"/>
  <c r="AJ53" i="1"/>
  <c r="CU53" i="1"/>
  <c r="CX53" i="1"/>
  <c r="FR53" i="1"/>
  <c r="GL53" i="1"/>
  <c r="GO53" i="1"/>
  <c r="GP53" i="1"/>
  <c r="GV53" i="1"/>
  <c r="HC53" i="1" s="1"/>
  <c r="C54" i="1"/>
  <c r="D54" i="1"/>
  <c r="I54" i="1"/>
  <c r="K54" i="1"/>
  <c r="AC54" i="1"/>
  <c r="AD54" i="1"/>
  <c r="AE54" i="1"/>
  <c r="AF54" i="1"/>
  <c r="AG54" i="1"/>
  <c r="CU54" i="1" s="1"/>
  <c r="AH54" i="1"/>
  <c r="CV54" i="1" s="1"/>
  <c r="U54" i="1" s="1"/>
  <c r="AI54" i="1"/>
  <c r="AJ54" i="1"/>
  <c r="CR54" i="1"/>
  <c r="CS54" i="1"/>
  <c r="R54" i="1" s="1"/>
  <c r="K136" i="6" s="1"/>
  <c r="CW54" i="1"/>
  <c r="CX54" i="1"/>
  <c r="FR54" i="1"/>
  <c r="GL54" i="1"/>
  <c r="GO54" i="1"/>
  <c r="GP54" i="1"/>
  <c r="GV54" i="1"/>
  <c r="HC54" i="1" s="1"/>
  <c r="AC55" i="1"/>
  <c r="H142" i="6" s="1"/>
  <c r="AD55" i="1"/>
  <c r="AE55" i="1"/>
  <c r="AF55" i="1"/>
  <c r="AG55" i="1"/>
  <c r="CU55" i="1" s="1"/>
  <c r="T55" i="1" s="1"/>
  <c r="AH55" i="1"/>
  <c r="CV55" i="1" s="1"/>
  <c r="U55" i="1" s="1"/>
  <c r="L143" i="6" s="1"/>
  <c r="Q143" i="6" s="1"/>
  <c r="AI55" i="1"/>
  <c r="CW55" i="1" s="1"/>
  <c r="V55" i="1" s="1"/>
  <c r="AJ55" i="1"/>
  <c r="CR55" i="1"/>
  <c r="Q55" i="1" s="1"/>
  <c r="CS55" i="1"/>
  <c r="R55" i="1" s="1"/>
  <c r="CX55" i="1"/>
  <c r="W55" i="1" s="1"/>
  <c r="FR55" i="1"/>
  <c r="GL55" i="1"/>
  <c r="GO55" i="1"/>
  <c r="GP55" i="1"/>
  <c r="GV55" i="1"/>
  <c r="HC55" i="1" s="1"/>
  <c r="GX55" i="1" s="1"/>
  <c r="C56" i="1"/>
  <c r="D56" i="1"/>
  <c r="I56" i="1"/>
  <c r="K56" i="1"/>
  <c r="AC56" i="1"/>
  <c r="AE56" i="1"/>
  <c r="AF56" i="1"/>
  <c r="AG56" i="1"/>
  <c r="AH56" i="1"/>
  <c r="CV56" i="1" s="1"/>
  <c r="U56" i="1" s="1"/>
  <c r="AI56" i="1"/>
  <c r="AJ56" i="1"/>
  <c r="CX56" i="1" s="1"/>
  <c r="W56" i="1" s="1"/>
  <c r="CU56" i="1"/>
  <c r="T56" i="1" s="1"/>
  <c r="CW56" i="1"/>
  <c r="V56" i="1" s="1"/>
  <c r="FR56" i="1"/>
  <c r="GL56" i="1"/>
  <c r="GO56" i="1"/>
  <c r="GP56" i="1"/>
  <c r="GV56" i="1"/>
  <c r="HC56" i="1" s="1"/>
  <c r="AC57" i="1"/>
  <c r="AE57" i="1"/>
  <c r="AD57" i="1" s="1"/>
  <c r="AF57" i="1"/>
  <c r="AG57" i="1"/>
  <c r="CU57" i="1" s="1"/>
  <c r="AH57" i="1"/>
  <c r="CV57" i="1" s="1"/>
  <c r="AI57" i="1"/>
  <c r="CW57" i="1" s="1"/>
  <c r="AJ57" i="1"/>
  <c r="CQ57" i="1"/>
  <c r="CS57" i="1"/>
  <c r="CX57" i="1"/>
  <c r="FR57" i="1"/>
  <c r="GL57" i="1"/>
  <c r="GO57" i="1"/>
  <c r="GP57" i="1"/>
  <c r="GV57" i="1"/>
  <c r="HC57" i="1" s="1"/>
  <c r="AC58" i="1"/>
  <c r="AE58" i="1"/>
  <c r="CS58" i="1" s="1"/>
  <c r="AF58" i="1"/>
  <c r="AG58" i="1"/>
  <c r="CU58" i="1" s="1"/>
  <c r="AH58" i="1"/>
  <c r="CV58" i="1" s="1"/>
  <c r="AI58" i="1"/>
  <c r="CW58" i="1" s="1"/>
  <c r="AJ58" i="1"/>
  <c r="CR58" i="1"/>
  <c r="CX58" i="1"/>
  <c r="FR58" i="1"/>
  <c r="GL58" i="1"/>
  <c r="GO58" i="1"/>
  <c r="GP58" i="1"/>
  <c r="GV58" i="1"/>
  <c r="HC58" i="1" s="1"/>
  <c r="C59" i="1"/>
  <c r="D59" i="1"/>
  <c r="I59" i="1"/>
  <c r="E157" i="6" s="1"/>
  <c r="K59" i="1"/>
  <c r="U59" i="1"/>
  <c r="V59" i="1"/>
  <c r="AC59" i="1"/>
  <c r="AE59" i="1"/>
  <c r="AF59" i="1"/>
  <c r="AG59" i="1"/>
  <c r="AH59" i="1"/>
  <c r="CV59" i="1" s="1"/>
  <c r="AI59" i="1"/>
  <c r="CW59" i="1" s="1"/>
  <c r="AJ59" i="1"/>
  <c r="CX59" i="1" s="1"/>
  <c r="W59" i="1" s="1"/>
  <c r="CU59" i="1"/>
  <c r="FR59" i="1"/>
  <c r="GL59" i="1"/>
  <c r="GO59" i="1"/>
  <c r="GP59" i="1"/>
  <c r="GV59" i="1"/>
  <c r="HC59" i="1" s="1"/>
  <c r="I60" i="1"/>
  <c r="K60" i="1"/>
  <c r="AC60" i="1"/>
  <c r="AE60" i="1"/>
  <c r="AD60" i="1" s="1"/>
  <c r="AF60" i="1"/>
  <c r="AG60" i="1"/>
  <c r="CU60" i="1" s="1"/>
  <c r="AH60" i="1"/>
  <c r="CV60" i="1" s="1"/>
  <c r="AI60" i="1"/>
  <c r="CW60" i="1" s="1"/>
  <c r="V60" i="1" s="1"/>
  <c r="AJ60" i="1"/>
  <c r="CQ60" i="1"/>
  <c r="CS60" i="1"/>
  <c r="R60" i="1" s="1"/>
  <c r="CT60" i="1"/>
  <c r="CX60" i="1"/>
  <c r="FR60" i="1"/>
  <c r="GL60" i="1"/>
  <c r="GO60" i="1"/>
  <c r="GP60" i="1"/>
  <c r="GV60" i="1"/>
  <c r="HC60" i="1" s="1"/>
  <c r="AC61" i="1"/>
  <c r="AE61" i="1"/>
  <c r="AF61" i="1"/>
  <c r="AG61" i="1"/>
  <c r="AH61" i="1"/>
  <c r="AI61" i="1"/>
  <c r="CW61" i="1" s="1"/>
  <c r="AJ61" i="1"/>
  <c r="CX61" i="1" s="1"/>
  <c r="CU61" i="1"/>
  <c r="CV61" i="1"/>
  <c r="FR61" i="1"/>
  <c r="GL61" i="1"/>
  <c r="GO61" i="1"/>
  <c r="GP61" i="1"/>
  <c r="GV61" i="1"/>
  <c r="HC61" i="1" s="1"/>
  <c r="I62" i="1"/>
  <c r="K62" i="1"/>
  <c r="O62" i="1"/>
  <c r="P62" i="1"/>
  <c r="Q62" i="1"/>
  <c r="R62" i="1"/>
  <c r="S62" i="1"/>
  <c r="T62" i="1"/>
  <c r="U62" i="1"/>
  <c r="L172" i="6" s="1"/>
  <c r="Q172" i="6" s="1"/>
  <c r="V62" i="1"/>
  <c r="W62" i="1"/>
  <c r="X62" i="1"/>
  <c r="T171" i="6" s="1"/>
  <c r="Y62" i="1"/>
  <c r="V171" i="6" s="1"/>
  <c r="AB62" i="1"/>
  <c r="AC62" i="1"/>
  <c r="AD62" i="1"/>
  <c r="AE62" i="1"/>
  <c r="AF62" i="1"/>
  <c r="AG62" i="1"/>
  <c r="AH62" i="1"/>
  <c r="AI62" i="1"/>
  <c r="AJ62" i="1"/>
  <c r="FR62" i="1"/>
  <c r="GL62" i="1"/>
  <c r="GO62" i="1"/>
  <c r="GP62" i="1"/>
  <c r="GV62" i="1"/>
  <c r="GX62" i="1"/>
  <c r="I63" i="1"/>
  <c r="K63" i="1"/>
  <c r="O63" i="1"/>
  <c r="P63" i="1"/>
  <c r="Q63" i="1"/>
  <c r="R63" i="1"/>
  <c r="S63" i="1"/>
  <c r="T63" i="1"/>
  <c r="U63" i="1"/>
  <c r="L174" i="6" s="1"/>
  <c r="Q174" i="6" s="1"/>
  <c r="V63" i="1"/>
  <c r="W63" i="1"/>
  <c r="X63" i="1"/>
  <c r="T173" i="6" s="1"/>
  <c r="Y63" i="1"/>
  <c r="V173" i="6" s="1"/>
  <c r="AB63" i="1"/>
  <c r="AC63" i="1"/>
  <c r="AD63" i="1"/>
  <c r="AE63" i="1"/>
  <c r="AF63" i="1"/>
  <c r="AG63" i="1"/>
  <c r="AH63" i="1"/>
  <c r="AI63" i="1"/>
  <c r="AJ63" i="1"/>
  <c r="FR63" i="1"/>
  <c r="GL63" i="1"/>
  <c r="GO63" i="1"/>
  <c r="GP63" i="1"/>
  <c r="GV63" i="1"/>
  <c r="GX63" i="1"/>
  <c r="O64" i="1"/>
  <c r="P64" i="1"/>
  <c r="Q64" i="1"/>
  <c r="R64" i="1"/>
  <c r="S64" i="1"/>
  <c r="T64" i="1"/>
  <c r="U64" i="1"/>
  <c r="L177" i="6" s="1"/>
  <c r="Q177" i="6" s="1"/>
  <c r="V64" i="1"/>
  <c r="W64" i="1"/>
  <c r="X64" i="1"/>
  <c r="T175" i="6" s="1"/>
  <c r="Y64" i="1"/>
  <c r="V175" i="6" s="1"/>
  <c r="AB64" i="1"/>
  <c r="AC64" i="1"/>
  <c r="AD64" i="1"/>
  <c r="AE64" i="1"/>
  <c r="AF64" i="1"/>
  <c r="AG64" i="1"/>
  <c r="AH64" i="1"/>
  <c r="AI64" i="1"/>
  <c r="AJ64" i="1"/>
  <c r="FR64" i="1"/>
  <c r="GL64" i="1"/>
  <c r="GO64" i="1"/>
  <c r="GP64" i="1"/>
  <c r="GV64" i="1"/>
  <c r="GX64" i="1"/>
  <c r="B66" i="1"/>
  <c r="B26" i="1" s="1"/>
  <c r="C66" i="1"/>
  <c r="C26" i="1" s="1"/>
  <c r="D66" i="1"/>
  <c r="D26" i="1" s="1"/>
  <c r="F66" i="1"/>
  <c r="F26" i="1" s="1"/>
  <c r="G66" i="1"/>
  <c r="BX66" i="1"/>
  <c r="BX26" i="1" s="1"/>
  <c r="CK66" i="1"/>
  <c r="CK26" i="1" s="1"/>
  <c r="CL66" i="1"/>
  <c r="D96" i="1"/>
  <c r="E98" i="1"/>
  <c r="Z98" i="1"/>
  <c r="AA98" i="1"/>
  <c r="AM98" i="1"/>
  <c r="AN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U100" i="1"/>
  <c r="L185" i="6" s="1"/>
  <c r="Q185" i="6" s="1"/>
  <c r="AC100" i="1"/>
  <c r="AE100" i="1"/>
  <c r="AD100" i="1" s="1"/>
  <c r="AF100" i="1"/>
  <c r="AG100" i="1"/>
  <c r="CU100" i="1" s="1"/>
  <c r="T100" i="1" s="1"/>
  <c r="AH100" i="1"/>
  <c r="AI100" i="1"/>
  <c r="AJ100" i="1"/>
  <c r="CX100" i="1" s="1"/>
  <c r="W100" i="1" s="1"/>
  <c r="CS100" i="1"/>
  <c r="R100" i="1" s="1"/>
  <c r="CV100" i="1"/>
  <c r="CW100" i="1"/>
  <c r="V100" i="1" s="1"/>
  <c r="FR100" i="1"/>
  <c r="GL100" i="1"/>
  <c r="GO100" i="1"/>
  <c r="GP100" i="1"/>
  <c r="GV100" i="1"/>
  <c r="HC100" i="1"/>
  <c r="GX100" i="1" s="1"/>
  <c r="C101" i="1"/>
  <c r="D101" i="1"/>
  <c r="I101" i="1"/>
  <c r="K101" i="1"/>
  <c r="V101" i="1"/>
  <c r="AC101" i="1"/>
  <c r="CQ101" i="1" s="1"/>
  <c r="AE101" i="1"/>
  <c r="AF101" i="1"/>
  <c r="AG101" i="1"/>
  <c r="AH101" i="1"/>
  <c r="AI101" i="1"/>
  <c r="AJ101" i="1"/>
  <c r="CX101" i="1" s="1"/>
  <c r="W101" i="1" s="1"/>
  <c r="CR101" i="1"/>
  <c r="Q101" i="1" s="1"/>
  <c r="K189" i="6" s="1"/>
  <c r="CU101" i="1"/>
  <c r="T101" i="1" s="1"/>
  <c r="CV101" i="1"/>
  <c r="U101" i="1" s="1"/>
  <c r="CW101" i="1"/>
  <c r="FR101" i="1"/>
  <c r="GL101" i="1"/>
  <c r="GO101" i="1"/>
  <c r="GP101" i="1"/>
  <c r="GV101" i="1"/>
  <c r="HC101" i="1" s="1"/>
  <c r="GX101" i="1" s="1"/>
  <c r="C102" i="1"/>
  <c r="D102" i="1"/>
  <c r="I102" i="1"/>
  <c r="K102" i="1"/>
  <c r="AC102" i="1"/>
  <c r="AE102" i="1"/>
  <c r="CR102" i="1" s="1"/>
  <c r="AF102" i="1"/>
  <c r="AG102" i="1"/>
  <c r="CU102" i="1" s="1"/>
  <c r="AH102" i="1"/>
  <c r="CV102" i="1" s="1"/>
  <c r="AI102" i="1"/>
  <c r="CW102" i="1" s="1"/>
  <c r="V102" i="1" s="1"/>
  <c r="AJ102" i="1"/>
  <c r="CX102" i="1" s="1"/>
  <c r="W102" i="1" s="1"/>
  <c r="CT102" i="1"/>
  <c r="S102" i="1" s="1"/>
  <c r="K196" i="6" s="1"/>
  <c r="FR102" i="1"/>
  <c r="GL102" i="1"/>
  <c r="GO102" i="1"/>
  <c r="GP102" i="1"/>
  <c r="GV102" i="1"/>
  <c r="HC102" i="1" s="1"/>
  <c r="GX102" i="1" s="1"/>
  <c r="AC103" i="1"/>
  <c r="AD103" i="1"/>
  <c r="AE103" i="1"/>
  <c r="CS103" i="1" s="1"/>
  <c r="AF103" i="1"/>
  <c r="AG103" i="1"/>
  <c r="CU103" i="1" s="1"/>
  <c r="AH103" i="1"/>
  <c r="AI103" i="1"/>
  <c r="CW103" i="1" s="1"/>
  <c r="AJ103" i="1"/>
  <c r="CX103" i="1" s="1"/>
  <c r="CQ103" i="1"/>
  <c r="CR103" i="1"/>
  <c r="CV103" i="1"/>
  <c r="FR103" i="1"/>
  <c r="GL103" i="1"/>
  <c r="GO103" i="1"/>
  <c r="GP103" i="1"/>
  <c r="GV103" i="1"/>
  <c r="HC103" i="1" s="1"/>
  <c r="AC104" i="1"/>
  <c r="AE104" i="1"/>
  <c r="AD104" i="1" s="1"/>
  <c r="AF104" i="1"/>
  <c r="AG104" i="1"/>
  <c r="CU104" i="1" s="1"/>
  <c r="AH104" i="1"/>
  <c r="AI104" i="1"/>
  <c r="AJ104" i="1"/>
  <c r="CX104" i="1" s="1"/>
  <c r="CS104" i="1"/>
  <c r="CV104" i="1"/>
  <c r="CW104" i="1"/>
  <c r="FR104" i="1"/>
  <c r="GL104" i="1"/>
  <c r="GO104" i="1"/>
  <c r="GP104" i="1"/>
  <c r="GV104" i="1"/>
  <c r="HC104" i="1"/>
  <c r="C105" i="1"/>
  <c r="D105" i="1"/>
  <c r="I105" i="1"/>
  <c r="E210" i="6" s="1"/>
  <c r="K105" i="1"/>
  <c r="AC105" i="1"/>
  <c r="AE105" i="1"/>
  <c r="CR105" i="1" s="1"/>
  <c r="Q105" i="1" s="1"/>
  <c r="K212" i="6" s="1"/>
  <c r="AF105" i="1"/>
  <c r="AG105" i="1"/>
  <c r="CU105" i="1" s="1"/>
  <c r="T105" i="1" s="1"/>
  <c r="AH105" i="1"/>
  <c r="CV105" i="1" s="1"/>
  <c r="U105" i="1" s="1"/>
  <c r="AI105" i="1"/>
  <c r="CW105" i="1" s="1"/>
  <c r="V105" i="1" s="1"/>
  <c r="AJ105" i="1"/>
  <c r="CS105" i="1"/>
  <c r="R105" i="1" s="1"/>
  <c r="K213" i="6" s="1"/>
  <c r="CX105" i="1"/>
  <c r="W105" i="1" s="1"/>
  <c r="FR105" i="1"/>
  <c r="GL105" i="1"/>
  <c r="GO105" i="1"/>
  <c r="GP105" i="1"/>
  <c r="GV105" i="1"/>
  <c r="HC105" i="1" s="1"/>
  <c r="GX105" i="1" s="1"/>
  <c r="AC106" i="1"/>
  <c r="AE106" i="1"/>
  <c r="AD106" i="1" s="1"/>
  <c r="AB106" i="1" s="1"/>
  <c r="AF106" i="1"/>
  <c r="AG106" i="1"/>
  <c r="CU106" i="1" s="1"/>
  <c r="T106" i="1" s="1"/>
  <c r="AH106" i="1"/>
  <c r="CV106" i="1" s="1"/>
  <c r="U106" i="1" s="1"/>
  <c r="L219" i="6" s="1"/>
  <c r="Q219" i="6" s="1"/>
  <c r="AI106" i="1"/>
  <c r="CW106" i="1" s="1"/>
  <c r="V106" i="1" s="1"/>
  <c r="AJ106" i="1"/>
  <c r="CT106" i="1"/>
  <c r="S106" i="1" s="1"/>
  <c r="CX106" i="1"/>
  <c r="W106" i="1" s="1"/>
  <c r="FR106" i="1"/>
  <c r="GL106" i="1"/>
  <c r="GO106" i="1"/>
  <c r="GP106" i="1"/>
  <c r="GV106" i="1"/>
  <c r="HC106" i="1" s="1"/>
  <c r="GX106" i="1" s="1"/>
  <c r="AC107" i="1"/>
  <c r="H220" i="6" s="1"/>
  <c r="W221" i="6" s="1"/>
  <c r="AE107" i="1"/>
  <c r="AD107" i="1" s="1"/>
  <c r="AF107" i="1"/>
  <c r="AG107" i="1"/>
  <c r="CU107" i="1" s="1"/>
  <c r="T107" i="1" s="1"/>
  <c r="AH107" i="1"/>
  <c r="CV107" i="1" s="1"/>
  <c r="U107" i="1" s="1"/>
  <c r="L221" i="6" s="1"/>
  <c r="Q221" i="6" s="1"/>
  <c r="AI107" i="1"/>
  <c r="CW107" i="1" s="1"/>
  <c r="V107" i="1" s="1"/>
  <c r="AJ107" i="1"/>
  <c r="CS107" i="1"/>
  <c r="R107" i="1" s="1"/>
  <c r="CX107" i="1"/>
  <c r="W107" i="1" s="1"/>
  <c r="FR107" i="1"/>
  <c r="GL107" i="1"/>
  <c r="GO107" i="1"/>
  <c r="GP107" i="1"/>
  <c r="GV107" i="1"/>
  <c r="HC107" i="1" s="1"/>
  <c r="GX107" i="1" s="1"/>
  <c r="I108" i="1"/>
  <c r="E222" i="6" s="1"/>
  <c r="K108" i="1"/>
  <c r="Q108" i="1"/>
  <c r="R108" i="1"/>
  <c r="AC108" i="1"/>
  <c r="H222" i="6" s="1"/>
  <c r="W223" i="6" s="1"/>
  <c r="AD108" i="1"/>
  <c r="AE108" i="1"/>
  <c r="CS108" i="1" s="1"/>
  <c r="AF108" i="1"/>
  <c r="AG108" i="1"/>
  <c r="CU108" i="1" s="1"/>
  <c r="T108" i="1" s="1"/>
  <c r="AH108" i="1"/>
  <c r="CV108" i="1" s="1"/>
  <c r="U108" i="1" s="1"/>
  <c r="L223" i="6" s="1"/>
  <c r="Q223" i="6" s="1"/>
  <c r="AI108" i="1"/>
  <c r="AJ108" i="1"/>
  <c r="CX108" i="1" s="1"/>
  <c r="W108" i="1" s="1"/>
  <c r="CQ108" i="1"/>
  <c r="P108" i="1" s="1"/>
  <c r="K222" i="6" s="1"/>
  <c r="J223" i="6" s="1"/>
  <c r="P223" i="6" s="1"/>
  <c r="CR108" i="1"/>
  <c r="CT108" i="1"/>
  <c r="S108" i="1" s="1"/>
  <c r="CW108" i="1"/>
  <c r="V108" i="1" s="1"/>
  <c r="FR108" i="1"/>
  <c r="GL108" i="1"/>
  <c r="GO108" i="1"/>
  <c r="GP108" i="1"/>
  <c r="GV108" i="1"/>
  <c r="HC108" i="1" s="1"/>
  <c r="GX108" i="1"/>
  <c r="C109" i="1"/>
  <c r="D109" i="1"/>
  <c r="I109" i="1"/>
  <c r="K109" i="1"/>
  <c r="AC109" i="1"/>
  <c r="H229" i="6" s="1"/>
  <c r="AE109" i="1"/>
  <c r="AF109" i="1"/>
  <c r="CT109" i="1" s="1"/>
  <c r="S109" i="1" s="1"/>
  <c r="K226" i="6" s="1"/>
  <c r="AG109" i="1"/>
  <c r="CU109" i="1" s="1"/>
  <c r="AH109" i="1"/>
  <c r="CV109" i="1" s="1"/>
  <c r="U109" i="1" s="1"/>
  <c r="AI109" i="1"/>
  <c r="CW109" i="1" s="1"/>
  <c r="AJ109" i="1"/>
  <c r="CX109" i="1" s="1"/>
  <c r="W109" i="1" s="1"/>
  <c r="CQ109" i="1"/>
  <c r="P109" i="1" s="1"/>
  <c r="K229" i="6" s="1"/>
  <c r="CS109" i="1"/>
  <c r="FR109" i="1"/>
  <c r="GL109" i="1"/>
  <c r="GO109" i="1"/>
  <c r="GP109" i="1"/>
  <c r="GV109" i="1"/>
  <c r="HC109" i="1" s="1"/>
  <c r="GX109" i="1"/>
  <c r="AC110" i="1"/>
  <c r="CQ110" i="1" s="1"/>
  <c r="AE110" i="1"/>
  <c r="AD110" i="1" s="1"/>
  <c r="AF110" i="1"/>
  <c r="AG110" i="1"/>
  <c r="CU110" i="1" s="1"/>
  <c r="AH110" i="1"/>
  <c r="CV110" i="1" s="1"/>
  <c r="AI110" i="1"/>
  <c r="AJ110" i="1"/>
  <c r="CR110" i="1"/>
  <c r="CS110" i="1"/>
  <c r="CW110" i="1"/>
  <c r="CX110" i="1"/>
  <c r="FR110" i="1"/>
  <c r="GL110" i="1"/>
  <c r="GO110" i="1"/>
  <c r="GP110" i="1"/>
  <c r="GV110" i="1"/>
  <c r="HC110" i="1"/>
  <c r="P111" i="1"/>
  <c r="K235" i="6" s="1"/>
  <c r="J236" i="6" s="1"/>
  <c r="P236" i="6" s="1"/>
  <c r="AC111" i="1"/>
  <c r="H235" i="6" s="1"/>
  <c r="AE111" i="1"/>
  <c r="AD111" i="1" s="1"/>
  <c r="AB111" i="1" s="1"/>
  <c r="AF111" i="1"/>
  <c r="AG111" i="1"/>
  <c r="AH111" i="1"/>
  <c r="CV111" i="1" s="1"/>
  <c r="U111" i="1" s="1"/>
  <c r="L236" i="6" s="1"/>
  <c r="Q236" i="6" s="1"/>
  <c r="AI111" i="1"/>
  <c r="CW111" i="1" s="1"/>
  <c r="V111" i="1" s="1"/>
  <c r="AJ111" i="1"/>
  <c r="CX111" i="1" s="1"/>
  <c r="W111" i="1" s="1"/>
  <c r="CQ111" i="1"/>
  <c r="CU111" i="1"/>
  <c r="T111" i="1" s="1"/>
  <c r="FR111" i="1"/>
  <c r="GL111" i="1"/>
  <c r="GO111" i="1"/>
  <c r="GP111" i="1"/>
  <c r="GV111" i="1"/>
  <c r="HC111" i="1" s="1"/>
  <c r="GX111" i="1" s="1"/>
  <c r="U112" i="1"/>
  <c r="L238" i="6" s="1"/>
  <c r="Q238" i="6" s="1"/>
  <c r="AC112" i="1"/>
  <c r="H237" i="6" s="1"/>
  <c r="AE112" i="1"/>
  <c r="AD112" i="1" s="1"/>
  <c r="AF112" i="1"/>
  <c r="AG112" i="1"/>
  <c r="CU112" i="1" s="1"/>
  <c r="T112" i="1" s="1"/>
  <c r="AH112" i="1"/>
  <c r="CV112" i="1" s="1"/>
  <c r="AI112" i="1"/>
  <c r="AJ112" i="1"/>
  <c r="CR112" i="1"/>
  <c r="Q112" i="1" s="1"/>
  <c r="CS112" i="1"/>
  <c r="R112" i="1" s="1"/>
  <c r="CW112" i="1"/>
  <c r="V112" i="1" s="1"/>
  <c r="CX112" i="1"/>
  <c r="W112" i="1" s="1"/>
  <c r="FR112" i="1"/>
  <c r="GL112" i="1"/>
  <c r="GO112" i="1"/>
  <c r="GP112" i="1"/>
  <c r="GV112" i="1"/>
  <c r="HC112" i="1"/>
  <c r="GX112" i="1" s="1"/>
  <c r="P113" i="1"/>
  <c r="K239" i="6" s="1"/>
  <c r="J240" i="6" s="1"/>
  <c r="P240" i="6" s="1"/>
  <c r="AC113" i="1"/>
  <c r="H239" i="6" s="1"/>
  <c r="AE113" i="1"/>
  <c r="AD113" i="1" s="1"/>
  <c r="AB113" i="1" s="1"/>
  <c r="AF113" i="1"/>
  <c r="CT113" i="1" s="1"/>
  <c r="S113" i="1" s="1"/>
  <c r="AG113" i="1"/>
  <c r="AH113" i="1"/>
  <c r="CV113" i="1" s="1"/>
  <c r="U113" i="1" s="1"/>
  <c r="L240" i="6" s="1"/>
  <c r="Q240" i="6" s="1"/>
  <c r="AI113" i="1"/>
  <c r="CW113" i="1" s="1"/>
  <c r="V113" i="1" s="1"/>
  <c r="AJ113" i="1"/>
  <c r="CX113" i="1" s="1"/>
  <c r="W113" i="1" s="1"/>
  <c r="CQ113" i="1"/>
  <c r="CU113" i="1"/>
  <c r="T113" i="1" s="1"/>
  <c r="FR113" i="1"/>
  <c r="GL113" i="1"/>
  <c r="GO113" i="1"/>
  <c r="GP113" i="1"/>
  <c r="GV113" i="1"/>
  <c r="HC113" i="1" s="1"/>
  <c r="GX113" i="1" s="1"/>
  <c r="C114" i="1"/>
  <c r="D114" i="1"/>
  <c r="AC114" i="1"/>
  <c r="H243" i="6" s="1"/>
  <c r="AE114" i="1"/>
  <c r="CR114" i="1" s="1"/>
  <c r="Q114" i="1" s="1"/>
  <c r="AF114" i="1"/>
  <c r="AG114" i="1"/>
  <c r="AH114" i="1"/>
  <c r="AI114" i="1"/>
  <c r="CW114" i="1" s="1"/>
  <c r="V114" i="1" s="1"/>
  <c r="AJ114" i="1"/>
  <c r="CX114" i="1" s="1"/>
  <c r="W114" i="1" s="1"/>
  <c r="CU114" i="1"/>
  <c r="T114" i="1" s="1"/>
  <c r="CV114" i="1"/>
  <c r="U114" i="1" s="1"/>
  <c r="FR114" i="1"/>
  <c r="GL114" i="1"/>
  <c r="GO114" i="1"/>
  <c r="GP114" i="1"/>
  <c r="GV114" i="1"/>
  <c r="HC114" i="1" s="1"/>
  <c r="GX114" i="1" s="1"/>
  <c r="V115" i="1"/>
  <c r="AC115" i="1"/>
  <c r="H248" i="6" s="1"/>
  <c r="AE115" i="1"/>
  <c r="AD115" i="1" s="1"/>
  <c r="AF115" i="1"/>
  <c r="AG115" i="1"/>
  <c r="CU115" i="1" s="1"/>
  <c r="T115" i="1" s="1"/>
  <c r="AH115" i="1"/>
  <c r="CV115" i="1" s="1"/>
  <c r="U115" i="1" s="1"/>
  <c r="L249" i="6" s="1"/>
  <c r="Q249" i="6" s="1"/>
  <c r="AI115" i="1"/>
  <c r="AJ115" i="1"/>
  <c r="CX115" i="1" s="1"/>
  <c r="W115" i="1" s="1"/>
  <c r="CQ115" i="1"/>
  <c r="P115" i="1" s="1"/>
  <c r="CR115" i="1"/>
  <c r="Q115" i="1" s="1"/>
  <c r="CS115" i="1"/>
  <c r="R115" i="1" s="1"/>
  <c r="CW115" i="1"/>
  <c r="FR115" i="1"/>
  <c r="GL115" i="1"/>
  <c r="GO115" i="1"/>
  <c r="GP115" i="1"/>
  <c r="GV115" i="1"/>
  <c r="HC115" i="1"/>
  <c r="GX115" i="1" s="1"/>
  <c r="AC116" i="1"/>
  <c r="H250" i="6" s="1"/>
  <c r="AE116" i="1"/>
  <c r="AD116" i="1" s="1"/>
  <c r="AF116" i="1"/>
  <c r="AG116" i="1"/>
  <c r="AH116" i="1"/>
  <c r="CV116" i="1" s="1"/>
  <c r="U116" i="1" s="1"/>
  <c r="L251" i="6" s="1"/>
  <c r="Q251" i="6" s="1"/>
  <c r="AI116" i="1"/>
  <c r="CW116" i="1" s="1"/>
  <c r="V116" i="1" s="1"/>
  <c r="AJ116" i="1"/>
  <c r="CX116" i="1" s="1"/>
  <c r="W116" i="1" s="1"/>
  <c r="CR116" i="1"/>
  <c r="Q116" i="1" s="1"/>
  <c r="CU116" i="1"/>
  <c r="T116" i="1" s="1"/>
  <c r="FR116" i="1"/>
  <c r="GL116" i="1"/>
  <c r="GO116" i="1"/>
  <c r="GP116" i="1"/>
  <c r="GV116" i="1"/>
  <c r="HC116" i="1" s="1"/>
  <c r="GX116" i="1" s="1"/>
  <c r="AC117" i="1"/>
  <c r="H252" i="6" s="1"/>
  <c r="AE117" i="1"/>
  <c r="CS117" i="1" s="1"/>
  <c r="R117" i="1" s="1"/>
  <c r="AF117" i="1"/>
  <c r="AG117" i="1"/>
  <c r="AH117" i="1"/>
  <c r="CV117" i="1" s="1"/>
  <c r="U117" i="1" s="1"/>
  <c r="L253" i="6" s="1"/>
  <c r="Q253" i="6" s="1"/>
  <c r="AI117" i="1"/>
  <c r="AJ117" i="1"/>
  <c r="CX117" i="1" s="1"/>
  <c r="W117" i="1" s="1"/>
  <c r="CU117" i="1"/>
  <c r="T117" i="1" s="1"/>
  <c r="CW117" i="1"/>
  <c r="V117" i="1" s="1"/>
  <c r="FR117" i="1"/>
  <c r="GL117" i="1"/>
  <c r="GO117" i="1"/>
  <c r="GP117" i="1"/>
  <c r="GV117" i="1"/>
  <c r="HC117" i="1"/>
  <c r="GX117" i="1" s="1"/>
  <c r="C118" i="1"/>
  <c r="D118" i="1"/>
  <c r="S118" i="1"/>
  <c r="AC118" i="1"/>
  <c r="AE118" i="1"/>
  <c r="CS118" i="1" s="1"/>
  <c r="R118" i="1" s="1"/>
  <c r="AF118" i="1"/>
  <c r="AG118" i="1"/>
  <c r="AH118" i="1"/>
  <c r="CV118" i="1" s="1"/>
  <c r="U118" i="1" s="1"/>
  <c r="AI118" i="1"/>
  <c r="AJ118" i="1"/>
  <c r="CQ118" i="1"/>
  <c r="P118" i="1" s="1"/>
  <c r="CT118" i="1"/>
  <c r="CU118" i="1"/>
  <c r="T118" i="1" s="1"/>
  <c r="CW118" i="1"/>
  <c r="V118" i="1" s="1"/>
  <c r="CX118" i="1"/>
  <c r="W118" i="1" s="1"/>
  <c r="FR118" i="1"/>
  <c r="GL118" i="1"/>
  <c r="GO118" i="1"/>
  <c r="GP118" i="1"/>
  <c r="GV118" i="1"/>
  <c r="HC118" i="1"/>
  <c r="GX118" i="1" s="1"/>
  <c r="AC119" i="1"/>
  <c r="H260" i="6" s="1"/>
  <c r="G261" i="6" s="1"/>
  <c r="O261" i="6" s="1"/>
  <c r="AE119" i="1"/>
  <c r="CR119" i="1" s="1"/>
  <c r="Q119" i="1" s="1"/>
  <c r="AF119" i="1"/>
  <c r="AG119" i="1"/>
  <c r="AH119" i="1"/>
  <c r="CV119" i="1" s="1"/>
  <c r="U119" i="1" s="1"/>
  <c r="L261" i="6" s="1"/>
  <c r="Q261" i="6" s="1"/>
  <c r="AI119" i="1"/>
  <c r="CW119" i="1" s="1"/>
  <c r="V119" i="1" s="1"/>
  <c r="AJ119" i="1"/>
  <c r="CU119" i="1"/>
  <c r="T119" i="1" s="1"/>
  <c r="CX119" i="1"/>
  <c r="W119" i="1" s="1"/>
  <c r="FR119" i="1"/>
  <c r="GL119" i="1"/>
  <c r="GO119" i="1"/>
  <c r="GP119" i="1"/>
  <c r="GV119" i="1"/>
  <c r="HC119" i="1" s="1"/>
  <c r="GX119" i="1" s="1"/>
  <c r="C120" i="1"/>
  <c r="D120" i="1"/>
  <c r="AC120" i="1"/>
  <c r="AD120" i="1"/>
  <c r="AE120" i="1"/>
  <c r="AF120" i="1"/>
  <c r="AG120" i="1"/>
  <c r="AH120" i="1"/>
  <c r="AI120" i="1"/>
  <c r="AJ120" i="1"/>
  <c r="CX120" i="1" s="1"/>
  <c r="W120" i="1" s="1"/>
  <c r="CQ120" i="1"/>
  <c r="P120" i="1" s="1"/>
  <c r="CR120" i="1"/>
  <c r="Q120" i="1" s="1"/>
  <c r="CS120" i="1"/>
  <c r="R120" i="1" s="1"/>
  <c r="CT120" i="1"/>
  <c r="S120" i="1" s="1"/>
  <c r="CU120" i="1"/>
  <c r="T120" i="1" s="1"/>
  <c r="CV120" i="1"/>
  <c r="U120" i="1" s="1"/>
  <c r="CW120" i="1"/>
  <c r="V120" i="1" s="1"/>
  <c r="FR120" i="1"/>
  <c r="GL120" i="1"/>
  <c r="GO120" i="1"/>
  <c r="GP120" i="1"/>
  <c r="GV120" i="1"/>
  <c r="HC120" i="1"/>
  <c r="GX120" i="1" s="1"/>
  <c r="W121" i="1"/>
  <c r="AC121" i="1"/>
  <c r="H268" i="6" s="1"/>
  <c r="G269" i="6" s="1"/>
  <c r="O269" i="6" s="1"/>
  <c r="AE121" i="1"/>
  <c r="AD121" i="1" s="1"/>
  <c r="AB121" i="1" s="1"/>
  <c r="AF121" i="1"/>
  <c r="AG121" i="1"/>
  <c r="AH121" i="1"/>
  <c r="AI121" i="1"/>
  <c r="AJ121" i="1"/>
  <c r="CX121" i="1" s="1"/>
  <c r="CQ121" i="1"/>
  <c r="P121" i="1" s="1"/>
  <c r="CS121" i="1"/>
  <c r="R121" i="1" s="1"/>
  <c r="CY121" i="1" s="1"/>
  <c r="X121" i="1" s="1"/>
  <c r="T268" i="6" s="1"/>
  <c r="CT121" i="1"/>
  <c r="S121" i="1" s="1"/>
  <c r="CU121" i="1"/>
  <c r="T121" i="1" s="1"/>
  <c r="CV121" i="1"/>
  <c r="U121" i="1" s="1"/>
  <c r="L269" i="6" s="1"/>
  <c r="Q269" i="6" s="1"/>
  <c r="CW121" i="1"/>
  <c r="V121" i="1" s="1"/>
  <c r="FR121" i="1"/>
  <c r="GL121" i="1"/>
  <c r="GO121" i="1"/>
  <c r="GP121" i="1"/>
  <c r="GV121" i="1"/>
  <c r="HC121" i="1"/>
  <c r="GX121" i="1" s="1"/>
  <c r="C122" i="1"/>
  <c r="D122" i="1"/>
  <c r="I122" i="1"/>
  <c r="K122" i="1"/>
  <c r="R122" i="1"/>
  <c r="K273" i="6" s="1"/>
  <c r="AC122" i="1"/>
  <c r="CQ122" i="1" s="1"/>
  <c r="P122" i="1" s="1"/>
  <c r="AE122" i="1"/>
  <c r="AF122" i="1"/>
  <c r="AG122" i="1"/>
  <c r="CU122" i="1" s="1"/>
  <c r="T122" i="1" s="1"/>
  <c r="AH122" i="1"/>
  <c r="AI122" i="1"/>
  <c r="AJ122" i="1"/>
  <c r="CX122" i="1" s="1"/>
  <c r="CS122" i="1"/>
  <c r="CV122" i="1"/>
  <c r="CW122" i="1"/>
  <c r="V122" i="1" s="1"/>
  <c r="FR122" i="1"/>
  <c r="GL122" i="1"/>
  <c r="GO122" i="1"/>
  <c r="GP122" i="1"/>
  <c r="GV122" i="1"/>
  <c r="HC122" i="1" s="1"/>
  <c r="I123" i="1"/>
  <c r="E278" i="6" s="1"/>
  <c r="AC123" i="1"/>
  <c r="AE123" i="1"/>
  <c r="AD123" i="1" s="1"/>
  <c r="AF123" i="1"/>
  <c r="AG123" i="1"/>
  <c r="CU123" i="1" s="1"/>
  <c r="AH123" i="1"/>
  <c r="AI123" i="1"/>
  <c r="CW123" i="1" s="1"/>
  <c r="AJ123" i="1"/>
  <c r="CX123" i="1" s="1"/>
  <c r="CR123" i="1"/>
  <c r="CS123" i="1"/>
  <c r="CV123" i="1"/>
  <c r="FR123" i="1"/>
  <c r="GL123" i="1"/>
  <c r="GO123" i="1"/>
  <c r="GP123" i="1"/>
  <c r="GV123" i="1"/>
  <c r="HC123" i="1" s="1"/>
  <c r="I124" i="1"/>
  <c r="E280" i="6" s="1"/>
  <c r="K124" i="1"/>
  <c r="AC124" i="1"/>
  <c r="H280" i="6" s="1"/>
  <c r="G281" i="6" s="1"/>
  <c r="O281" i="6" s="1"/>
  <c r="AD124" i="1"/>
  <c r="AE124" i="1"/>
  <c r="AF124" i="1"/>
  <c r="AG124" i="1"/>
  <c r="CU124" i="1" s="1"/>
  <c r="T124" i="1" s="1"/>
  <c r="AH124" i="1"/>
  <c r="AI124" i="1"/>
  <c r="CW124" i="1" s="1"/>
  <c r="AJ124" i="1"/>
  <c r="CX124" i="1" s="1"/>
  <c r="W124" i="1" s="1"/>
  <c r="CQ124" i="1"/>
  <c r="P124" i="1" s="1"/>
  <c r="K280" i="6" s="1"/>
  <c r="J281" i="6" s="1"/>
  <c r="P281" i="6" s="1"/>
  <c r="CR124" i="1"/>
  <c r="Q124" i="1" s="1"/>
  <c r="CS124" i="1"/>
  <c r="CT124" i="1"/>
  <c r="S124" i="1" s="1"/>
  <c r="CV124" i="1"/>
  <c r="FR124" i="1"/>
  <c r="GL124" i="1"/>
  <c r="GO124" i="1"/>
  <c r="GP124" i="1"/>
  <c r="GV124" i="1"/>
  <c r="HC124" i="1" s="1"/>
  <c r="GX124" i="1" s="1"/>
  <c r="I125" i="1"/>
  <c r="AC125" i="1"/>
  <c r="AE125" i="1"/>
  <c r="AD125" i="1" s="1"/>
  <c r="AF125" i="1"/>
  <c r="AG125" i="1"/>
  <c r="CU125" i="1" s="1"/>
  <c r="AH125" i="1"/>
  <c r="AI125" i="1"/>
  <c r="CW125" i="1" s="1"/>
  <c r="V125" i="1" s="1"/>
  <c r="AJ125" i="1"/>
  <c r="CX125" i="1" s="1"/>
  <c r="CS125" i="1"/>
  <c r="CT125" i="1"/>
  <c r="CV125" i="1"/>
  <c r="U125" i="1" s="1"/>
  <c r="L284" i="6" s="1"/>
  <c r="Q284" i="6" s="1"/>
  <c r="FR125" i="1"/>
  <c r="GL125" i="1"/>
  <c r="GO125" i="1"/>
  <c r="GP125" i="1"/>
  <c r="GV125" i="1"/>
  <c r="HC125" i="1" s="1"/>
  <c r="GX125" i="1" s="1"/>
  <c r="C126" i="1"/>
  <c r="D126" i="1"/>
  <c r="I126" i="1"/>
  <c r="K126" i="1"/>
  <c r="V126" i="1"/>
  <c r="AC126" i="1"/>
  <c r="AE126" i="1"/>
  <c r="AF126" i="1"/>
  <c r="AG126" i="1"/>
  <c r="CU126" i="1" s="1"/>
  <c r="T126" i="1" s="1"/>
  <c r="AH126" i="1"/>
  <c r="CV126" i="1" s="1"/>
  <c r="U126" i="1" s="1"/>
  <c r="AI126" i="1"/>
  <c r="CW126" i="1" s="1"/>
  <c r="AJ126" i="1"/>
  <c r="CR126" i="1"/>
  <c r="Q126" i="1" s="1"/>
  <c r="K288" i="6" s="1"/>
  <c r="CS126" i="1"/>
  <c r="R126" i="1" s="1"/>
  <c r="K289" i="6" s="1"/>
  <c r="CX126" i="1"/>
  <c r="W126" i="1" s="1"/>
  <c r="FR126" i="1"/>
  <c r="GL126" i="1"/>
  <c r="GO126" i="1"/>
  <c r="GP126" i="1"/>
  <c r="GV126" i="1"/>
  <c r="HC126" i="1" s="1"/>
  <c r="GX126" i="1" s="1"/>
  <c r="AC127" i="1"/>
  <c r="AE127" i="1"/>
  <c r="AD127" i="1" s="1"/>
  <c r="AF127" i="1"/>
  <c r="AG127" i="1"/>
  <c r="AH127" i="1"/>
  <c r="CV127" i="1" s="1"/>
  <c r="U127" i="1" s="1"/>
  <c r="L296" i="6" s="1"/>
  <c r="Q296" i="6" s="1"/>
  <c r="AI127" i="1"/>
  <c r="CW127" i="1" s="1"/>
  <c r="V127" i="1" s="1"/>
  <c r="AJ127" i="1"/>
  <c r="CX127" i="1" s="1"/>
  <c r="W127" i="1" s="1"/>
  <c r="CU127" i="1"/>
  <c r="T127" i="1" s="1"/>
  <c r="FR127" i="1"/>
  <c r="GL127" i="1"/>
  <c r="GO127" i="1"/>
  <c r="GP127" i="1"/>
  <c r="GV127" i="1"/>
  <c r="HC127" i="1"/>
  <c r="GX127" i="1" s="1"/>
  <c r="C128" i="1"/>
  <c r="D128" i="1"/>
  <c r="I128" i="1"/>
  <c r="K128" i="1"/>
  <c r="V128" i="1"/>
  <c r="AC128" i="1"/>
  <c r="AE128" i="1"/>
  <c r="AF128" i="1"/>
  <c r="AG128" i="1"/>
  <c r="CU128" i="1" s="1"/>
  <c r="T128" i="1" s="1"/>
  <c r="AH128" i="1"/>
  <c r="AI128" i="1"/>
  <c r="AJ128" i="1"/>
  <c r="CX128" i="1" s="1"/>
  <c r="W128" i="1" s="1"/>
  <c r="CQ128" i="1"/>
  <c r="P128" i="1" s="1"/>
  <c r="CV128" i="1"/>
  <c r="CW128" i="1"/>
  <c r="FR128" i="1"/>
  <c r="GL128" i="1"/>
  <c r="GO128" i="1"/>
  <c r="GP128" i="1"/>
  <c r="GV128" i="1"/>
  <c r="HC128" i="1" s="1"/>
  <c r="GX128" i="1" s="1"/>
  <c r="C129" i="1"/>
  <c r="D129" i="1"/>
  <c r="AC129" i="1"/>
  <c r="H310" i="6" s="1"/>
  <c r="AE129" i="1"/>
  <c r="AF129" i="1"/>
  <c r="AG129" i="1"/>
  <c r="CU129" i="1" s="1"/>
  <c r="T129" i="1" s="1"/>
  <c r="AH129" i="1"/>
  <c r="CV129" i="1" s="1"/>
  <c r="U129" i="1" s="1"/>
  <c r="AI129" i="1"/>
  <c r="AJ129" i="1"/>
  <c r="CX129" i="1" s="1"/>
  <c r="W129" i="1" s="1"/>
  <c r="CQ129" i="1"/>
  <c r="P129" i="1" s="1"/>
  <c r="CR129" i="1"/>
  <c r="Q129" i="1" s="1"/>
  <c r="K308" i="6" s="1"/>
  <c r="CW129" i="1"/>
  <c r="V129" i="1" s="1"/>
  <c r="FR129" i="1"/>
  <c r="GL129" i="1"/>
  <c r="GO129" i="1"/>
  <c r="GP129" i="1"/>
  <c r="GV129" i="1"/>
  <c r="HC129" i="1" s="1"/>
  <c r="GX129" i="1"/>
  <c r="I130" i="1"/>
  <c r="E314" i="6" s="1"/>
  <c r="R130" i="1"/>
  <c r="T130" i="1"/>
  <c r="AC130" i="1"/>
  <c r="AE130" i="1"/>
  <c r="AD130" i="1" s="1"/>
  <c r="AB130" i="1" s="1"/>
  <c r="AF130" i="1"/>
  <c r="AG130" i="1"/>
  <c r="CU130" i="1" s="1"/>
  <c r="AH130" i="1"/>
  <c r="CV130" i="1" s="1"/>
  <c r="U130" i="1" s="1"/>
  <c r="AI130" i="1"/>
  <c r="AJ130" i="1"/>
  <c r="CQ130" i="1"/>
  <c r="P130" i="1" s="1"/>
  <c r="CS130" i="1"/>
  <c r="CT130" i="1"/>
  <c r="S130" i="1" s="1"/>
  <c r="CW130" i="1"/>
  <c r="V130" i="1" s="1"/>
  <c r="CX130" i="1"/>
  <c r="W130" i="1" s="1"/>
  <c r="FR130" i="1"/>
  <c r="GL130" i="1"/>
  <c r="GO130" i="1"/>
  <c r="GP130" i="1"/>
  <c r="GV130" i="1"/>
  <c r="HC130" i="1" s="1"/>
  <c r="GX130" i="1" s="1"/>
  <c r="I131" i="1"/>
  <c r="E315" i="6" s="1"/>
  <c r="AC131" i="1"/>
  <c r="AE131" i="1"/>
  <c r="AD131" i="1" s="1"/>
  <c r="AF131" i="1"/>
  <c r="AG131" i="1"/>
  <c r="CU131" i="1" s="1"/>
  <c r="T131" i="1" s="1"/>
  <c r="AH131" i="1"/>
  <c r="CV131" i="1" s="1"/>
  <c r="AI131" i="1"/>
  <c r="CW131" i="1" s="1"/>
  <c r="AJ131" i="1"/>
  <c r="CX131" i="1" s="1"/>
  <c r="W131" i="1" s="1"/>
  <c r="CR131" i="1"/>
  <c r="Q131" i="1" s="1"/>
  <c r="CS131" i="1"/>
  <c r="R131" i="1" s="1"/>
  <c r="FR131" i="1"/>
  <c r="GL131" i="1"/>
  <c r="GO131" i="1"/>
  <c r="GP131" i="1"/>
  <c r="GV131" i="1"/>
  <c r="HC131" i="1" s="1"/>
  <c r="I132" i="1"/>
  <c r="E316" i="6" s="1"/>
  <c r="AC132" i="1"/>
  <c r="AE132" i="1"/>
  <c r="AF132" i="1"/>
  <c r="AG132" i="1"/>
  <c r="AH132" i="1"/>
  <c r="CV132" i="1" s="1"/>
  <c r="U132" i="1" s="1"/>
  <c r="AI132" i="1"/>
  <c r="CW132" i="1" s="1"/>
  <c r="V132" i="1" s="1"/>
  <c r="AJ132" i="1"/>
  <c r="CX132" i="1" s="1"/>
  <c r="W132" i="1" s="1"/>
  <c r="CT132" i="1"/>
  <c r="S132" i="1" s="1"/>
  <c r="CU132" i="1"/>
  <c r="T132" i="1" s="1"/>
  <c r="FR132" i="1"/>
  <c r="GL132" i="1"/>
  <c r="GO132" i="1"/>
  <c r="GP132" i="1"/>
  <c r="GV132" i="1"/>
  <c r="HC132" i="1"/>
  <c r="GX132" i="1" s="1"/>
  <c r="I133" i="1"/>
  <c r="E317" i="6" s="1"/>
  <c r="AC133" i="1"/>
  <c r="AE133" i="1"/>
  <c r="AD133" i="1" s="1"/>
  <c r="AF133" i="1"/>
  <c r="AG133" i="1"/>
  <c r="AH133" i="1"/>
  <c r="AI133" i="1"/>
  <c r="CW133" i="1" s="1"/>
  <c r="V133" i="1" s="1"/>
  <c r="AJ133" i="1"/>
  <c r="CQ133" i="1"/>
  <c r="P133" i="1" s="1"/>
  <c r="CS133" i="1"/>
  <c r="R133" i="1" s="1"/>
  <c r="CU133" i="1"/>
  <c r="T133" i="1" s="1"/>
  <c r="CV133" i="1"/>
  <c r="U133" i="1" s="1"/>
  <c r="CX133" i="1"/>
  <c r="W133" i="1" s="1"/>
  <c r="FR133" i="1"/>
  <c r="GL133" i="1"/>
  <c r="GO133" i="1"/>
  <c r="GP133" i="1"/>
  <c r="GV133" i="1"/>
  <c r="HC133" i="1" s="1"/>
  <c r="GX133" i="1" s="1"/>
  <c r="AC134" i="1"/>
  <c r="AD134" i="1"/>
  <c r="AE134" i="1"/>
  <c r="AF134" i="1"/>
  <c r="AG134" i="1"/>
  <c r="AH134" i="1"/>
  <c r="AI134" i="1"/>
  <c r="CW134" i="1" s="1"/>
  <c r="V134" i="1" s="1"/>
  <c r="AJ134" i="1"/>
  <c r="CX134" i="1" s="1"/>
  <c r="W134" i="1" s="1"/>
  <c r="CR134" i="1"/>
  <c r="Q134" i="1" s="1"/>
  <c r="CS134" i="1"/>
  <c r="R134" i="1" s="1"/>
  <c r="CT134" i="1"/>
  <c r="S134" i="1" s="1"/>
  <c r="CU134" i="1"/>
  <c r="T134" i="1" s="1"/>
  <c r="CV134" i="1"/>
  <c r="U134" i="1" s="1"/>
  <c r="L320" i="6" s="1"/>
  <c r="Q320" i="6" s="1"/>
  <c r="FR134" i="1"/>
  <c r="GL134" i="1"/>
  <c r="GO134" i="1"/>
  <c r="GP134" i="1"/>
  <c r="GV134" i="1"/>
  <c r="HC134" i="1" s="1"/>
  <c r="GX134" i="1" s="1"/>
  <c r="I135" i="1"/>
  <c r="E321" i="6" s="1"/>
  <c r="K135" i="1"/>
  <c r="AC135" i="1"/>
  <c r="H321" i="6" s="1"/>
  <c r="AE135" i="1"/>
  <c r="CS135" i="1" s="1"/>
  <c r="R135" i="1" s="1"/>
  <c r="AF135" i="1"/>
  <c r="AG135" i="1"/>
  <c r="CU135" i="1" s="1"/>
  <c r="AH135" i="1"/>
  <c r="AI135" i="1"/>
  <c r="CW135" i="1" s="1"/>
  <c r="V135" i="1" s="1"/>
  <c r="AJ135" i="1"/>
  <c r="CX135" i="1" s="1"/>
  <c r="CT135" i="1"/>
  <c r="CV135" i="1"/>
  <c r="U135" i="1" s="1"/>
  <c r="L322" i="6" s="1"/>
  <c r="Q322" i="6" s="1"/>
  <c r="FR135" i="1"/>
  <c r="GL135" i="1"/>
  <c r="GO135" i="1"/>
  <c r="GP135" i="1"/>
  <c r="GV135" i="1"/>
  <c r="HC135" i="1"/>
  <c r="GX135" i="1" s="1"/>
  <c r="C136" i="1"/>
  <c r="D136" i="1"/>
  <c r="I136" i="1"/>
  <c r="E323" i="6" s="1"/>
  <c r="K136" i="1"/>
  <c r="AC136" i="1"/>
  <c r="AE136" i="1"/>
  <c r="AF136" i="1"/>
  <c r="AG136" i="1"/>
  <c r="CU136" i="1" s="1"/>
  <c r="T136" i="1" s="1"/>
  <c r="AH136" i="1"/>
  <c r="AI136" i="1"/>
  <c r="CW136" i="1" s="1"/>
  <c r="V136" i="1" s="1"/>
  <c r="AJ136" i="1"/>
  <c r="CX136" i="1" s="1"/>
  <c r="W136" i="1" s="1"/>
  <c r="CR136" i="1"/>
  <c r="Q136" i="1" s="1"/>
  <c r="K325" i="6" s="1"/>
  <c r="CV136" i="1"/>
  <c r="U136" i="1" s="1"/>
  <c r="FR136" i="1"/>
  <c r="GL136" i="1"/>
  <c r="GO136" i="1"/>
  <c r="GP136" i="1"/>
  <c r="GV136" i="1"/>
  <c r="HC136" i="1" s="1"/>
  <c r="GX136" i="1" s="1"/>
  <c r="I137" i="1"/>
  <c r="E331" i="6" s="1"/>
  <c r="AC137" i="1"/>
  <c r="H331" i="6" s="1"/>
  <c r="W331" i="6" s="1"/>
  <c r="AE137" i="1"/>
  <c r="AF137" i="1"/>
  <c r="AG137" i="1"/>
  <c r="CU137" i="1" s="1"/>
  <c r="T137" i="1" s="1"/>
  <c r="AH137" i="1"/>
  <c r="CV137" i="1" s="1"/>
  <c r="U137" i="1" s="1"/>
  <c r="AI137" i="1"/>
  <c r="CW137" i="1" s="1"/>
  <c r="AJ137" i="1"/>
  <c r="CX137" i="1" s="1"/>
  <c r="W137" i="1" s="1"/>
  <c r="CQ137" i="1"/>
  <c r="P137" i="1" s="1"/>
  <c r="CT137" i="1"/>
  <c r="S137" i="1" s="1"/>
  <c r="FR137" i="1"/>
  <c r="GL137" i="1"/>
  <c r="GO137" i="1"/>
  <c r="GP137" i="1"/>
  <c r="GV137" i="1"/>
  <c r="HC137" i="1" s="1"/>
  <c r="GX137" i="1" s="1"/>
  <c r="I138" i="1"/>
  <c r="E333" i="6" s="1"/>
  <c r="K138" i="1"/>
  <c r="AC138" i="1"/>
  <c r="H333" i="6" s="1"/>
  <c r="AE138" i="1"/>
  <c r="AD138" i="1" s="1"/>
  <c r="AF138" i="1"/>
  <c r="AG138" i="1"/>
  <c r="AH138" i="1"/>
  <c r="CV138" i="1" s="1"/>
  <c r="U138" i="1" s="1"/>
  <c r="L334" i="6" s="1"/>
  <c r="Q334" i="6" s="1"/>
  <c r="AI138" i="1"/>
  <c r="CW138" i="1" s="1"/>
  <c r="V138" i="1" s="1"/>
  <c r="AJ138" i="1"/>
  <c r="CX138" i="1" s="1"/>
  <c r="W138" i="1" s="1"/>
  <c r="CT138" i="1"/>
  <c r="S138" i="1" s="1"/>
  <c r="CU138" i="1"/>
  <c r="T138" i="1" s="1"/>
  <c r="FR138" i="1"/>
  <c r="GL138" i="1"/>
  <c r="GO138" i="1"/>
  <c r="GP138" i="1"/>
  <c r="GV138" i="1"/>
  <c r="HC138" i="1" s="1"/>
  <c r="GX138" i="1" s="1"/>
  <c r="C139" i="1"/>
  <c r="D139" i="1"/>
  <c r="AC139" i="1"/>
  <c r="H339" i="6" s="1"/>
  <c r="AE139" i="1"/>
  <c r="AF139" i="1"/>
  <c r="AG139" i="1"/>
  <c r="CU139" i="1" s="1"/>
  <c r="T139" i="1" s="1"/>
  <c r="AH139" i="1"/>
  <c r="AI139" i="1"/>
  <c r="CW139" i="1" s="1"/>
  <c r="V139" i="1" s="1"/>
  <c r="AJ139" i="1"/>
  <c r="CQ139" i="1"/>
  <c r="P139" i="1" s="1"/>
  <c r="K339" i="6" s="1"/>
  <c r="CV139" i="1"/>
  <c r="U139" i="1" s="1"/>
  <c r="CX139" i="1"/>
  <c r="W139" i="1" s="1"/>
  <c r="FR139" i="1"/>
  <c r="GL139" i="1"/>
  <c r="GO139" i="1"/>
  <c r="GP139" i="1"/>
  <c r="GV139" i="1"/>
  <c r="HC139" i="1" s="1"/>
  <c r="GX139" i="1" s="1"/>
  <c r="I140" i="1"/>
  <c r="E344" i="6" s="1"/>
  <c r="K140" i="1"/>
  <c r="R140" i="1"/>
  <c r="AC140" i="1"/>
  <c r="H344" i="6" s="1"/>
  <c r="AD140" i="1"/>
  <c r="AB140" i="1" s="1"/>
  <c r="AE140" i="1"/>
  <c r="AF140" i="1"/>
  <c r="AG140" i="1"/>
  <c r="CU140" i="1" s="1"/>
  <c r="T140" i="1" s="1"/>
  <c r="AH140" i="1"/>
  <c r="AI140" i="1"/>
  <c r="AJ140" i="1"/>
  <c r="CX140" i="1" s="1"/>
  <c r="CR140" i="1"/>
  <c r="Q140" i="1" s="1"/>
  <c r="CS140" i="1"/>
  <c r="CT140" i="1"/>
  <c r="S140" i="1" s="1"/>
  <c r="CV140" i="1"/>
  <c r="U140" i="1" s="1"/>
  <c r="L345" i="6" s="1"/>
  <c r="Q345" i="6" s="1"/>
  <c r="CW140" i="1"/>
  <c r="V140" i="1" s="1"/>
  <c r="FR140" i="1"/>
  <c r="GL140" i="1"/>
  <c r="GO140" i="1"/>
  <c r="GP140" i="1"/>
  <c r="GV140" i="1"/>
  <c r="HC140" i="1" s="1"/>
  <c r="GX140" i="1" s="1"/>
  <c r="R141" i="1"/>
  <c r="AC141" i="1"/>
  <c r="AD141" i="1"/>
  <c r="AE141" i="1"/>
  <c r="AF141" i="1"/>
  <c r="AG141" i="1"/>
  <c r="CU141" i="1" s="1"/>
  <c r="T141" i="1" s="1"/>
  <c r="AH141" i="1"/>
  <c r="AI141" i="1"/>
  <c r="AJ141" i="1"/>
  <c r="CX141" i="1" s="1"/>
  <c r="W141" i="1" s="1"/>
  <c r="CR141" i="1"/>
  <c r="Q141" i="1" s="1"/>
  <c r="CS141" i="1"/>
  <c r="CV141" i="1"/>
  <c r="U141" i="1" s="1"/>
  <c r="L347" i="6" s="1"/>
  <c r="Q347" i="6" s="1"/>
  <c r="CW141" i="1"/>
  <c r="V141" i="1" s="1"/>
  <c r="FR141" i="1"/>
  <c r="GL141" i="1"/>
  <c r="GO141" i="1"/>
  <c r="GP141" i="1"/>
  <c r="GV141" i="1"/>
  <c r="HC141" i="1" s="1"/>
  <c r="GX141" i="1" s="1"/>
  <c r="I142" i="1"/>
  <c r="K142" i="1"/>
  <c r="O142" i="1"/>
  <c r="P142" i="1"/>
  <c r="Q142" i="1"/>
  <c r="R142" i="1"/>
  <c r="S142" i="1"/>
  <c r="T142" i="1"/>
  <c r="U142" i="1"/>
  <c r="L349" i="6" s="1"/>
  <c r="Q349" i="6" s="1"/>
  <c r="V142" i="1"/>
  <c r="W142" i="1"/>
  <c r="X142" i="1"/>
  <c r="T348" i="6" s="1"/>
  <c r="Y142" i="1"/>
  <c r="V348" i="6" s="1"/>
  <c r="AB142" i="1"/>
  <c r="AC142" i="1"/>
  <c r="AD142" i="1"/>
  <c r="AE142" i="1"/>
  <c r="AF142" i="1"/>
  <c r="AG142" i="1"/>
  <c r="AH142" i="1"/>
  <c r="AI142" i="1"/>
  <c r="AJ142" i="1"/>
  <c r="FR142" i="1"/>
  <c r="GL142" i="1"/>
  <c r="GO142" i="1"/>
  <c r="GP142" i="1"/>
  <c r="GV142" i="1"/>
  <c r="GX142" i="1"/>
  <c r="I143" i="1"/>
  <c r="K143" i="1"/>
  <c r="O143" i="1"/>
  <c r="P143" i="1"/>
  <c r="Q143" i="1"/>
  <c r="R143" i="1"/>
  <c r="S143" i="1"/>
  <c r="T143" i="1"/>
  <c r="U143" i="1"/>
  <c r="L351" i="6" s="1"/>
  <c r="Q351" i="6" s="1"/>
  <c r="V143" i="1"/>
  <c r="W143" i="1"/>
  <c r="X143" i="1"/>
  <c r="T350" i="6" s="1"/>
  <c r="Y143" i="1"/>
  <c r="V350" i="6" s="1"/>
  <c r="AB143" i="1"/>
  <c r="AC143" i="1"/>
  <c r="AD143" i="1"/>
  <c r="AE143" i="1"/>
  <c r="AF143" i="1"/>
  <c r="AG143" i="1"/>
  <c r="AH143" i="1"/>
  <c r="AI143" i="1"/>
  <c r="AJ143" i="1"/>
  <c r="FR143" i="1"/>
  <c r="GL143" i="1"/>
  <c r="GO143" i="1"/>
  <c r="GP143" i="1"/>
  <c r="GV143" i="1"/>
  <c r="GX143" i="1"/>
  <c r="O144" i="1"/>
  <c r="P144" i="1"/>
  <c r="Q144" i="1"/>
  <c r="R144" i="1"/>
  <c r="S144" i="1"/>
  <c r="T144" i="1"/>
  <c r="U144" i="1"/>
  <c r="L354" i="6" s="1"/>
  <c r="Q354" i="6" s="1"/>
  <c r="V144" i="1"/>
  <c r="W144" i="1"/>
  <c r="X144" i="1"/>
  <c r="T352" i="6" s="1"/>
  <c r="Y144" i="1"/>
  <c r="V352" i="6" s="1"/>
  <c r="AB144" i="1"/>
  <c r="AC144" i="1"/>
  <c r="AD144" i="1"/>
  <c r="AE144" i="1"/>
  <c r="AF144" i="1"/>
  <c r="AG144" i="1"/>
  <c r="AH144" i="1"/>
  <c r="AI144" i="1"/>
  <c r="AJ144" i="1"/>
  <c r="FR144" i="1"/>
  <c r="GL144" i="1"/>
  <c r="GO144" i="1"/>
  <c r="GP144" i="1"/>
  <c r="GV144" i="1"/>
  <c r="GX144" i="1"/>
  <c r="B146" i="1"/>
  <c r="B98" i="1" s="1"/>
  <c r="C146" i="1"/>
  <c r="C98" i="1" s="1"/>
  <c r="D146" i="1"/>
  <c r="D98" i="1" s="1"/>
  <c r="F146" i="1"/>
  <c r="F98" i="1" s="1"/>
  <c r="G146" i="1"/>
  <c r="BX146" i="1"/>
  <c r="BX98" i="1" s="1"/>
  <c r="CK146" i="1"/>
  <c r="CK98" i="1" s="1"/>
  <c r="CL146" i="1"/>
  <c r="BC146" i="1" s="1"/>
  <c r="B176" i="1"/>
  <c r="B22" i="1" s="1"/>
  <c r="C176" i="1"/>
  <c r="C22" i="1" s="1"/>
  <c r="D176" i="1"/>
  <c r="D22" i="1" s="1"/>
  <c r="F176" i="1"/>
  <c r="F22" i="1" s="1"/>
  <c r="G176" i="1"/>
  <c r="G22" i="1" s="1"/>
  <c r="B206" i="1"/>
  <c r="B18" i="1" s="1"/>
  <c r="C206" i="1"/>
  <c r="C18" i="1" s="1"/>
  <c r="D206" i="1"/>
  <c r="D18" i="1" s="1"/>
  <c r="F206" i="1"/>
  <c r="F18" i="1" s="1"/>
  <c r="G206" i="1"/>
  <c r="G18" i="1" s="1"/>
  <c r="B20" i="2"/>
  <c r="B21" i="2"/>
  <c r="B22" i="2"/>
  <c r="B23" i="2"/>
  <c r="B24" i="2"/>
  <c r="B25" i="2"/>
  <c r="B26" i="2"/>
  <c r="B27" i="2"/>
  <c r="B28" i="2"/>
  <c r="B29" i="2"/>
  <c r="B30" i="2"/>
  <c r="B32" i="2"/>
  <c r="B33" i="2"/>
  <c r="B35" i="2"/>
  <c r="B36" i="2"/>
  <c r="B37" i="2"/>
  <c r="B39" i="2"/>
  <c r="B40" i="2"/>
  <c r="B41" i="2"/>
  <c r="B42" i="2"/>
  <c r="B43" i="2"/>
  <c r="B44" i="2"/>
  <c r="B45" i="2"/>
  <c r="B46" i="2"/>
  <c r="G100" i="6" l="1"/>
  <c r="O100" i="6" s="1"/>
  <c r="W98" i="6"/>
  <c r="K274" i="6"/>
  <c r="DG48" i="3"/>
  <c r="DF48" i="3"/>
  <c r="DI48" i="3"/>
  <c r="DJ48" i="3" s="1"/>
  <c r="DH48" i="3"/>
  <c r="L342" i="6"/>
  <c r="L343" i="6"/>
  <c r="Q343" i="6" s="1"/>
  <c r="L217" i="6"/>
  <c r="Q217" i="6" s="1"/>
  <c r="L216" i="6"/>
  <c r="L293" i="6"/>
  <c r="L294" i="6"/>
  <c r="Q294" i="6" s="1"/>
  <c r="CY107" i="1"/>
  <c r="X107" i="1" s="1"/>
  <c r="T220" i="6" s="1"/>
  <c r="CP129" i="1"/>
  <c r="O129" i="1" s="1"/>
  <c r="K310" i="6"/>
  <c r="CZ121" i="1"/>
  <c r="Y121" i="1" s="1"/>
  <c r="V268" i="6" s="1"/>
  <c r="L332" i="6"/>
  <c r="Q332" i="6" s="1"/>
  <c r="L330" i="6"/>
  <c r="AB134" i="1"/>
  <c r="H319" i="6"/>
  <c r="H271" i="6"/>
  <c r="R271" i="6" s="1"/>
  <c r="S270" i="6"/>
  <c r="U270" i="6"/>
  <c r="CQ102" i="1"/>
  <c r="P102" i="1" s="1"/>
  <c r="K199" i="6" s="1"/>
  <c r="H199" i="6"/>
  <c r="H188" i="6"/>
  <c r="U186" i="6"/>
  <c r="H191" i="6" s="1"/>
  <c r="S186" i="6"/>
  <c r="H190" i="6" s="1"/>
  <c r="S184" i="6"/>
  <c r="U184" i="6"/>
  <c r="U157" i="6"/>
  <c r="H163" i="6" s="1"/>
  <c r="S157" i="6"/>
  <c r="H162" i="6" s="1"/>
  <c r="H158" i="6"/>
  <c r="L140" i="6"/>
  <c r="L141" i="6"/>
  <c r="Q141" i="6" s="1"/>
  <c r="AD53" i="1"/>
  <c r="AB53" i="1" s="1"/>
  <c r="CR53" i="1"/>
  <c r="AD51" i="1"/>
  <c r="AB51" i="1" s="1"/>
  <c r="CR51" i="1"/>
  <c r="CS44" i="1"/>
  <c r="R44" i="1" s="1"/>
  <c r="AD44" i="1"/>
  <c r="AB44" i="1" s="1"/>
  <c r="CR44" i="1"/>
  <c r="Q44" i="1" s="1"/>
  <c r="H89" i="6"/>
  <c r="S88" i="6"/>
  <c r="H91" i="6" s="1"/>
  <c r="U88" i="6"/>
  <c r="H92" i="6" s="1"/>
  <c r="CT42" i="1"/>
  <c r="S42" i="1" s="1"/>
  <c r="AD37" i="1"/>
  <c r="H74" i="6"/>
  <c r="H75" i="6"/>
  <c r="R75" i="6" s="1"/>
  <c r="CR37" i="1"/>
  <c r="Q37" i="1" s="1"/>
  <c r="K74" i="6" s="1"/>
  <c r="CS37" i="1"/>
  <c r="DG165" i="3"/>
  <c r="DF165" i="3"/>
  <c r="DI147" i="3"/>
  <c r="DJ147" i="3" s="1"/>
  <c r="DH147" i="3"/>
  <c r="CP144" i="1"/>
  <c r="U344" i="6"/>
  <c r="S344" i="6"/>
  <c r="H338" i="6"/>
  <c r="R338" i="6" s="1"/>
  <c r="H337" i="6"/>
  <c r="CS138" i="1"/>
  <c r="R138" i="1" s="1"/>
  <c r="G334" i="6"/>
  <c r="O334" i="6" s="1"/>
  <c r="W334" i="6"/>
  <c r="AD136" i="1"/>
  <c r="H326" i="6"/>
  <c r="R326" i="6" s="1"/>
  <c r="H325" i="6"/>
  <c r="CQ135" i="1"/>
  <c r="P135" i="1" s="1"/>
  <c r="K321" i="6" s="1"/>
  <c r="J322" i="6" s="1"/>
  <c r="P322" i="6" s="1"/>
  <c r="E297" i="6"/>
  <c r="C298" i="6"/>
  <c r="CR125" i="1"/>
  <c r="Q125" i="1" s="1"/>
  <c r="H282" i="6"/>
  <c r="V124" i="1"/>
  <c r="H272" i="6"/>
  <c r="H273" i="6"/>
  <c r="R273" i="6" s="1"/>
  <c r="CQ116" i="1"/>
  <c r="P116" i="1" s="1"/>
  <c r="CT112" i="1"/>
  <c r="S112" i="1" s="1"/>
  <c r="U237" i="6"/>
  <c r="S237" i="6"/>
  <c r="CT110" i="1"/>
  <c r="L234" i="6"/>
  <c r="Q234" i="6" s="1"/>
  <c r="L232" i="6"/>
  <c r="V109" i="1"/>
  <c r="E224" i="6"/>
  <c r="C225" i="6"/>
  <c r="CR107" i="1"/>
  <c r="Q107" i="1" s="1"/>
  <c r="CT101" i="1"/>
  <c r="S101" i="1" s="1"/>
  <c r="K188" i="6" s="1"/>
  <c r="AD101" i="1"/>
  <c r="AB101" i="1" s="1"/>
  <c r="H189" i="6"/>
  <c r="CP63" i="1"/>
  <c r="GN63" i="1" s="1"/>
  <c r="H173" i="6"/>
  <c r="CR60" i="1"/>
  <c r="Q60" i="1" s="1"/>
  <c r="AD59" i="1"/>
  <c r="H159" i="6"/>
  <c r="H160" i="6"/>
  <c r="R160" i="6" s="1"/>
  <c r="CR59" i="1"/>
  <c r="Q59" i="1" s="1"/>
  <c r="K159" i="6" s="1"/>
  <c r="CS59" i="1"/>
  <c r="CR57" i="1"/>
  <c r="T54" i="1"/>
  <c r="CQ53" i="1"/>
  <c r="CS51" i="1"/>
  <c r="CT38" i="1"/>
  <c r="U32" i="1"/>
  <c r="L56" i="6" s="1"/>
  <c r="Q56" i="6" s="1"/>
  <c r="V31" i="1"/>
  <c r="U350" i="6"/>
  <c r="S350" i="6"/>
  <c r="E350" i="6"/>
  <c r="CC146" i="1"/>
  <c r="G251" i="6"/>
  <c r="O251" i="6" s="1"/>
  <c r="W251" i="6"/>
  <c r="CP115" i="1"/>
  <c r="O115" i="1" s="1"/>
  <c r="K248" i="6"/>
  <c r="J249" i="6" s="1"/>
  <c r="P249" i="6" s="1"/>
  <c r="BC66" i="1"/>
  <c r="BC26" i="1" s="1"/>
  <c r="CL26" i="1"/>
  <c r="U95" i="6"/>
  <c r="S95" i="6"/>
  <c r="CT43" i="1"/>
  <c r="S43" i="1" s="1"/>
  <c r="CZ43" i="1" s="1"/>
  <c r="Y43" i="1" s="1"/>
  <c r="V95" i="6" s="1"/>
  <c r="C52" i="6"/>
  <c r="E51" i="6"/>
  <c r="L49" i="6"/>
  <c r="L50" i="6"/>
  <c r="Q50" i="6" s="1"/>
  <c r="CS139" i="1"/>
  <c r="R139" i="1" s="1"/>
  <c r="K338" i="6" s="1"/>
  <c r="CR138" i="1"/>
  <c r="Q138" i="1" s="1"/>
  <c r="V137" i="1"/>
  <c r="CS136" i="1"/>
  <c r="R136" i="1" s="1"/>
  <c r="K326" i="6" s="1"/>
  <c r="CQ136" i="1"/>
  <c r="P136" i="1" s="1"/>
  <c r="K327" i="6" s="1"/>
  <c r="H327" i="6"/>
  <c r="W135" i="1"/>
  <c r="S316" i="6"/>
  <c r="U316" i="6"/>
  <c r="V131" i="1"/>
  <c r="S314" i="6"/>
  <c r="U314" i="6"/>
  <c r="L318" i="6"/>
  <c r="Q318" i="6" s="1"/>
  <c r="L313" i="6"/>
  <c r="CT127" i="1"/>
  <c r="S127" i="1" s="1"/>
  <c r="U295" i="6"/>
  <c r="S295" i="6"/>
  <c r="CQ125" i="1"/>
  <c r="U124" i="1"/>
  <c r="L281" i="6" s="1"/>
  <c r="Q281" i="6" s="1"/>
  <c r="CR122" i="1"/>
  <c r="AD122" i="1"/>
  <c r="AB122" i="1" s="1"/>
  <c r="L266" i="6"/>
  <c r="L267" i="6"/>
  <c r="Q267" i="6" s="1"/>
  <c r="CT119" i="1"/>
  <c r="S119" i="1" s="1"/>
  <c r="U260" i="6"/>
  <c r="S260" i="6"/>
  <c r="H255" i="6"/>
  <c r="S254" i="6"/>
  <c r="H256" i="6" s="1"/>
  <c r="U254" i="6"/>
  <c r="H257" i="6" s="1"/>
  <c r="CT117" i="1"/>
  <c r="S117" i="1" s="1"/>
  <c r="CY117" i="1" s="1"/>
  <c r="X117" i="1" s="1"/>
  <c r="T252" i="6" s="1"/>
  <c r="U252" i="6"/>
  <c r="S252" i="6"/>
  <c r="AB112" i="1"/>
  <c r="AB110" i="1"/>
  <c r="T109" i="1"/>
  <c r="U218" i="6"/>
  <c r="S218" i="6"/>
  <c r="CT104" i="1"/>
  <c r="CQ104" i="1"/>
  <c r="CS101" i="1"/>
  <c r="R101" i="1" s="1"/>
  <c r="P101" i="1"/>
  <c r="CT100" i="1"/>
  <c r="S100" i="1" s="1"/>
  <c r="CQ100" i="1"/>
  <c r="P100" i="1" s="1"/>
  <c r="K184" i="6" s="1"/>
  <c r="J185" i="6" s="1"/>
  <c r="P185" i="6" s="1"/>
  <c r="H184" i="6"/>
  <c r="T59" i="1"/>
  <c r="E144" i="6"/>
  <c r="C145" i="6"/>
  <c r="I58" i="1"/>
  <c r="W54" i="1"/>
  <c r="CS53" i="1"/>
  <c r="L113" i="6"/>
  <c r="L114" i="6"/>
  <c r="Q114" i="6" s="1"/>
  <c r="AD41" i="1"/>
  <c r="CS41" i="1"/>
  <c r="R41" i="1" s="1"/>
  <c r="CY41" i="1" s="1"/>
  <c r="X41" i="1" s="1"/>
  <c r="T86" i="6" s="1"/>
  <c r="H84" i="6"/>
  <c r="CQ40" i="1"/>
  <c r="P40" i="1" s="1"/>
  <c r="K84" i="6" s="1"/>
  <c r="J85" i="6" s="1"/>
  <c r="P85" i="6" s="1"/>
  <c r="S82" i="6"/>
  <c r="U82" i="6"/>
  <c r="U31" i="1"/>
  <c r="L53" i="6" s="1"/>
  <c r="Q53" i="6" s="1"/>
  <c r="DI166" i="3"/>
  <c r="DJ166" i="3" s="1"/>
  <c r="DI165" i="3"/>
  <c r="DJ165" i="3" s="1"/>
  <c r="DG148" i="3"/>
  <c r="DJ148" i="3" s="1"/>
  <c r="DH148" i="3"/>
  <c r="DI148" i="3"/>
  <c r="CT139" i="1"/>
  <c r="S139" i="1" s="1"/>
  <c r="K336" i="6" s="1"/>
  <c r="S335" i="6"/>
  <c r="H340" i="6" s="1"/>
  <c r="H336" i="6"/>
  <c r="U335" i="6"/>
  <c r="H341" i="6" s="1"/>
  <c r="CT136" i="1"/>
  <c r="S136" i="1" s="1"/>
  <c r="K324" i="6" s="1"/>
  <c r="U323" i="6"/>
  <c r="S323" i="6"/>
  <c r="H324" i="6"/>
  <c r="R324" i="6" s="1"/>
  <c r="CQ134" i="1"/>
  <c r="P134" i="1" s="1"/>
  <c r="L259" i="6"/>
  <c r="Q259" i="6" s="1"/>
  <c r="L258" i="6"/>
  <c r="U317" i="6"/>
  <c r="S317" i="6"/>
  <c r="W125" i="1"/>
  <c r="E282" i="6"/>
  <c r="C283" i="6"/>
  <c r="U268" i="6"/>
  <c r="S268" i="6"/>
  <c r="CT114" i="1"/>
  <c r="S114" i="1" s="1"/>
  <c r="U241" i="6"/>
  <c r="H245" i="6" s="1"/>
  <c r="S241" i="6"/>
  <c r="H244" i="6" s="1"/>
  <c r="H242" i="6"/>
  <c r="AB104" i="1"/>
  <c r="C195" i="6"/>
  <c r="E194" i="6"/>
  <c r="DH165" i="3"/>
  <c r="S346" i="6"/>
  <c r="U346" i="6"/>
  <c r="CQ140" i="1"/>
  <c r="P140" i="1" s="1"/>
  <c r="H316" i="6"/>
  <c r="W316" i="6" s="1"/>
  <c r="CR130" i="1"/>
  <c r="Q130" i="1" s="1"/>
  <c r="U306" i="6"/>
  <c r="S306" i="6"/>
  <c r="H307" i="6"/>
  <c r="R307" i="6" s="1"/>
  <c r="H299" i="6"/>
  <c r="U297" i="6"/>
  <c r="H303" i="6" s="1"/>
  <c r="S297" i="6"/>
  <c r="H302" i="6" s="1"/>
  <c r="CS127" i="1"/>
  <c r="R127" i="1" s="1"/>
  <c r="CQ127" i="1"/>
  <c r="P127" i="1" s="1"/>
  <c r="H295" i="6"/>
  <c r="C286" i="6"/>
  <c r="E285" i="6"/>
  <c r="U280" i="6"/>
  <c r="S280" i="6"/>
  <c r="CT123" i="1"/>
  <c r="U278" i="6"/>
  <c r="S278" i="6"/>
  <c r="CZ120" i="1"/>
  <c r="Y120" i="1" s="1"/>
  <c r="V262" i="6" s="1"/>
  <c r="K265" i="6" s="1"/>
  <c r="K263" i="6"/>
  <c r="U262" i="6"/>
  <c r="H265" i="6" s="1"/>
  <c r="S262" i="6"/>
  <c r="H264" i="6" s="1"/>
  <c r="H263" i="6"/>
  <c r="CS119" i="1"/>
  <c r="R119" i="1" s="1"/>
  <c r="AD119" i="1"/>
  <c r="CR118" i="1"/>
  <c r="Q118" i="1" s="1"/>
  <c r="AD118" i="1"/>
  <c r="G253" i="6"/>
  <c r="O253" i="6" s="1"/>
  <c r="W253" i="6"/>
  <c r="CQ112" i="1"/>
  <c r="P112" i="1" s="1"/>
  <c r="H227" i="6"/>
  <c r="H228" i="6"/>
  <c r="R228" i="6" s="1"/>
  <c r="CQ106" i="1"/>
  <c r="P106" i="1" s="1"/>
  <c r="K218" i="6" s="1"/>
  <c r="J219" i="6" s="1"/>
  <c r="P219" i="6" s="1"/>
  <c r="H218" i="6"/>
  <c r="W60" i="1"/>
  <c r="E166" i="6"/>
  <c r="L165" i="6"/>
  <c r="Q165" i="6" s="1"/>
  <c r="L164" i="6"/>
  <c r="T58" i="1"/>
  <c r="L154" i="6"/>
  <c r="Q154" i="6" s="1"/>
  <c r="L152" i="6"/>
  <c r="G143" i="6"/>
  <c r="O143" i="6" s="1"/>
  <c r="W143" i="6"/>
  <c r="CZ41" i="1"/>
  <c r="Y41" i="1" s="1"/>
  <c r="V86" i="6" s="1"/>
  <c r="G83" i="6"/>
  <c r="O83" i="6" s="1"/>
  <c r="W83" i="6"/>
  <c r="GX37" i="1"/>
  <c r="U69" i="6"/>
  <c r="S69" i="6"/>
  <c r="S51" i="6"/>
  <c r="U51" i="6"/>
  <c r="DG174" i="3"/>
  <c r="DF174" i="3"/>
  <c r="DJ174" i="3" s="1"/>
  <c r="DH174" i="3"/>
  <c r="DI174" i="3"/>
  <c r="DG47" i="3"/>
  <c r="DF47" i="3"/>
  <c r="DJ47" i="3" s="1"/>
  <c r="DH47" i="3"/>
  <c r="W261" i="6"/>
  <c r="G322" i="6"/>
  <c r="O322" i="6" s="1"/>
  <c r="W322" i="6"/>
  <c r="BC176" i="1"/>
  <c r="CT133" i="1"/>
  <c r="S133" i="1" s="1"/>
  <c r="G238" i="6"/>
  <c r="O238" i="6" s="1"/>
  <c r="W238" i="6"/>
  <c r="CP44" i="1"/>
  <c r="O44" i="1" s="1"/>
  <c r="GN44" i="1" s="1"/>
  <c r="K97" i="6"/>
  <c r="J98" i="6" s="1"/>
  <c r="P98" i="6" s="1"/>
  <c r="L40" i="6"/>
  <c r="Q40" i="6" s="1"/>
  <c r="L39" i="6"/>
  <c r="S348" i="6"/>
  <c r="E348" i="6"/>
  <c r="U348" i="6"/>
  <c r="CT141" i="1"/>
  <c r="S141" i="1" s="1"/>
  <c r="W140" i="1"/>
  <c r="S331" i="6"/>
  <c r="U331" i="6"/>
  <c r="CZ134" i="1"/>
  <c r="Y134" i="1" s="1"/>
  <c r="V319" i="6" s="1"/>
  <c r="S319" i="6"/>
  <c r="U319" i="6"/>
  <c r="CR133" i="1"/>
  <c r="Q133" i="1" s="1"/>
  <c r="CP133" i="1" s="1"/>
  <c r="O133" i="1" s="1"/>
  <c r="K317" i="6" s="1"/>
  <c r="CQ132" i="1"/>
  <c r="P132" i="1" s="1"/>
  <c r="CT131" i="1"/>
  <c r="S131" i="1" s="1"/>
  <c r="CP131" i="1" s="1"/>
  <c r="O131" i="1" s="1"/>
  <c r="K315" i="6" s="1"/>
  <c r="U315" i="6"/>
  <c r="S315" i="6"/>
  <c r="CP130" i="1"/>
  <c r="O130" i="1" s="1"/>
  <c r="K314" i="6" s="1"/>
  <c r="H314" i="6"/>
  <c r="W314" i="6" s="1"/>
  <c r="CT129" i="1"/>
  <c r="S129" i="1" s="1"/>
  <c r="CS129" i="1"/>
  <c r="R129" i="1" s="1"/>
  <c r="K309" i="6" s="1"/>
  <c r="H309" i="6"/>
  <c r="R309" i="6" s="1"/>
  <c r="H308" i="6"/>
  <c r="AD128" i="1"/>
  <c r="AB128" i="1" s="1"/>
  <c r="H300" i="6"/>
  <c r="H301" i="6"/>
  <c r="R301" i="6" s="1"/>
  <c r="CR127" i="1"/>
  <c r="Q127" i="1" s="1"/>
  <c r="CT126" i="1"/>
  <c r="S126" i="1" s="1"/>
  <c r="K287" i="6" s="1"/>
  <c r="U285" i="6"/>
  <c r="H292" i="6" s="1"/>
  <c r="S285" i="6"/>
  <c r="H291" i="6" s="1"/>
  <c r="H287" i="6"/>
  <c r="R124" i="1"/>
  <c r="CZ124" i="1" s="1"/>
  <c r="Y124" i="1" s="1"/>
  <c r="V280" i="6" s="1"/>
  <c r="AB123" i="1"/>
  <c r="CR121" i="1"/>
  <c r="Q121" i="1" s="1"/>
  <c r="CP118" i="1"/>
  <c r="O118" i="1" s="1"/>
  <c r="CQ117" i="1"/>
  <c r="P117" i="1" s="1"/>
  <c r="K252" i="6" s="1"/>
  <c r="J253" i="6" s="1"/>
  <c r="P253" i="6" s="1"/>
  <c r="CT115" i="1"/>
  <c r="S115" i="1" s="1"/>
  <c r="CY115" i="1" s="1"/>
  <c r="X115" i="1" s="1"/>
  <c r="T248" i="6" s="1"/>
  <c r="U248" i="6"/>
  <c r="S248" i="6"/>
  <c r="CS114" i="1"/>
  <c r="R114" i="1" s="1"/>
  <c r="AD114" i="1"/>
  <c r="G240" i="6"/>
  <c r="O240" i="6" s="1"/>
  <c r="W240" i="6"/>
  <c r="CR111" i="1"/>
  <c r="Q111" i="1" s="1"/>
  <c r="W236" i="6"/>
  <c r="G236" i="6"/>
  <c r="O236" i="6" s="1"/>
  <c r="CR109" i="1"/>
  <c r="Q109" i="1" s="1"/>
  <c r="AD109" i="1"/>
  <c r="U222" i="6"/>
  <c r="S222" i="6"/>
  <c r="CR106" i="1"/>
  <c r="Q106" i="1" s="1"/>
  <c r="CT103" i="1"/>
  <c r="T102" i="1"/>
  <c r="CP62" i="1"/>
  <c r="H171" i="6"/>
  <c r="U60" i="1"/>
  <c r="L167" i="6" s="1"/>
  <c r="Q167" i="6" s="1"/>
  <c r="S155" i="6"/>
  <c r="U155" i="6"/>
  <c r="CT58" i="1"/>
  <c r="S58" i="1" s="1"/>
  <c r="GX54" i="1"/>
  <c r="Q54" i="1"/>
  <c r="K135" i="6" s="1"/>
  <c r="H137" i="6"/>
  <c r="CQ39" i="1"/>
  <c r="P39" i="1" s="1"/>
  <c r="K82" i="6" s="1"/>
  <c r="J83" i="6" s="1"/>
  <c r="P83" i="6" s="1"/>
  <c r="U37" i="1"/>
  <c r="CT36" i="1"/>
  <c r="S36" i="1" s="1"/>
  <c r="H54" i="6"/>
  <c r="CQ32" i="1"/>
  <c r="CT31" i="1"/>
  <c r="S31" i="1" s="1"/>
  <c r="AD31" i="1"/>
  <c r="AB31" i="1" s="1"/>
  <c r="CR31" i="1"/>
  <c r="Q31" i="1" s="1"/>
  <c r="E33" i="6"/>
  <c r="C34" i="6"/>
  <c r="W269" i="6"/>
  <c r="W281" i="6"/>
  <c r="G223" i="6"/>
  <c r="O223" i="6" s="1"/>
  <c r="CT111" i="1"/>
  <c r="S111" i="1" s="1"/>
  <c r="S235" i="6"/>
  <c r="U235" i="6"/>
  <c r="S224" i="6"/>
  <c r="H226" i="6"/>
  <c r="R226" i="6" s="1"/>
  <c r="U224" i="6"/>
  <c r="CT59" i="1"/>
  <c r="S59" i="1" s="1"/>
  <c r="K158" i="6" s="1"/>
  <c r="K90" i="6"/>
  <c r="W37" i="1"/>
  <c r="C72" i="6"/>
  <c r="E71" i="6"/>
  <c r="DF150" i="3"/>
  <c r="DJ150" i="3" s="1"/>
  <c r="DH150" i="3"/>
  <c r="G345" i="6"/>
  <c r="O345" i="6" s="1"/>
  <c r="W345" i="6"/>
  <c r="G98" i="1"/>
  <c r="AF356" i="6"/>
  <c r="A356" i="6"/>
  <c r="U321" i="6"/>
  <c r="S321" i="6"/>
  <c r="H317" i="6"/>
  <c r="W317" i="6" s="1"/>
  <c r="CT128" i="1"/>
  <c r="S128" i="1" s="1"/>
  <c r="K299" i="6" s="1"/>
  <c r="AD126" i="1"/>
  <c r="H289" i="6"/>
  <c r="R289" i="6" s="1"/>
  <c r="H288" i="6"/>
  <c r="CQ123" i="1"/>
  <c r="H278" i="6"/>
  <c r="W278" i="6" s="1"/>
  <c r="Q122" i="1"/>
  <c r="K272" i="6" s="1"/>
  <c r="E270" i="6"/>
  <c r="CP121" i="1"/>
  <c r="O121" i="1" s="1"/>
  <c r="K268" i="6"/>
  <c r="J269" i="6" s="1"/>
  <c r="P269" i="6" s="1"/>
  <c r="AB120" i="1"/>
  <c r="CT116" i="1"/>
  <c r="S116" i="1" s="1"/>
  <c r="U250" i="6"/>
  <c r="S250" i="6"/>
  <c r="AB115" i="1"/>
  <c r="CT107" i="1"/>
  <c r="S107" i="1" s="1"/>
  <c r="U220" i="6"/>
  <c r="S220" i="6"/>
  <c r="CT105" i="1"/>
  <c r="S105" i="1" s="1"/>
  <c r="H211" i="6"/>
  <c r="S210" i="6"/>
  <c r="H214" i="6" s="1"/>
  <c r="U210" i="6"/>
  <c r="H215" i="6" s="1"/>
  <c r="H196" i="6"/>
  <c r="U194" i="6"/>
  <c r="H201" i="6" s="1"/>
  <c r="S194" i="6"/>
  <c r="H200" i="6" s="1"/>
  <c r="C187" i="6"/>
  <c r="E186" i="6"/>
  <c r="S173" i="6"/>
  <c r="E173" i="6"/>
  <c r="U173" i="6"/>
  <c r="I64" i="1"/>
  <c r="GM64" i="1" s="1"/>
  <c r="CT61" i="1"/>
  <c r="CT56" i="1"/>
  <c r="S56" i="1" s="1"/>
  <c r="K146" i="6" s="1"/>
  <c r="S144" i="6"/>
  <c r="H146" i="6"/>
  <c r="R146" i="6" s="1"/>
  <c r="U144" i="6"/>
  <c r="BZ66" i="1"/>
  <c r="BZ26" i="1" s="1"/>
  <c r="S127" i="6"/>
  <c r="U127" i="6"/>
  <c r="CT47" i="1"/>
  <c r="S47" i="1" s="1"/>
  <c r="U107" i="6"/>
  <c r="S107" i="6"/>
  <c r="G70" i="6"/>
  <c r="O70" i="6" s="1"/>
  <c r="W70" i="6"/>
  <c r="W66" i="6"/>
  <c r="G66" i="6"/>
  <c r="O66" i="6" s="1"/>
  <c r="CZ30" i="1"/>
  <c r="Y30" i="1" s="1"/>
  <c r="V41" i="6" s="1"/>
  <c r="K48" i="6" s="1"/>
  <c r="K43" i="6"/>
  <c r="CY30" i="1"/>
  <c r="X30" i="1" s="1"/>
  <c r="T41" i="6" s="1"/>
  <c r="K47" i="6" s="1"/>
  <c r="DH175" i="3"/>
  <c r="DF175" i="3"/>
  <c r="DJ175" i="3" s="1"/>
  <c r="DI150" i="3"/>
  <c r="G221" i="6"/>
  <c r="O221" i="6" s="1"/>
  <c r="CT122" i="1"/>
  <c r="S122" i="1" s="1"/>
  <c r="K271" i="6" s="1"/>
  <c r="CP143" i="1"/>
  <c r="H350" i="6"/>
  <c r="H274" i="6"/>
  <c r="L247" i="6"/>
  <c r="Q247" i="6" s="1"/>
  <c r="L246" i="6"/>
  <c r="U239" i="6"/>
  <c r="S239" i="6"/>
  <c r="L126" i="6"/>
  <c r="Q126" i="6" s="1"/>
  <c r="L124" i="6"/>
  <c r="CP142" i="1"/>
  <c r="H348" i="6"/>
  <c r="AB141" i="1"/>
  <c r="H346" i="6"/>
  <c r="U333" i="6"/>
  <c r="S333" i="6"/>
  <c r="CQ131" i="1"/>
  <c r="P131" i="1" s="1"/>
  <c r="H315" i="6"/>
  <c r="W315" i="6" s="1"/>
  <c r="CQ126" i="1"/>
  <c r="P126" i="1" s="1"/>
  <c r="H290" i="6"/>
  <c r="S125" i="1"/>
  <c r="CY125" i="1" s="1"/>
  <c r="X125" i="1" s="1"/>
  <c r="T282" i="6" s="1"/>
  <c r="AB125" i="1"/>
  <c r="S282" i="6"/>
  <c r="U282" i="6"/>
  <c r="CZ118" i="1"/>
  <c r="Y118" i="1" s="1"/>
  <c r="V254" i="6" s="1"/>
  <c r="K257" i="6" s="1"/>
  <c r="K255" i="6"/>
  <c r="AB116" i="1"/>
  <c r="W249" i="6"/>
  <c r="G249" i="6"/>
  <c r="O249" i="6" s="1"/>
  <c r="AB108" i="1"/>
  <c r="AD105" i="1"/>
  <c r="AB105" i="1" s="1"/>
  <c r="H212" i="6"/>
  <c r="H213" i="6"/>
  <c r="R213" i="6" s="1"/>
  <c r="AB103" i="1"/>
  <c r="AD102" i="1"/>
  <c r="AB102" i="1" s="1"/>
  <c r="H197" i="6"/>
  <c r="H198" i="6"/>
  <c r="R198" i="6" s="1"/>
  <c r="L192" i="6"/>
  <c r="L193" i="6"/>
  <c r="Q193" i="6" s="1"/>
  <c r="CP64" i="1"/>
  <c r="CS61" i="1"/>
  <c r="CR61" i="1"/>
  <c r="S60" i="1"/>
  <c r="CY60" i="1" s="1"/>
  <c r="X60" i="1" s="1"/>
  <c r="T166" i="6" s="1"/>
  <c r="AD56" i="1"/>
  <c r="AB56" i="1" s="1"/>
  <c r="H147" i="6"/>
  <c r="H148" i="6"/>
  <c r="R148" i="6" s="1"/>
  <c r="CR56" i="1"/>
  <c r="CS56" i="1"/>
  <c r="R56" i="1" s="1"/>
  <c r="K148" i="6" s="1"/>
  <c r="E132" i="6"/>
  <c r="C133" i="6"/>
  <c r="S125" i="6"/>
  <c r="H121" i="6"/>
  <c r="CQ50" i="1"/>
  <c r="P50" i="1" s="1"/>
  <c r="K121" i="6" s="1"/>
  <c r="AD46" i="1"/>
  <c r="CR46" i="1"/>
  <c r="Q46" i="1" s="1"/>
  <c r="CS46" i="1"/>
  <c r="R46" i="1" s="1"/>
  <c r="S99" i="6"/>
  <c r="U99" i="6"/>
  <c r="CT45" i="1"/>
  <c r="S45" i="1" s="1"/>
  <c r="CP36" i="1"/>
  <c r="O36" i="1" s="1"/>
  <c r="K69" i="6"/>
  <c r="J70" i="6" s="1"/>
  <c r="P70" i="6" s="1"/>
  <c r="CT33" i="1"/>
  <c r="S33" i="1" s="1"/>
  <c r="K58" i="6" s="1"/>
  <c r="S57" i="6"/>
  <c r="H61" i="6" s="1"/>
  <c r="H58" i="6"/>
  <c r="U57" i="6"/>
  <c r="H62" i="6" s="1"/>
  <c r="GX32" i="1"/>
  <c r="C55" i="6"/>
  <c r="E54" i="6"/>
  <c r="W32" i="1"/>
  <c r="R31" i="1"/>
  <c r="G68" i="6"/>
  <c r="O68" i="6" s="1"/>
  <c r="CC66" i="1"/>
  <c r="H166" i="6"/>
  <c r="CT55" i="1"/>
  <c r="S55" i="1" s="1"/>
  <c r="CZ55" i="1" s="1"/>
  <c r="Y55" i="1" s="1"/>
  <c r="V142" i="6" s="1"/>
  <c r="U142" i="6"/>
  <c r="S142" i="6"/>
  <c r="H127" i="6"/>
  <c r="CP49" i="1"/>
  <c r="O49" i="1" s="1"/>
  <c r="K115" i="6"/>
  <c r="J116" i="6" s="1"/>
  <c r="P116" i="6" s="1"/>
  <c r="AB49" i="1"/>
  <c r="H115" i="6"/>
  <c r="AB48" i="1"/>
  <c r="H76" i="6"/>
  <c r="CT35" i="1"/>
  <c r="S35" i="1" s="1"/>
  <c r="CZ35" i="1" s="1"/>
  <c r="Y35" i="1" s="1"/>
  <c r="V67" i="6" s="1"/>
  <c r="S67" i="6"/>
  <c r="U67" i="6"/>
  <c r="CT34" i="1"/>
  <c r="S34" i="1" s="1"/>
  <c r="U65" i="6"/>
  <c r="S65" i="6"/>
  <c r="R33" i="1"/>
  <c r="K60" i="6" s="1"/>
  <c r="AD33" i="1"/>
  <c r="AB33" i="1" s="1"/>
  <c r="H59" i="6"/>
  <c r="H60" i="6"/>
  <c r="R60" i="6" s="1"/>
  <c r="P30" i="1"/>
  <c r="H46" i="6"/>
  <c r="CT29" i="1"/>
  <c r="S29" i="1" s="1"/>
  <c r="K35" i="6" s="1"/>
  <c r="H35" i="6"/>
  <c r="U33" i="6"/>
  <c r="H38" i="6" s="1"/>
  <c r="S33" i="6"/>
  <c r="H37" i="6" s="1"/>
  <c r="U58" i="1"/>
  <c r="L156" i="6" s="1"/>
  <c r="Q156" i="6" s="1"/>
  <c r="CT57" i="1"/>
  <c r="CQ52" i="1"/>
  <c r="GX50" i="1"/>
  <c r="E117" i="6"/>
  <c r="CR42" i="1"/>
  <c r="Q42" i="1" s="1"/>
  <c r="CP42" i="1" s="1"/>
  <c r="O42" i="1" s="1"/>
  <c r="CQ41" i="1"/>
  <c r="P41" i="1" s="1"/>
  <c r="K86" i="6" s="1"/>
  <c r="J87" i="6" s="1"/>
  <c r="P87" i="6" s="1"/>
  <c r="AB41" i="1"/>
  <c r="U84" i="6"/>
  <c r="S84" i="6"/>
  <c r="CR39" i="1"/>
  <c r="Q39" i="1" s="1"/>
  <c r="CR36" i="1"/>
  <c r="Q36" i="1" s="1"/>
  <c r="CR33" i="1"/>
  <c r="Q33" i="1" s="1"/>
  <c r="K59" i="6" s="1"/>
  <c r="T31" i="1"/>
  <c r="AD29" i="1"/>
  <c r="AB29" i="1" s="1"/>
  <c r="H36" i="6"/>
  <c r="CT28" i="1"/>
  <c r="S28" i="1" s="1"/>
  <c r="S31" i="6"/>
  <c r="U31" i="6"/>
  <c r="G87" i="6"/>
  <c r="O87" i="6" s="1"/>
  <c r="G96" i="6"/>
  <c r="O96" i="6" s="1"/>
  <c r="S171" i="6"/>
  <c r="E171" i="6"/>
  <c r="U171" i="6"/>
  <c r="CQ61" i="1"/>
  <c r="T60" i="1"/>
  <c r="GX59" i="1"/>
  <c r="H161" i="6"/>
  <c r="H153" i="6"/>
  <c r="W153" i="6" s="1"/>
  <c r="CQ56" i="1"/>
  <c r="P56" i="1" s="1"/>
  <c r="K149" i="6" s="1"/>
  <c r="H149" i="6"/>
  <c r="V54" i="1"/>
  <c r="CT54" i="1"/>
  <c r="S54" i="1" s="1"/>
  <c r="K134" i="6" s="1"/>
  <c r="U132" i="6"/>
  <c r="H139" i="6" s="1"/>
  <c r="S132" i="6"/>
  <c r="H138" i="6" s="1"/>
  <c r="H134" i="6"/>
  <c r="CY43" i="1"/>
  <c r="X43" i="1" s="1"/>
  <c r="T95" i="6" s="1"/>
  <c r="GX31" i="1"/>
  <c r="CQ28" i="1"/>
  <c r="P28" i="1" s="1"/>
  <c r="K31" i="6" s="1"/>
  <c r="J32" i="6" s="1"/>
  <c r="P32" i="6" s="1"/>
  <c r="H31" i="6"/>
  <c r="G26" i="1"/>
  <c r="AF179" i="6"/>
  <c r="A179" i="6"/>
  <c r="U166" i="6"/>
  <c r="S166" i="6"/>
  <c r="GX58" i="1"/>
  <c r="H155" i="6"/>
  <c r="GX56" i="1"/>
  <c r="H136" i="6"/>
  <c r="R136" i="6" s="1"/>
  <c r="H135" i="6"/>
  <c r="CT53" i="1"/>
  <c r="H125" i="6"/>
  <c r="W125" i="6" s="1"/>
  <c r="H118" i="6"/>
  <c r="R118" i="6" s="1"/>
  <c r="U117" i="6"/>
  <c r="S117" i="6"/>
  <c r="S115" i="6"/>
  <c r="U115" i="6"/>
  <c r="U109" i="6"/>
  <c r="H112" i="6" s="1"/>
  <c r="S109" i="6"/>
  <c r="H111" i="6" s="1"/>
  <c r="H110" i="6"/>
  <c r="CS47" i="1"/>
  <c r="R47" i="1" s="1"/>
  <c r="CY47" i="1" s="1"/>
  <c r="X47" i="1" s="1"/>
  <c r="T107" i="6" s="1"/>
  <c r="CQ47" i="1"/>
  <c r="P47" i="1" s="1"/>
  <c r="K107" i="6" s="1"/>
  <c r="J108" i="6" s="1"/>
  <c r="P108" i="6" s="1"/>
  <c r="H107" i="6"/>
  <c r="L93" i="6"/>
  <c r="L94" i="6"/>
  <c r="Q94" i="6" s="1"/>
  <c r="H80" i="6"/>
  <c r="W80" i="6" s="1"/>
  <c r="S54" i="6"/>
  <c r="U54" i="6"/>
  <c r="P31" i="1"/>
  <c r="CP31" i="1" s="1"/>
  <c r="O31" i="1" s="1"/>
  <c r="GM31" i="1" s="1"/>
  <c r="H43" i="6"/>
  <c r="U41" i="6"/>
  <c r="H48" i="6" s="1"/>
  <c r="S41" i="6"/>
  <c r="H47" i="6" s="1"/>
  <c r="DI127" i="3"/>
  <c r="DI125" i="3"/>
  <c r="CX5" i="3"/>
  <c r="DI5" i="3" s="1"/>
  <c r="DJ5" i="3" s="1"/>
  <c r="CS50" i="1"/>
  <c r="R50" i="1" s="1"/>
  <c r="K120" i="6" s="1"/>
  <c r="H119" i="6"/>
  <c r="H120" i="6"/>
  <c r="R120" i="6" s="1"/>
  <c r="L106" i="6"/>
  <c r="Q106" i="6" s="1"/>
  <c r="L105" i="6"/>
  <c r="CT46" i="1"/>
  <c r="S46" i="1" s="1"/>
  <c r="K102" i="6" s="1"/>
  <c r="H102" i="6"/>
  <c r="U101" i="6"/>
  <c r="H104" i="6" s="1"/>
  <c r="S101" i="6"/>
  <c r="H103" i="6" s="1"/>
  <c r="S97" i="6"/>
  <c r="U97" i="6"/>
  <c r="U86" i="6"/>
  <c r="S86" i="6"/>
  <c r="S71" i="6"/>
  <c r="H73" i="6"/>
  <c r="R73" i="6" s="1"/>
  <c r="U71" i="6"/>
  <c r="L64" i="6"/>
  <c r="Q64" i="6" s="1"/>
  <c r="L63" i="6"/>
  <c r="W31" i="1"/>
  <c r="H45" i="6"/>
  <c r="R45" i="6" s="1"/>
  <c r="H44" i="6"/>
  <c r="CX24" i="3"/>
  <c r="E41" i="6"/>
  <c r="C42" i="6"/>
  <c r="CZ141" i="1"/>
  <c r="Y141" i="1" s="1"/>
  <c r="V346" i="6" s="1"/>
  <c r="CY141" i="1"/>
  <c r="X141" i="1" s="1"/>
  <c r="T346" i="6" s="1"/>
  <c r="CY139" i="1"/>
  <c r="X139" i="1" s="1"/>
  <c r="T335" i="6" s="1"/>
  <c r="K340" i="6" s="1"/>
  <c r="CZ139" i="1"/>
  <c r="Y139" i="1" s="1"/>
  <c r="V335" i="6" s="1"/>
  <c r="K341" i="6" s="1"/>
  <c r="AB114" i="1"/>
  <c r="CQ114" i="1"/>
  <c r="P114" i="1" s="1"/>
  <c r="AP26" i="1"/>
  <c r="F75" i="1"/>
  <c r="CZ140" i="1"/>
  <c r="Y140" i="1" s="1"/>
  <c r="V344" i="6" s="1"/>
  <c r="CY140" i="1"/>
  <c r="X140" i="1" s="1"/>
  <c r="CY138" i="1"/>
  <c r="X138" i="1" s="1"/>
  <c r="T333" i="6" s="1"/>
  <c r="CZ138" i="1"/>
  <c r="Y138" i="1" s="1"/>
  <c r="V333" i="6" s="1"/>
  <c r="CZ130" i="1"/>
  <c r="Y130" i="1" s="1"/>
  <c r="V314" i="6" s="1"/>
  <c r="CY130" i="1"/>
  <c r="X130" i="1" s="1"/>
  <c r="AD139" i="1"/>
  <c r="AB139" i="1" s="1"/>
  <c r="CR139" i="1"/>
  <c r="Q139" i="1" s="1"/>
  <c r="K337" i="6" s="1"/>
  <c r="CZ127" i="1"/>
  <c r="Y127" i="1" s="1"/>
  <c r="CY127" i="1"/>
  <c r="X127" i="1" s="1"/>
  <c r="T295" i="6" s="1"/>
  <c r="V123" i="1"/>
  <c r="BZ146" i="1"/>
  <c r="CZ136" i="1"/>
  <c r="Y136" i="1" s="1"/>
  <c r="V323" i="6" s="1"/>
  <c r="CY136" i="1"/>
  <c r="X136" i="1" s="1"/>
  <c r="T323" i="6" s="1"/>
  <c r="K328" i="6" s="1"/>
  <c r="CZ131" i="1"/>
  <c r="Y131" i="1" s="1"/>
  <c r="V315" i="6" s="1"/>
  <c r="CY131" i="1"/>
  <c r="X131" i="1" s="1"/>
  <c r="T315" i="6" s="1"/>
  <c r="GM130" i="1"/>
  <c r="CZ119" i="1"/>
  <c r="Y119" i="1" s="1"/>
  <c r="V260" i="6" s="1"/>
  <c r="CY119" i="1"/>
  <c r="X119" i="1" s="1"/>
  <c r="T260" i="6" s="1"/>
  <c r="BY146" i="1"/>
  <c r="AB107" i="1"/>
  <c r="CQ107" i="1"/>
  <c r="P107" i="1" s="1"/>
  <c r="R123" i="1"/>
  <c r="CY108" i="1"/>
  <c r="X108" i="1" s="1"/>
  <c r="T222" i="6" s="1"/>
  <c r="CZ108" i="1"/>
  <c r="Y108" i="1" s="1"/>
  <c r="V222" i="6" s="1"/>
  <c r="Q123" i="1"/>
  <c r="S123" i="1"/>
  <c r="GM121" i="1"/>
  <c r="GN121" i="1"/>
  <c r="AD135" i="1"/>
  <c r="AB135" i="1" s="1"/>
  <c r="CR135" i="1"/>
  <c r="Q135" i="1" s="1"/>
  <c r="BC22" i="1"/>
  <c r="BC206" i="1"/>
  <c r="F192" i="1"/>
  <c r="CC98" i="1"/>
  <c r="AT146" i="1"/>
  <c r="CZ122" i="1"/>
  <c r="Y122" i="1" s="1"/>
  <c r="V270" i="6" s="1"/>
  <c r="CY122" i="1"/>
  <c r="X122" i="1" s="1"/>
  <c r="GM142" i="1"/>
  <c r="GN142" i="1"/>
  <c r="CY134" i="1"/>
  <c r="X134" i="1" s="1"/>
  <c r="CZ126" i="1"/>
  <c r="Y126" i="1" s="1"/>
  <c r="V285" i="6" s="1"/>
  <c r="K292" i="6" s="1"/>
  <c r="CY126" i="1"/>
  <c r="X126" i="1" s="1"/>
  <c r="T125" i="1"/>
  <c r="R125" i="1"/>
  <c r="CP124" i="1"/>
  <c r="O124" i="1" s="1"/>
  <c r="P123" i="1"/>
  <c r="CP123" i="1" s="1"/>
  <c r="O123" i="1" s="1"/>
  <c r="K278" i="6" s="1"/>
  <c r="GX122" i="1"/>
  <c r="U122" i="1"/>
  <c r="U52" i="1"/>
  <c r="L128" i="6" s="1"/>
  <c r="Q128" i="6" s="1"/>
  <c r="CQ43" i="1"/>
  <c r="P43" i="1" s="1"/>
  <c r="CZ56" i="1"/>
  <c r="Y56" i="1" s="1"/>
  <c r="V144" i="6" s="1"/>
  <c r="CY56" i="1"/>
  <c r="X56" i="1" s="1"/>
  <c r="T144" i="6" s="1"/>
  <c r="CS128" i="1"/>
  <c r="R128" i="1" s="1"/>
  <c r="W110" i="1"/>
  <c r="CQ141" i="1"/>
  <c r="P141" i="1" s="1"/>
  <c r="AB136" i="1"/>
  <c r="CZ133" i="1"/>
  <c r="Y133" i="1" s="1"/>
  <c r="V317" i="6" s="1"/>
  <c r="AB131" i="1"/>
  <c r="CR128" i="1"/>
  <c r="Q128" i="1" s="1"/>
  <c r="K300" i="6" s="1"/>
  <c r="CX145" i="3"/>
  <c r="CX142" i="3"/>
  <c r="AB127" i="1"/>
  <c r="K125" i="1"/>
  <c r="AB124" i="1"/>
  <c r="CY118" i="1"/>
  <c r="X118" i="1" s="1"/>
  <c r="AB118" i="1"/>
  <c r="CY112" i="1"/>
  <c r="X112" i="1" s="1"/>
  <c r="T237" i="6" s="1"/>
  <c r="CZ112" i="1"/>
  <c r="Y112" i="1" s="1"/>
  <c r="CP111" i="1"/>
  <c r="O111" i="1" s="1"/>
  <c r="V110" i="1"/>
  <c r="AD137" i="1"/>
  <c r="AB137" i="1" s="1"/>
  <c r="CS137" i="1"/>
  <c r="R137" i="1" s="1"/>
  <c r="CZ137" i="1" s="1"/>
  <c r="Y137" i="1" s="1"/>
  <c r="V331" i="6" s="1"/>
  <c r="W123" i="1"/>
  <c r="S110" i="1"/>
  <c r="CQ105" i="1"/>
  <c r="P105" i="1" s="1"/>
  <c r="CP105" i="1" s="1"/>
  <c r="O105" i="1" s="1"/>
  <c r="AB59" i="1"/>
  <c r="CQ59" i="1"/>
  <c r="P59" i="1" s="1"/>
  <c r="CR117" i="1"/>
  <c r="Q117" i="1" s="1"/>
  <c r="AD117" i="1"/>
  <c r="AB117" i="1" s="1"/>
  <c r="R110" i="1"/>
  <c r="CY106" i="1"/>
  <c r="X106" i="1" s="1"/>
  <c r="T218" i="6" s="1"/>
  <c r="CP106" i="1"/>
  <c r="O106" i="1" s="1"/>
  <c r="CY101" i="1"/>
  <c r="X101" i="1" s="1"/>
  <c r="T186" i="6" s="1"/>
  <c r="K190" i="6" s="1"/>
  <c r="CP101" i="1"/>
  <c r="O101" i="1" s="1"/>
  <c r="CZ101" i="1"/>
  <c r="Y101" i="1" s="1"/>
  <c r="V186" i="6" s="1"/>
  <c r="K191" i="6" s="1"/>
  <c r="P52" i="1"/>
  <c r="K127" i="6" s="1"/>
  <c r="J128" i="6" s="1"/>
  <c r="P128" i="6" s="1"/>
  <c r="W52" i="1"/>
  <c r="GX52" i="1"/>
  <c r="CP128" i="1"/>
  <c r="O128" i="1" s="1"/>
  <c r="BB146" i="1"/>
  <c r="GM143" i="1"/>
  <c r="GN143" i="1"/>
  <c r="P125" i="1"/>
  <c r="GX123" i="1"/>
  <c r="CX133" i="3"/>
  <c r="CX131" i="3"/>
  <c r="CX129" i="3"/>
  <c r="CX130" i="3"/>
  <c r="CX132" i="3"/>
  <c r="K144" i="1"/>
  <c r="AB138" i="1"/>
  <c r="CQ138" i="1"/>
  <c r="P138" i="1" s="1"/>
  <c r="AB133" i="1"/>
  <c r="CZ128" i="1"/>
  <c r="Y128" i="1" s="1"/>
  <c r="V297" i="6" s="1"/>
  <c r="K303" i="6" s="1"/>
  <c r="AB126" i="1"/>
  <c r="U123" i="1"/>
  <c r="CY111" i="1"/>
  <c r="X111" i="1" s="1"/>
  <c r="T235" i="6" s="1"/>
  <c r="CD146" i="1"/>
  <c r="CP108" i="1"/>
  <c r="O108" i="1" s="1"/>
  <c r="CZ107" i="1"/>
  <c r="Y107" i="1" s="1"/>
  <c r="V220" i="6" s="1"/>
  <c r="CX99" i="3"/>
  <c r="CX88" i="3"/>
  <c r="CX90" i="3"/>
  <c r="CX92" i="3"/>
  <c r="CX98" i="3"/>
  <c r="CX100" i="3"/>
  <c r="CX85" i="3"/>
  <c r="CX89" i="3"/>
  <c r="CX87" i="3"/>
  <c r="CX94" i="3"/>
  <c r="CX96" i="3"/>
  <c r="K103" i="1"/>
  <c r="Q102" i="1"/>
  <c r="K197" i="6" s="1"/>
  <c r="I104" i="1"/>
  <c r="K104" i="1"/>
  <c r="I103" i="1"/>
  <c r="U204" i="6" s="1"/>
  <c r="U102" i="1"/>
  <c r="BY26" i="1"/>
  <c r="BC98" i="1"/>
  <c r="F162" i="1"/>
  <c r="AO146" i="1"/>
  <c r="CY137" i="1"/>
  <c r="X137" i="1" s="1"/>
  <c r="T331" i="6" s="1"/>
  <c r="AD132" i="1"/>
  <c r="AB132" i="1" s="1"/>
  <c r="CS132" i="1"/>
  <c r="R132" i="1" s="1"/>
  <c r="CZ132" i="1" s="1"/>
  <c r="Y132" i="1" s="1"/>
  <c r="V316" i="6" s="1"/>
  <c r="CR137" i="1"/>
  <c r="Q137" i="1" s="1"/>
  <c r="CP137" i="1" s="1"/>
  <c r="O137" i="1" s="1"/>
  <c r="K331" i="6" s="1"/>
  <c r="CR132" i="1"/>
  <c r="Q132" i="1" s="1"/>
  <c r="CP132" i="1" s="1"/>
  <c r="O132" i="1" s="1"/>
  <c r="K316" i="6" s="1"/>
  <c r="I144" i="1"/>
  <c r="H352" i="6" s="1"/>
  <c r="T135" i="1"/>
  <c r="GX131" i="1"/>
  <c r="AD129" i="1"/>
  <c r="S135" i="1"/>
  <c r="CY133" i="1"/>
  <c r="X133" i="1" s="1"/>
  <c r="U131" i="1"/>
  <c r="AB129" i="1"/>
  <c r="U128" i="1"/>
  <c r="CZ125" i="1"/>
  <c r="Y125" i="1" s="1"/>
  <c r="V282" i="6" s="1"/>
  <c r="T123" i="1"/>
  <c r="W122" i="1"/>
  <c r="CP120" i="1"/>
  <c r="O120" i="1" s="1"/>
  <c r="AB119" i="1"/>
  <c r="P110" i="1"/>
  <c r="CY105" i="1"/>
  <c r="X105" i="1" s="1"/>
  <c r="T210" i="6" s="1"/>
  <c r="K214" i="6" s="1"/>
  <c r="CC26" i="1"/>
  <c r="AT66" i="1"/>
  <c r="CY120" i="1"/>
  <c r="X120" i="1" s="1"/>
  <c r="T262" i="6" s="1"/>
  <c r="K264" i="6" s="1"/>
  <c r="CR104" i="1"/>
  <c r="AB100" i="1"/>
  <c r="F82" i="1"/>
  <c r="K64" i="1"/>
  <c r="R59" i="1"/>
  <c r="AB55" i="1"/>
  <c r="CQ55" i="1"/>
  <c r="P55" i="1" s="1"/>
  <c r="V52" i="1"/>
  <c r="T50" i="1"/>
  <c r="CQ46" i="1"/>
  <c r="P46" i="1" s="1"/>
  <c r="CP46" i="1" s="1"/>
  <c r="O46" i="1" s="1"/>
  <c r="AB46" i="1"/>
  <c r="CZ40" i="1"/>
  <c r="Y40" i="1" s="1"/>
  <c r="V84" i="6" s="1"/>
  <c r="AB109" i="1"/>
  <c r="CS106" i="1"/>
  <c r="R106" i="1" s="1"/>
  <c r="CZ106" i="1" s="1"/>
  <c r="Y106" i="1" s="1"/>
  <c r="V218" i="6" s="1"/>
  <c r="CS102" i="1"/>
  <c r="R102" i="1" s="1"/>
  <c r="AO66" i="1"/>
  <c r="AB57" i="1"/>
  <c r="T52" i="1"/>
  <c r="CD66" i="1"/>
  <c r="CZ47" i="1"/>
  <c r="Y47" i="1" s="1"/>
  <c r="V107" i="6" s="1"/>
  <c r="CY44" i="1"/>
  <c r="X44" i="1" s="1"/>
  <c r="CZ44" i="1"/>
  <c r="Y44" i="1" s="1"/>
  <c r="V97" i="6" s="1"/>
  <c r="AB34" i="1"/>
  <c r="CQ34" i="1"/>
  <c r="P34" i="1" s="1"/>
  <c r="CY29" i="1"/>
  <c r="X29" i="1" s="1"/>
  <c r="T33" i="6" s="1"/>
  <c r="K37" i="6" s="1"/>
  <c r="CZ29" i="1"/>
  <c r="Y29" i="1" s="1"/>
  <c r="V33" i="6" s="1"/>
  <c r="K38" i="6" s="1"/>
  <c r="CL98" i="1"/>
  <c r="BB66" i="1"/>
  <c r="CS38" i="1"/>
  <c r="R38" i="1" s="1"/>
  <c r="AD38" i="1"/>
  <c r="AB38" i="1" s="1"/>
  <c r="CZ54" i="1"/>
  <c r="Y54" i="1" s="1"/>
  <c r="V132" i="6" s="1"/>
  <c r="K139" i="6" s="1"/>
  <c r="CY54" i="1"/>
  <c r="X54" i="1" s="1"/>
  <c r="T132" i="6" s="1"/>
  <c r="K138" i="6" s="1"/>
  <c r="W50" i="1"/>
  <c r="CP47" i="1"/>
  <c r="O47" i="1" s="1"/>
  <c r="CR38" i="1"/>
  <c r="CQ119" i="1"/>
  <c r="P119" i="1" s="1"/>
  <c r="CS116" i="1"/>
  <c r="R116" i="1" s="1"/>
  <c r="CZ116" i="1" s="1"/>
  <c r="Y116" i="1" s="1"/>
  <c r="V250" i="6" s="1"/>
  <c r="CS113" i="1"/>
  <c r="R113" i="1" s="1"/>
  <c r="CZ113" i="1" s="1"/>
  <c r="Y113" i="1" s="1"/>
  <c r="V239" i="6" s="1"/>
  <c r="CS111" i="1"/>
  <c r="R111" i="1" s="1"/>
  <c r="CZ111" i="1" s="1"/>
  <c r="Y111" i="1" s="1"/>
  <c r="V235" i="6" s="1"/>
  <c r="CX107" i="3"/>
  <c r="CX106" i="3"/>
  <c r="CX108" i="3"/>
  <c r="P60" i="1"/>
  <c r="AB60" i="1"/>
  <c r="Q52" i="1"/>
  <c r="CY39" i="1"/>
  <c r="X39" i="1" s="1"/>
  <c r="T82" i="6" s="1"/>
  <c r="CZ39" i="1"/>
  <c r="Y39" i="1" s="1"/>
  <c r="V82" i="6" s="1"/>
  <c r="T61" i="1"/>
  <c r="CX53" i="3"/>
  <c r="CX54" i="3"/>
  <c r="CX55" i="3"/>
  <c r="CX56" i="3"/>
  <c r="I51" i="1"/>
  <c r="U125" i="6" s="1"/>
  <c r="I53" i="1"/>
  <c r="H129" i="6" s="1"/>
  <c r="K53" i="1"/>
  <c r="S50" i="1"/>
  <c r="K118" i="6" s="1"/>
  <c r="CS45" i="1"/>
  <c r="R45" i="1" s="1"/>
  <c r="AD45" i="1"/>
  <c r="CR113" i="1"/>
  <c r="Q113" i="1" s="1"/>
  <c r="CP113" i="1" s="1"/>
  <c r="O113" i="1" s="1"/>
  <c r="CX115" i="3"/>
  <c r="CX114" i="3"/>
  <c r="CX116" i="3"/>
  <c r="CX164" i="3"/>
  <c r="CX161" i="3"/>
  <c r="CX160" i="3"/>
  <c r="CX163" i="3"/>
  <c r="CX141" i="3"/>
  <c r="CX140" i="3"/>
  <c r="CX137" i="3"/>
  <c r="CX138" i="3"/>
  <c r="I110" i="1"/>
  <c r="E233" i="6" s="1"/>
  <c r="R109" i="1"/>
  <c r="CR100" i="1"/>
  <c r="Q100" i="1" s="1"/>
  <c r="GM62" i="1"/>
  <c r="GN62" i="1"/>
  <c r="GX60" i="1"/>
  <c r="CZ59" i="1"/>
  <c r="Y59" i="1" s="1"/>
  <c r="V157" i="6" s="1"/>
  <c r="K163" i="6" s="1"/>
  <c r="CX78" i="3"/>
  <c r="CX76" i="3"/>
  <c r="CX72" i="3"/>
  <c r="CX71" i="3"/>
  <c r="K61" i="1"/>
  <c r="I61" i="1"/>
  <c r="Q58" i="1"/>
  <c r="AB58" i="1"/>
  <c r="CQ58" i="1"/>
  <c r="P58" i="1" s="1"/>
  <c r="K155" i="6" s="1"/>
  <c r="J156" i="6" s="1"/>
  <c r="P156" i="6" s="1"/>
  <c r="AB54" i="1"/>
  <c r="V50" i="1"/>
  <c r="CP48" i="1"/>
  <c r="O48" i="1" s="1"/>
  <c r="AB45" i="1"/>
  <c r="CZ42" i="1"/>
  <c r="Y42" i="1" s="1"/>
  <c r="V88" i="6" s="1"/>
  <c r="K92" i="6" s="1"/>
  <c r="AB39" i="1"/>
  <c r="AD61" i="1"/>
  <c r="AB61" i="1" s="1"/>
  <c r="V58" i="1"/>
  <c r="CZ49" i="1"/>
  <c r="Y49" i="1" s="1"/>
  <c r="CZ48" i="1"/>
  <c r="Y48" i="1" s="1"/>
  <c r="V109" i="6" s="1"/>
  <c r="K112" i="6" s="1"/>
  <c r="J114" i="6" s="1"/>
  <c r="P114" i="6" s="1"/>
  <c r="AD43" i="1"/>
  <c r="AB43" i="1" s="1"/>
  <c r="CP41" i="1"/>
  <c r="O41" i="1" s="1"/>
  <c r="CY40" i="1"/>
  <c r="X40" i="1" s="1"/>
  <c r="T84" i="6" s="1"/>
  <c r="I38" i="1"/>
  <c r="U80" i="6" s="1"/>
  <c r="Q32" i="1"/>
  <c r="AB30" i="1"/>
  <c r="V51" i="1"/>
  <c r="CQ45" i="1"/>
  <c r="P45" i="1" s="1"/>
  <c r="P38" i="1"/>
  <c r="CZ28" i="1"/>
  <c r="Y28" i="1" s="1"/>
  <c r="V31" i="6" s="1"/>
  <c r="CY28" i="1"/>
  <c r="X28" i="1" s="1"/>
  <c r="T31" i="6" s="1"/>
  <c r="DF177" i="3"/>
  <c r="DJ177" i="3" s="1"/>
  <c r="DI177" i="3"/>
  <c r="DH177" i="3"/>
  <c r="DG177" i="3"/>
  <c r="AB47" i="1"/>
  <c r="CX39" i="3"/>
  <c r="CX38" i="3"/>
  <c r="CX40" i="3"/>
  <c r="S37" i="1"/>
  <c r="K73" i="6" s="1"/>
  <c r="V37" i="1"/>
  <c r="P32" i="1"/>
  <c r="K54" i="6" s="1"/>
  <c r="J56" i="6" s="1"/>
  <c r="P56" i="6" s="1"/>
  <c r="AD58" i="1"/>
  <c r="CX64" i="3"/>
  <c r="CX69" i="3"/>
  <c r="CX70" i="3"/>
  <c r="K58" i="1"/>
  <c r="CQ54" i="1"/>
  <c r="P54" i="1" s="1"/>
  <c r="S52" i="1"/>
  <c r="AD52" i="1"/>
  <c r="AB52" i="1" s="1"/>
  <c r="CS52" i="1"/>
  <c r="R52" i="1" s="1"/>
  <c r="CR40" i="1"/>
  <c r="Q40" i="1" s="1"/>
  <c r="CP40" i="1" s="1"/>
  <c r="O40" i="1" s="1"/>
  <c r="R37" i="1"/>
  <c r="K75" i="6" s="1"/>
  <c r="AB36" i="1"/>
  <c r="T32" i="1"/>
  <c r="Q50" i="1"/>
  <c r="K119" i="6" s="1"/>
  <c r="CZ46" i="1"/>
  <c r="Y46" i="1" s="1"/>
  <c r="V101" i="6" s="1"/>
  <c r="K104" i="6" s="1"/>
  <c r="CY46" i="1"/>
  <c r="X46" i="1" s="1"/>
  <c r="T101" i="6" s="1"/>
  <c r="K103" i="6" s="1"/>
  <c r="U38" i="1"/>
  <c r="AB37" i="1"/>
  <c r="CQ37" i="1"/>
  <c r="P37" i="1" s="1"/>
  <c r="K76" i="6" s="1"/>
  <c r="CX113" i="3"/>
  <c r="CX80" i="3"/>
  <c r="CX79" i="3"/>
  <c r="I57" i="1"/>
  <c r="E153" i="6" s="1"/>
  <c r="Q56" i="1"/>
  <c r="K147" i="6" s="1"/>
  <c r="P51" i="1"/>
  <c r="AD50" i="1"/>
  <c r="AB50" i="1" s="1"/>
  <c r="AD42" i="1"/>
  <c r="AB42" i="1" s="1"/>
  <c r="CR41" i="1"/>
  <c r="Q41" i="1" s="1"/>
  <c r="CZ31" i="1"/>
  <c r="Y31" i="1" s="1"/>
  <c r="V51" i="6" s="1"/>
  <c r="CY31" i="1"/>
  <c r="X31" i="1" s="1"/>
  <c r="CX62" i="3"/>
  <c r="CX63" i="3"/>
  <c r="CX61" i="3"/>
  <c r="DF171" i="3"/>
  <c r="DF169" i="3"/>
  <c r="DI169" i="3"/>
  <c r="DF166" i="3"/>
  <c r="DI173" i="3"/>
  <c r="DH173" i="3"/>
  <c r="DF168" i="3"/>
  <c r="DH168" i="3"/>
  <c r="DI149" i="3"/>
  <c r="DF149" i="3"/>
  <c r="DG149" i="3"/>
  <c r="DJ149" i="3" s="1"/>
  <c r="DH149" i="3"/>
  <c r="CX134" i="3"/>
  <c r="DI121" i="3"/>
  <c r="DF121" i="3"/>
  <c r="DJ121" i="3" s="1"/>
  <c r="DH121" i="3"/>
  <c r="DG121" i="3"/>
  <c r="DG173" i="3"/>
  <c r="DG172" i="3"/>
  <c r="DJ172" i="3" s="1"/>
  <c r="DH172" i="3"/>
  <c r="DI168" i="3"/>
  <c r="DG150" i="3"/>
  <c r="DI176" i="3"/>
  <c r="DF173" i="3"/>
  <c r="DJ173" i="3" s="1"/>
  <c r="DG168" i="3"/>
  <c r="DJ168" i="3" s="1"/>
  <c r="DG156" i="3"/>
  <c r="DF156" i="3"/>
  <c r="DJ156" i="3" s="1"/>
  <c r="DH156" i="3"/>
  <c r="DI156" i="3"/>
  <c r="DI154" i="3"/>
  <c r="DH154" i="3"/>
  <c r="CX31" i="3"/>
  <c r="CX30" i="3"/>
  <c r="CX32" i="3"/>
  <c r="S32" i="1"/>
  <c r="AD32" i="1"/>
  <c r="AB32" i="1" s="1"/>
  <c r="CS32" i="1"/>
  <c r="R32" i="1" s="1"/>
  <c r="CQ29" i="1"/>
  <c r="P29" i="1" s="1"/>
  <c r="DH176" i="3"/>
  <c r="DI172" i="3"/>
  <c r="CX158" i="3"/>
  <c r="AB28" i="1"/>
  <c r="DF176" i="3"/>
  <c r="DJ176" i="3" s="1"/>
  <c r="DF172" i="3"/>
  <c r="DI170" i="3"/>
  <c r="DG170" i="3"/>
  <c r="DJ170" i="3" s="1"/>
  <c r="DH157" i="3"/>
  <c r="DF157" i="3"/>
  <c r="DJ157" i="3" s="1"/>
  <c r="DG154" i="3"/>
  <c r="DF153" i="3"/>
  <c r="DJ153" i="3" s="1"/>
  <c r="DI153" i="3"/>
  <c r="DF152" i="3"/>
  <c r="DJ152" i="3" s="1"/>
  <c r="DG152" i="3"/>
  <c r="DH152" i="3"/>
  <c r="DG147" i="3"/>
  <c r="DF147" i="3"/>
  <c r="T37" i="1"/>
  <c r="AB35" i="1"/>
  <c r="W33" i="1"/>
  <c r="DG171" i="3"/>
  <c r="DJ171" i="3" s="1"/>
  <c r="DH166" i="3"/>
  <c r="DI157" i="3"/>
  <c r="DF154" i="3"/>
  <c r="DJ154" i="3" s="1"/>
  <c r="DH153" i="3"/>
  <c r="CX139" i="3"/>
  <c r="DF24" i="3"/>
  <c r="DJ24" i="3" s="1"/>
  <c r="DG24" i="3"/>
  <c r="DI24" i="3"/>
  <c r="DH24" i="3"/>
  <c r="DH167" i="3"/>
  <c r="DG167" i="3"/>
  <c r="DJ167" i="3" s="1"/>
  <c r="CX144" i="3"/>
  <c r="DG124" i="3"/>
  <c r="DF124" i="3"/>
  <c r="DG123" i="3"/>
  <c r="DI123" i="3"/>
  <c r="DH123" i="3"/>
  <c r="CX105" i="3"/>
  <c r="CX97" i="3"/>
  <c r="CX95" i="3"/>
  <c r="CX67" i="3"/>
  <c r="CX128" i="3"/>
  <c r="CX119" i="3"/>
  <c r="CX101" i="3"/>
  <c r="CX136" i="3"/>
  <c r="CX112" i="3"/>
  <c r="CX102" i="3"/>
  <c r="DI155" i="3"/>
  <c r="DF155" i="3"/>
  <c r="DJ155" i="3" s="1"/>
  <c r="CX135" i="3"/>
  <c r="DH126" i="3"/>
  <c r="DG126" i="3"/>
  <c r="CX103" i="3"/>
  <c r="CX52" i="3"/>
  <c r="DF46" i="3"/>
  <c r="DG46" i="3"/>
  <c r="DI46" i="3"/>
  <c r="DJ46" i="3" s="1"/>
  <c r="DH46" i="3"/>
  <c r="CX162" i="3"/>
  <c r="DH151" i="3"/>
  <c r="DF151" i="3"/>
  <c r="DJ151" i="3" s="1"/>
  <c r="DI126" i="3"/>
  <c r="DJ126" i="3" s="1"/>
  <c r="CX104" i="3"/>
  <c r="DF146" i="3"/>
  <c r="DG146" i="3"/>
  <c r="DI146" i="3"/>
  <c r="DJ146" i="3" s="1"/>
  <c r="CX143" i="3"/>
  <c r="DG125" i="3"/>
  <c r="DH125" i="3"/>
  <c r="DF120" i="3"/>
  <c r="DH120" i="3"/>
  <c r="DI120" i="3"/>
  <c r="DJ120" i="3" s="1"/>
  <c r="CX93" i="3"/>
  <c r="CX91" i="3"/>
  <c r="CX77" i="3"/>
  <c r="CX36" i="3"/>
  <c r="CX37" i="3"/>
  <c r="CX25" i="3"/>
  <c r="DF122" i="3"/>
  <c r="DJ122" i="3" s="1"/>
  <c r="DG122" i="3"/>
  <c r="DI122" i="3"/>
  <c r="CX118" i="3"/>
  <c r="CX111" i="3"/>
  <c r="CX86" i="3"/>
  <c r="CX82" i="3"/>
  <c r="CX57" i="3"/>
  <c r="CX26" i="3"/>
  <c r="CX7" i="3"/>
  <c r="CX15" i="3"/>
  <c r="CX23" i="3"/>
  <c r="CX9" i="3"/>
  <c r="CX6" i="3"/>
  <c r="CX14" i="3"/>
  <c r="CX22" i="3"/>
  <c r="CX8" i="3"/>
  <c r="CX16" i="3"/>
  <c r="CX159" i="3"/>
  <c r="DF127" i="3"/>
  <c r="DJ127" i="3" s="1"/>
  <c r="DH127" i="3"/>
  <c r="CX117" i="3"/>
  <c r="CX110" i="3"/>
  <c r="CX109" i="3"/>
  <c r="CX84" i="3"/>
  <c r="CX83" i="3"/>
  <c r="DI45" i="3"/>
  <c r="DF45" i="3"/>
  <c r="DJ45" i="3" s="1"/>
  <c r="DG45" i="3"/>
  <c r="DH45" i="3"/>
  <c r="CX27" i="3"/>
  <c r="CX66" i="3"/>
  <c r="CX51" i="3"/>
  <c r="CX28" i="3"/>
  <c r="CX17" i="3"/>
  <c r="CX75" i="3"/>
  <c r="CX65" i="3"/>
  <c r="CX60" i="3"/>
  <c r="DF44" i="3"/>
  <c r="DJ44" i="3" s="1"/>
  <c r="DG44" i="3"/>
  <c r="DH44" i="3"/>
  <c r="DI44" i="3"/>
  <c r="CX29" i="3"/>
  <c r="CX19" i="3"/>
  <c r="CX18" i="3"/>
  <c r="CX50" i="3"/>
  <c r="DF43" i="3"/>
  <c r="DJ43" i="3" s="1"/>
  <c r="DH43" i="3"/>
  <c r="CX41" i="3"/>
  <c r="CX20" i="3"/>
  <c r="CX81" i="3"/>
  <c r="CX74" i="3"/>
  <c r="CX59" i="3"/>
  <c r="DG49" i="3"/>
  <c r="DH49" i="3"/>
  <c r="DH42" i="3"/>
  <c r="DI42" i="3"/>
  <c r="DJ42" i="3" s="1"/>
  <c r="CX21" i="3"/>
  <c r="CX11" i="3"/>
  <c r="CX10" i="3"/>
  <c r="CX1" i="3"/>
  <c r="CX73" i="3"/>
  <c r="CX68" i="3"/>
  <c r="CX33" i="3"/>
  <c r="CX12" i="3"/>
  <c r="CX3" i="3"/>
  <c r="CX2" i="3"/>
  <c r="CX58" i="3"/>
  <c r="DG43" i="3"/>
  <c r="DF42" i="3"/>
  <c r="CX35" i="3"/>
  <c r="CX34" i="3"/>
  <c r="CX13" i="3"/>
  <c r="CX4" i="3"/>
  <c r="DI47" i="3"/>
  <c r="H275" i="6" l="1"/>
  <c r="K329" i="6"/>
  <c r="J332" i="6" s="1"/>
  <c r="P332" i="6" s="1"/>
  <c r="HD64" i="1"/>
  <c r="K175" i="6"/>
  <c r="J177" i="6" s="1"/>
  <c r="P177" i="6" s="1"/>
  <c r="CP109" i="1"/>
  <c r="O109" i="1" s="1"/>
  <c r="K227" i="6"/>
  <c r="GN129" i="1"/>
  <c r="W131" i="6"/>
  <c r="G131" i="6"/>
  <c r="O131" i="6" s="1"/>
  <c r="W354" i="6"/>
  <c r="G354" i="6"/>
  <c r="O354" i="6" s="1"/>
  <c r="GN115" i="1"/>
  <c r="CP138" i="1"/>
  <c r="O138" i="1" s="1"/>
  <c r="K333" i="6"/>
  <c r="J334" i="6" s="1"/>
  <c r="P334" i="6" s="1"/>
  <c r="H233" i="6"/>
  <c r="W233" i="6" s="1"/>
  <c r="S204" i="6"/>
  <c r="J267" i="6"/>
  <c r="P267" i="6" s="1"/>
  <c r="H311" i="6"/>
  <c r="S80" i="6"/>
  <c r="S233" i="6"/>
  <c r="R188" i="6"/>
  <c r="G193" i="6"/>
  <c r="O193" i="6" s="1"/>
  <c r="W193" i="6"/>
  <c r="W320" i="6"/>
  <c r="G320" i="6"/>
  <c r="O320" i="6" s="1"/>
  <c r="L81" i="6"/>
  <c r="Q81" i="6" s="1"/>
  <c r="L79" i="6"/>
  <c r="W114" i="6"/>
  <c r="G114" i="6"/>
  <c r="O114" i="6" s="1"/>
  <c r="R110" i="6"/>
  <c r="W172" i="6"/>
  <c r="G172" i="6"/>
  <c r="O172" i="6" s="1"/>
  <c r="G94" i="6"/>
  <c r="O94" i="6" s="1"/>
  <c r="R89" i="6"/>
  <c r="W94" i="6"/>
  <c r="CP43" i="1"/>
  <c r="O43" i="1" s="1"/>
  <c r="K95" i="6"/>
  <c r="J96" i="6" s="1"/>
  <c r="P96" i="6" s="1"/>
  <c r="S129" i="6"/>
  <c r="HD62" i="1"/>
  <c r="K171" i="6"/>
  <c r="J172" i="6" s="1"/>
  <c r="P172" i="6" s="1"/>
  <c r="R102" i="6"/>
  <c r="W106" i="6"/>
  <c r="G106" i="6"/>
  <c r="O106" i="6" s="1"/>
  <c r="G349" i="6"/>
  <c r="O349" i="6" s="1"/>
  <c r="W349" i="6"/>
  <c r="R211" i="6"/>
  <c r="W217" i="6"/>
  <c r="G217" i="6"/>
  <c r="O217" i="6" s="1"/>
  <c r="W296" i="6"/>
  <c r="G296" i="6"/>
  <c r="O296" i="6" s="1"/>
  <c r="H312" i="6"/>
  <c r="CP134" i="1"/>
  <c r="O134" i="1" s="1"/>
  <c r="K319" i="6"/>
  <c r="J320" i="6" s="1"/>
  <c r="P320" i="6" s="1"/>
  <c r="J343" i="6"/>
  <c r="P343" i="6" s="1"/>
  <c r="CY100" i="1"/>
  <c r="X100" i="1" s="1"/>
  <c r="T184" i="6" s="1"/>
  <c r="CZ100" i="1"/>
  <c r="Y100" i="1" s="1"/>
  <c r="V184" i="6" s="1"/>
  <c r="R255" i="6"/>
  <c r="G259" i="6"/>
  <c r="O259" i="6" s="1"/>
  <c r="W259" i="6"/>
  <c r="J193" i="6"/>
  <c r="P193" i="6" s="1"/>
  <c r="U233" i="6"/>
  <c r="H231" i="6" s="1"/>
  <c r="R158" i="6"/>
  <c r="G165" i="6"/>
  <c r="O165" i="6" s="1"/>
  <c r="W165" i="6"/>
  <c r="CP60" i="1"/>
  <c r="O60" i="1" s="1"/>
  <c r="K166" i="6"/>
  <c r="J167" i="6" s="1"/>
  <c r="P167" i="6" s="1"/>
  <c r="R196" i="6"/>
  <c r="W203" i="6"/>
  <c r="G203" i="6"/>
  <c r="O203" i="6" s="1"/>
  <c r="CG66" i="1"/>
  <c r="W104" i="1"/>
  <c r="C208" i="6"/>
  <c r="E207" i="6"/>
  <c r="CP141" i="1"/>
  <c r="O141" i="1" s="1"/>
  <c r="K346" i="6"/>
  <c r="J347" i="6" s="1"/>
  <c r="P347" i="6" s="1"/>
  <c r="T104" i="1"/>
  <c r="GN64" i="1"/>
  <c r="V237" i="6"/>
  <c r="GN49" i="1"/>
  <c r="V115" i="6"/>
  <c r="W51" i="1"/>
  <c r="E125" i="6"/>
  <c r="CP34" i="1"/>
  <c r="O34" i="1" s="1"/>
  <c r="K65" i="6"/>
  <c r="J66" i="6" s="1"/>
  <c r="P66" i="6" s="1"/>
  <c r="CY124" i="1"/>
  <c r="X124" i="1" s="1"/>
  <c r="T280" i="6" s="1"/>
  <c r="DG5" i="3"/>
  <c r="GN31" i="1"/>
  <c r="T51" i="6"/>
  <c r="GM63" i="1"/>
  <c r="GM133" i="1"/>
  <c r="T317" i="6"/>
  <c r="CI66" i="1"/>
  <c r="CI26" i="1" s="1"/>
  <c r="HD143" i="1"/>
  <c r="K350" i="6"/>
  <c r="J351" i="6" s="1"/>
  <c r="P351" i="6" s="1"/>
  <c r="AQ66" i="1"/>
  <c r="CZ115" i="1"/>
  <c r="Y115" i="1" s="1"/>
  <c r="V248" i="6" s="1"/>
  <c r="CY128" i="1"/>
  <c r="X128" i="1" s="1"/>
  <c r="T297" i="6" s="1"/>
  <c r="K302" i="6" s="1"/>
  <c r="K301" i="6"/>
  <c r="T285" i="6"/>
  <c r="K291" i="6" s="1"/>
  <c r="GN130" i="1"/>
  <c r="T314" i="6"/>
  <c r="CP114" i="1"/>
  <c r="O114" i="1" s="1"/>
  <c r="K243" i="6"/>
  <c r="H77" i="6"/>
  <c r="G81" i="6" s="1"/>
  <c r="O81" i="6" s="1"/>
  <c r="J106" i="6"/>
  <c r="P106" i="6" s="1"/>
  <c r="R35" i="6"/>
  <c r="G40" i="6"/>
  <c r="O40" i="6" s="1"/>
  <c r="W40" i="6"/>
  <c r="W116" i="6"/>
  <c r="G116" i="6"/>
  <c r="O116" i="6" s="1"/>
  <c r="W167" i="6"/>
  <c r="G167" i="6"/>
  <c r="O167" i="6" s="1"/>
  <c r="CP126" i="1"/>
  <c r="O126" i="1" s="1"/>
  <c r="GN126" i="1" s="1"/>
  <c r="K290" i="6"/>
  <c r="J294" i="6" s="1"/>
  <c r="P294" i="6" s="1"/>
  <c r="CZ105" i="1"/>
  <c r="Y105" i="1" s="1"/>
  <c r="V210" i="6" s="1"/>
  <c r="K215" i="6" s="1"/>
  <c r="K211" i="6"/>
  <c r="CZ129" i="1"/>
  <c r="Y129" i="1" s="1"/>
  <c r="V306" i="6" s="1"/>
  <c r="K312" i="6" s="1"/>
  <c r="K307" i="6"/>
  <c r="CY129" i="1"/>
  <c r="X129" i="1" s="1"/>
  <c r="T306" i="6" s="1"/>
  <c r="G219" i="6"/>
  <c r="O219" i="6" s="1"/>
  <c r="W219" i="6"/>
  <c r="CP127" i="1"/>
  <c r="O127" i="1" s="1"/>
  <c r="GN127" i="1" s="1"/>
  <c r="K295" i="6"/>
  <c r="J296" i="6" s="1"/>
  <c r="P296" i="6" s="1"/>
  <c r="G284" i="6"/>
  <c r="O284" i="6" s="1"/>
  <c r="W284" i="6"/>
  <c r="CY59" i="1"/>
  <c r="X59" i="1" s="1"/>
  <c r="T157" i="6" s="1"/>
  <c r="K162" i="6" s="1"/>
  <c r="K160" i="6"/>
  <c r="GM140" i="1"/>
  <c r="T344" i="6"/>
  <c r="GM144" i="1"/>
  <c r="C353" i="6"/>
  <c r="U352" i="6"/>
  <c r="S352" i="6"/>
  <c r="E352" i="6"/>
  <c r="GN122" i="1"/>
  <c r="T270" i="6"/>
  <c r="GM127" i="1"/>
  <c r="V295" i="6"/>
  <c r="H230" i="6"/>
  <c r="CZ114" i="1"/>
  <c r="Y114" i="1" s="1"/>
  <c r="V241" i="6" s="1"/>
  <c r="K245" i="6" s="1"/>
  <c r="K242" i="6"/>
  <c r="CY114" i="1"/>
  <c r="X114" i="1" s="1"/>
  <c r="T241" i="6" s="1"/>
  <c r="K244" i="6" s="1"/>
  <c r="CP28" i="1"/>
  <c r="O28" i="1" s="1"/>
  <c r="GN28" i="1" s="1"/>
  <c r="W61" i="1"/>
  <c r="C169" i="6"/>
  <c r="E168" i="6"/>
  <c r="CP50" i="1"/>
  <c r="O50" i="1" s="1"/>
  <c r="CP125" i="1"/>
  <c r="O125" i="1" s="1"/>
  <c r="K282" i="6"/>
  <c r="J284" i="6" s="1"/>
  <c r="P284" i="6" s="1"/>
  <c r="U129" i="6"/>
  <c r="DH5" i="3"/>
  <c r="CP33" i="1"/>
  <c r="O33" i="1" s="1"/>
  <c r="CP39" i="1"/>
  <c r="O39" i="1" s="1"/>
  <c r="CP35" i="1"/>
  <c r="O35" i="1" s="1"/>
  <c r="T53" i="1"/>
  <c r="CY109" i="1"/>
  <c r="X109" i="1" s="1"/>
  <c r="T224" i="6" s="1"/>
  <c r="K228" i="6"/>
  <c r="CY55" i="1"/>
  <c r="X55" i="1" s="1"/>
  <c r="T142" i="6" s="1"/>
  <c r="CZ102" i="1"/>
  <c r="Y102" i="1" s="1"/>
  <c r="V194" i="6" s="1"/>
  <c r="K201" i="6" s="1"/>
  <c r="K198" i="6"/>
  <c r="R104" i="1"/>
  <c r="CZ60" i="1"/>
  <c r="Y60" i="1" s="1"/>
  <c r="V166" i="6" s="1"/>
  <c r="CP136" i="1"/>
  <c r="O136" i="1" s="1"/>
  <c r="GN136" i="1" s="1"/>
  <c r="CZ117" i="1"/>
  <c r="Y117" i="1" s="1"/>
  <c r="V252" i="6" s="1"/>
  <c r="J40" i="6"/>
  <c r="P40" i="6" s="1"/>
  <c r="R58" i="6"/>
  <c r="W64" i="6"/>
  <c r="G64" i="6"/>
  <c r="O64" i="6" s="1"/>
  <c r="G351" i="6"/>
  <c r="O351" i="6" s="1"/>
  <c r="W351" i="6"/>
  <c r="H328" i="6"/>
  <c r="E155" i="6"/>
  <c r="W58" i="1"/>
  <c r="R58" i="1"/>
  <c r="CZ58" i="1" s="1"/>
  <c r="Y58" i="1" s="1"/>
  <c r="V155" i="6" s="1"/>
  <c r="S207" i="6"/>
  <c r="W128" i="6"/>
  <c r="G128" i="6"/>
  <c r="O128" i="6" s="1"/>
  <c r="C176" i="6"/>
  <c r="U175" i="6"/>
  <c r="S175" i="6"/>
  <c r="E175" i="6"/>
  <c r="CP116" i="1"/>
  <c r="O116" i="1" s="1"/>
  <c r="K250" i="6"/>
  <c r="J251" i="6" s="1"/>
  <c r="P251" i="6" s="1"/>
  <c r="CP119" i="1"/>
  <c r="O119" i="1" s="1"/>
  <c r="GM119" i="1" s="1"/>
  <c r="K260" i="6"/>
  <c r="J261" i="6" s="1"/>
  <c r="P261" i="6" s="1"/>
  <c r="L305" i="6"/>
  <c r="Q305" i="6" s="1"/>
  <c r="L304" i="6"/>
  <c r="R336" i="6"/>
  <c r="G343" i="6"/>
  <c r="O343" i="6" s="1"/>
  <c r="W343" i="6"/>
  <c r="G185" i="6"/>
  <c r="O185" i="6" s="1"/>
  <c r="W185" i="6"/>
  <c r="H78" i="6"/>
  <c r="CP117" i="1"/>
  <c r="O117" i="1" s="1"/>
  <c r="R134" i="6"/>
  <c r="G141" i="6"/>
  <c r="O141" i="6" s="1"/>
  <c r="W141" i="6"/>
  <c r="DF5" i="3"/>
  <c r="CP54" i="1"/>
  <c r="O54" i="1" s="1"/>
  <c r="K137" i="6"/>
  <c r="CY35" i="1"/>
  <c r="X35" i="1" s="1"/>
  <c r="T67" i="6" s="1"/>
  <c r="V38" i="1"/>
  <c r="E80" i="6"/>
  <c r="CY33" i="1"/>
  <c r="X33" i="1" s="1"/>
  <c r="T57" i="6" s="1"/>
  <c r="K61" i="6" s="1"/>
  <c r="GM44" i="1"/>
  <c r="T97" i="6"/>
  <c r="CP55" i="1"/>
  <c r="O55" i="1" s="1"/>
  <c r="K142" i="6"/>
  <c r="J143" i="6" s="1"/>
  <c r="P143" i="6" s="1"/>
  <c r="Q104" i="1"/>
  <c r="L203" i="6"/>
  <c r="Q203" i="6" s="1"/>
  <c r="L202" i="6"/>
  <c r="V104" i="1"/>
  <c r="CP56" i="1"/>
  <c r="O56" i="1" s="1"/>
  <c r="GN56" i="1" s="1"/>
  <c r="CP139" i="1"/>
  <c r="O139" i="1" s="1"/>
  <c r="GM139" i="1" s="1"/>
  <c r="L277" i="6"/>
  <c r="L279" i="6"/>
  <c r="Q279" i="6" s="1"/>
  <c r="GN134" i="1"/>
  <c r="T319" i="6"/>
  <c r="CP107" i="1"/>
  <c r="O107" i="1" s="1"/>
  <c r="GM107" i="1" s="1"/>
  <c r="K220" i="6"/>
  <c r="J221" i="6" s="1"/>
  <c r="P221" i="6" s="1"/>
  <c r="G108" i="6"/>
  <c r="O108" i="6" s="1"/>
  <c r="W108" i="6"/>
  <c r="H122" i="6"/>
  <c r="J141" i="6"/>
  <c r="P141" i="6" s="1"/>
  <c r="H168" i="6"/>
  <c r="S153" i="6"/>
  <c r="H150" i="6" s="1"/>
  <c r="CY34" i="1"/>
  <c r="X34" i="1" s="1"/>
  <c r="T65" i="6" s="1"/>
  <c r="CZ34" i="1"/>
  <c r="Y34" i="1" s="1"/>
  <c r="V65" i="6" s="1"/>
  <c r="H175" i="6"/>
  <c r="S168" i="6"/>
  <c r="J305" i="6"/>
  <c r="P305" i="6" s="1"/>
  <c r="W56" i="6"/>
  <c r="G56" i="6"/>
  <c r="O56" i="6" s="1"/>
  <c r="CP140" i="1"/>
  <c r="O140" i="1" s="1"/>
  <c r="K344" i="6"/>
  <c r="J345" i="6" s="1"/>
  <c r="P345" i="6" s="1"/>
  <c r="W247" i="6"/>
  <c r="R242" i="6"/>
  <c r="G247" i="6"/>
  <c r="O247" i="6" s="1"/>
  <c r="H329" i="6"/>
  <c r="G85" i="6"/>
  <c r="O85" i="6" s="1"/>
  <c r="W85" i="6"/>
  <c r="H207" i="6"/>
  <c r="K89" i="6"/>
  <c r="CY42" i="1"/>
  <c r="X42" i="1" s="1"/>
  <c r="T88" i="6" s="1"/>
  <c r="K91" i="6" s="1"/>
  <c r="U207" i="6"/>
  <c r="CP45" i="1"/>
  <c r="O45" i="1" s="1"/>
  <c r="K99" i="6"/>
  <c r="J100" i="6" s="1"/>
  <c r="P100" i="6" s="1"/>
  <c r="HD142" i="1"/>
  <c r="K348" i="6"/>
  <c r="J349" i="6" s="1"/>
  <c r="P349" i="6" s="1"/>
  <c r="W156" i="6"/>
  <c r="G156" i="6"/>
  <c r="O156" i="6" s="1"/>
  <c r="CP112" i="1"/>
  <c r="O112" i="1" s="1"/>
  <c r="GM112" i="1" s="1"/>
  <c r="K237" i="6"/>
  <c r="J238" i="6" s="1"/>
  <c r="P238" i="6" s="1"/>
  <c r="R299" i="6"/>
  <c r="G305" i="6"/>
  <c r="O305" i="6" s="1"/>
  <c r="W305" i="6"/>
  <c r="G347" i="6"/>
  <c r="O347" i="6" s="1"/>
  <c r="W347" i="6"/>
  <c r="R287" i="6"/>
  <c r="G294" i="6"/>
  <c r="O294" i="6" s="1"/>
  <c r="W294" i="6"/>
  <c r="E129" i="6"/>
  <c r="C130" i="6"/>
  <c r="Q53" i="1"/>
  <c r="CZ33" i="1"/>
  <c r="Y33" i="1" s="1"/>
  <c r="V57" i="6" s="1"/>
  <c r="K62" i="6" s="1"/>
  <c r="U103" i="1"/>
  <c r="L206" i="6" s="1"/>
  <c r="Q206" i="6" s="1"/>
  <c r="C205" i="6"/>
  <c r="E204" i="6"/>
  <c r="CP59" i="1"/>
  <c r="O59" i="1" s="1"/>
  <c r="GN59" i="1" s="1"/>
  <c r="K161" i="6"/>
  <c r="J165" i="6" s="1"/>
  <c r="P165" i="6" s="1"/>
  <c r="CP102" i="1"/>
  <c r="O102" i="1" s="1"/>
  <c r="GM118" i="1"/>
  <c r="T254" i="6"/>
  <c r="K256" i="6" s="1"/>
  <c r="J259" i="6" s="1"/>
  <c r="P259" i="6" s="1"/>
  <c r="GN144" i="1"/>
  <c r="R43" i="6"/>
  <c r="G50" i="6"/>
  <c r="O50" i="6" s="1"/>
  <c r="W50" i="6"/>
  <c r="H123" i="6"/>
  <c r="W32" i="6"/>
  <c r="G32" i="6"/>
  <c r="O32" i="6" s="1"/>
  <c r="U153" i="6"/>
  <c r="H151" i="6" s="1"/>
  <c r="CP30" i="1"/>
  <c r="O30" i="1" s="1"/>
  <c r="K46" i="6"/>
  <c r="J50" i="6" s="1"/>
  <c r="P50" i="6" s="1"/>
  <c r="U168" i="6"/>
  <c r="CZ36" i="1"/>
  <c r="Y36" i="1" s="1"/>
  <c r="V69" i="6" s="1"/>
  <c r="CY36" i="1"/>
  <c r="X36" i="1" s="1"/>
  <c r="T69" i="6" s="1"/>
  <c r="R263" i="6"/>
  <c r="W267" i="6"/>
  <c r="G267" i="6"/>
  <c r="O267" i="6" s="1"/>
  <c r="W174" i="6"/>
  <c r="G174" i="6"/>
  <c r="O174" i="6" s="1"/>
  <c r="H276" i="6"/>
  <c r="G279" i="6" s="1"/>
  <c r="O279" i="6" s="1"/>
  <c r="CP122" i="1"/>
  <c r="O122" i="1" s="1"/>
  <c r="GM117" i="1"/>
  <c r="GN117" i="1"/>
  <c r="GN40" i="1"/>
  <c r="GM40" i="1"/>
  <c r="DH58" i="3"/>
  <c r="DI58" i="3"/>
  <c r="DJ58" i="3" s="1"/>
  <c r="DG58" i="3"/>
  <c r="DF58" i="3"/>
  <c r="DF19" i="3"/>
  <c r="DJ19" i="3" s="1"/>
  <c r="DG19" i="3"/>
  <c r="DH19" i="3"/>
  <c r="DI19" i="3"/>
  <c r="DH118" i="3"/>
  <c r="DG118" i="3"/>
  <c r="DI118" i="3"/>
  <c r="DF118" i="3"/>
  <c r="DJ118" i="3" s="1"/>
  <c r="DF128" i="3"/>
  <c r="DH128" i="3"/>
  <c r="DI128" i="3"/>
  <c r="DJ128" i="3" s="1"/>
  <c r="DG128" i="3"/>
  <c r="GX53" i="1"/>
  <c r="S53" i="1"/>
  <c r="V53" i="1"/>
  <c r="AI66" i="1" s="1"/>
  <c r="CD26" i="1"/>
  <c r="AU66" i="1"/>
  <c r="AO98" i="1"/>
  <c r="F150" i="1"/>
  <c r="DF92" i="3"/>
  <c r="DJ92" i="3" s="1"/>
  <c r="DG92" i="3"/>
  <c r="DH92" i="3"/>
  <c r="DI92" i="3"/>
  <c r="DH2" i="3"/>
  <c r="DI2" i="3"/>
  <c r="DG2" i="3"/>
  <c r="DJ2" i="3" s="1"/>
  <c r="DF2" i="3"/>
  <c r="DI13" i="3"/>
  <c r="DF13" i="3"/>
  <c r="DJ13" i="3" s="1"/>
  <c r="DH13" i="3"/>
  <c r="DG13" i="3"/>
  <c r="DF41" i="3"/>
  <c r="DJ41" i="3" s="1"/>
  <c r="DG41" i="3"/>
  <c r="DH41" i="3"/>
  <c r="DI41" i="3"/>
  <c r="DF8" i="3"/>
  <c r="DG8" i="3"/>
  <c r="DJ8" i="3" s="1"/>
  <c r="DI8" i="3"/>
  <c r="DH8" i="3"/>
  <c r="DF104" i="3"/>
  <c r="DJ104" i="3" s="1"/>
  <c r="DG104" i="3"/>
  <c r="DH104" i="3"/>
  <c r="DI104" i="3"/>
  <c r="DH102" i="3"/>
  <c r="DI102" i="3"/>
  <c r="DF102" i="3"/>
  <c r="DJ102" i="3" s="1"/>
  <c r="DG102" i="3"/>
  <c r="DH97" i="3"/>
  <c r="DI97" i="3"/>
  <c r="DG97" i="3"/>
  <c r="DF97" i="3"/>
  <c r="DJ97" i="3" s="1"/>
  <c r="S57" i="1"/>
  <c r="T57" i="1"/>
  <c r="U57" i="1"/>
  <c r="DF40" i="3"/>
  <c r="DJ40" i="3" s="1"/>
  <c r="DG40" i="3"/>
  <c r="DI40" i="3"/>
  <c r="DH40" i="3"/>
  <c r="GN41" i="1"/>
  <c r="GM41" i="1"/>
  <c r="DF138" i="3"/>
  <c r="DG138" i="3"/>
  <c r="DJ138" i="3" s="1"/>
  <c r="DI138" i="3"/>
  <c r="DH138" i="3"/>
  <c r="GM60" i="1"/>
  <c r="GN60" i="1"/>
  <c r="DH34" i="3"/>
  <c r="DI34" i="3"/>
  <c r="DJ34" i="3" s="1"/>
  <c r="DG34" i="3"/>
  <c r="DF34" i="3"/>
  <c r="DF33" i="3"/>
  <c r="DJ33" i="3" s="1"/>
  <c r="DG33" i="3"/>
  <c r="DH33" i="3"/>
  <c r="DI33" i="3"/>
  <c r="DF22" i="3"/>
  <c r="DJ22" i="3" s="1"/>
  <c r="DG22" i="3"/>
  <c r="DH22" i="3"/>
  <c r="DI22" i="3"/>
  <c r="DF25" i="3"/>
  <c r="DJ25" i="3" s="1"/>
  <c r="DG25" i="3"/>
  <c r="DH25" i="3"/>
  <c r="DI25" i="3"/>
  <c r="DF52" i="3"/>
  <c r="DH52" i="3"/>
  <c r="DI52" i="3"/>
  <c r="DG52" i="3"/>
  <c r="DJ52" i="3" s="1"/>
  <c r="DF68" i="3"/>
  <c r="DH68" i="3"/>
  <c r="DI68" i="3"/>
  <c r="DG68" i="3"/>
  <c r="DJ68" i="3" s="1"/>
  <c r="DF27" i="3"/>
  <c r="DG27" i="3"/>
  <c r="DH27" i="3"/>
  <c r="DI27" i="3"/>
  <c r="DJ27" i="3" s="1"/>
  <c r="DH110" i="3"/>
  <c r="DI110" i="3"/>
  <c r="DG110" i="3"/>
  <c r="DF110" i="3"/>
  <c r="DJ110" i="3" s="1"/>
  <c r="DH82" i="3"/>
  <c r="DF82" i="3"/>
  <c r="DG82" i="3"/>
  <c r="DI82" i="3"/>
  <c r="DJ82" i="3" s="1"/>
  <c r="DH136" i="3"/>
  <c r="DI136" i="3"/>
  <c r="DJ136" i="3" s="1"/>
  <c r="DG136" i="3"/>
  <c r="DF136" i="3"/>
  <c r="DG80" i="3"/>
  <c r="DJ80" i="3" s="1"/>
  <c r="DI80" i="3"/>
  <c r="DH80" i="3"/>
  <c r="DF80" i="3"/>
  <c r="DG73" i="3"/>
  <c r="DJ73" i="3" s="1"/>
  <c r="DH73" i="3"/>
  <c r="DI73" i="3"/>
  <c r="DF73" i="3"/>
  <c r="DH50" i="3"/>
  <c r="DF50" i="3"/>
  <c r="DG50" i="3"/>
  <c r="DI50" i="3"/>
  <c r="DJ50" i="3" s="1"/>
  <c r="DF60" i="3"/>
  <c r="DH60" i="3"/>
  <c r="DI60" i="3"/>
  <c r="DG60" i="3"/>
  <c r="DJ60" i="3" s="1"/>
  <c r="DF6" i="3"/>
  <c r="DG6" i="3"/>
  <c r="DJ6" i="3" s="1"/>
  <c r="DH6" i="3"/>
  <c r="DI6" i="3"/>
  <c r="DI86" i="3"/>
  <c r="DF86" i="3"/>
  <c r="DG86" i="3"/>
  <c r="DJ86" i="3" s="1"/>
  <c r="DH86" i="3"/>
  <c r="DF1" i="3"/>
  <c r="DG1" i="3"/>
  <c r="DH1" i="3"/>
  <c r="DI1" i="3"/>
  <c r="DJ1" i="3" s="1"/>
  <c r="DF59" i="3"/>
  <c r="DH59" i="3"/>
  <c r="DG59" i="3"/>
  <c r="DJ59" i="3" s="1"/>
  <c r="DI59" i="3"/>
  <c r="DH18" i="3"/>
  <c r="DI18" i="3"/>
  <c r="DG18" i="3"/>
  <c r="DF18" i="3"/>
  <c r="DJ18" i="3" s="1"/>
  <c r="DG65" i="3"/>
  <c r="DH65" i="3"/>
  <c r="DF65" i="3"/>
  <c r="DI65" i="3"/>
  <c r="DJ65" i="3" s="1"/>
  <c r="DF9" i="3"/>
  <c r="DG9" i="3"/>
  <c r="DJ9" i="3" s="1"/>
  <c r="DH9" i="3"/>
  <c r="DI9" i="3"/>
  <c r="DF111" i="3"/>
  <c r="DJ111" i="3" s="1"/>
  <c r="DH111" i="3"/>
  <c r="DI111" i="3"/>
  <c r="DG111" i="3"/>
  <c r="DI77" i="3"/>
  <c r="DF77" i="3"/>
  <c r="DJ77" i="3" s="1"/>
  <c r="DH77" i="3"/>
  <c r="DG77" i="3"/>
  <c r="DF143" i="3"/>
  <c r="DH143" i="3"/>
  <c r="DG143" i="3"/>
  <c r="DI143" i="3"/>
  <c r="DJ143" i="3" s="1"/>
  <c r="DI162" i="3"/>
  <c r="DH162" i="3"/>
  <c r="DG162" i="3"/>
  <c r="DJ162" i="3" s="1"/>
  <c r="DF162" i="3"/>
  <c r="DF119" i="3"/>
  <c r="DJ119" i="3" s="1"/>
  <c r="DH119" i="3"/>
  <c r="DG119" i="3"/>
  <c r="DI119" i="3"/>
  <c r="CP37" i="1"/>
  <c r="O37" i="1" s="1"/>
  <c r="GM54" i="1"/>
  <c r="GN54" i="1"/>
  <c r="DG71" i="3"/>
  <c r="DI71" i="3"/>
  <c r="DJ71" i="3" s="1"/>
  <c r="DF71" i="3"/>
  <c r="DH71" i="3"/>
  <c r="DH163" i="3"/>
  <c r="DF163" i="3"/>
  <c r="DJ163" i="3" s="1"/>
  <c r="DG163" i="3"/>
  <c r="DI163" i="3"/>
  <c r="W38" i="1"/>
  <c r="GX57" i="1"/>
  <c r="DG108" i="3"/>
  <c r="DJ108" i="3" s="1"/>
  <c r="DH108" i="3"/>
  <c r="DI108" i="3"/>
  <c r="DF108" i="3"/>
  <c r="GX38" i="1"/>
  <c r="AZ66" i="1"/>
  <c r="DF98" i="3"/>
  <c r="DJ98" i="3" s="1"/>
  <c r="DG98" i="3"/>
  <c r="DI98" i="3"/>
  <c r="DH98" i="3"/>
  <c r="CZ109" i="1"/>
  <c r="Y109" i="1" s="1"/>
  <c r="DG132" i="3"/>
  <c r="DF132" i="3"/>
  <c r="DJ132" i="3" s="1"/>
  <c r="DH132" i="3"/>
  <c r="DI132" i="3"/>
  <c r="V61" i="1"/>
  <c r="AQ26" i="1"/>
  <c r="F76" i="1"/>
  <c r="GN43" i="1"/>
  <c r="GM43" i="1"/>
  <c r="GM122" i="1"/>
  <c r="GM134" i="1"/>
  <c r="GN114" i="1"/>
  <c r="BY98" i="1"/>
  <c r="CI146" i="1"/>
  <c r="AP146" i="1"/>
  <c r="DI29" i="3"/>
  <c r="DF29" i="3"/>
  <c r="DH29" i="3"/>
  <c r="DG29" i="3"/>
  <c r="DJ29" i="3" s="1"/>
  <c r="DF32" i="3"/>
  <c r="DJ32" i="3" s="1"/>
  <c r="DG32" i="3"/>
  <c r="DI32" i="3"/>
  <c r="DH32" i="3"/>
  <c r="DG63" i="3"/>
  <c r="DI63" i="3"/>
  <c r="DF63" i="3"/>
  <c r="DJ63" i="3" s="1"/>
  <c r="DH63" i="3"/>
  <c r="DF161" i="3"/>
  <c r="DH161" i="3"/>
  <c r="DG161" i="3"/>
  <c r="DJ161" i="3" s="1"/>
  <c r="DI161" i="3"/>
  <c r="R53" i="1"/>
  <c r="CP100" i="1"/>
  <c r="O100" i="1" s="1"/>
  <c r="DF90" i="3"/>
  <c r="DG90" i="3"/>
  <c r="DJ90" i="3" s="1"/>
  <c r="DH90" i="3"/>
  <c r="DI90" i="3"/>
  <c r="GN128" i="1"/>
  <c r="GM128" i="1"/>
  <c r="GM56" i="1"/>
  <c r="Q57" i="1"/>
  <c r="GN133" i="1"/>
  <c r="DF75" i="3"/>
  <c r="DJ75" i="3" s="1"/>
  <c r="DH75" i="3"/>
  <c r="DG75" i="3"/>
  <c r="DI75" i="3"/>
  <c r="DG23" i="3"/>
  <c r="DH23" i="3"/>
  <c r="DI23" i="3"/>
  <c r="DF23" i="3"/>
  <c r="DJ23" i="3" s="1"/>
  <c r="DF135" i="3"/>
  <c r="DH135" i="3"/>
  <c r="DG135" i="3"/>
  <c r="DI135" i="3"/>
  <c r="DJ135" i="3" s="1"/>
  <c r="CY32" i="1"/>
  <c r="X32" i="1" s="1"/>
  <c r="T54" i="6" s="1"/>
  <c r="CZ32" i="1"/>
  <c r="Y32" i="1" s="1"/>
  <c r="V54" i="6" s="1"/>
  <c r="GM47" i="1"/>
  <c r="GN47" i="1"/>
  <c r="P53" i="1"/>
  <c r="DF130" i="3"/>
  <c r="DG130" i="3"/>
  <c r="DJ130" i="3" s="1"/>
  <c r="DI130" i="3"/>
  <c r="DH130" i="3"/>
  <c r="DF11" i="3"/>
  <c r="DG11" i="3"/>
  <c r="DJ11" i="3" s="1"/>
  <c r="DH11" i="3"/>
  <c r="DI11" i="3"/>
  <c r="DH81" i="3"/>
  <c r="DF81" i="3"/>
  <c r="DJ81" i="3" s="1"/>
  <c r="DG81" i="3"/>
  <c r="DI81" i="3"/>
  <c r="DF17" i="3"/>
  <c r="DJ17" i="3" s="1"/>
  <c r="DG17" i="3"/>
  <c r="DH17" i="3"/>
  <c r="DI17" i="3"/>
  <c r="DH159" i="3"/>
  <c r="DI159" i="3"/>
  <c r="DJ159" i="3" s="1"/>
  <c r="DG159" i="3"/>
  <c r="DF159" i="3"/>
  <c r="DG15" i="3"/>
  <c r="DH15" i="3"/>
  <c r="DI15" i="3"/>
  <c r="DF15" i="3"/>
  <c r="DJ15" i="3" s="1"/>
  <c r="DF93" i="3"/>
  <c r="DJ93" i="3" s="1"/>
  <c r="DI93" i="3"/>
  <c r="DG93" i="3"/>
  <c r="DH93" i="3"/>
  <c r="DF67" i="3"/>
  <c r="DH67" i="3"/>
  <c r="DG67" i="3"/>
  <c r="DJ67" i="3" s="1"/>
  <c r="DI67" i="3"/>
  <c r="DI139" i="3"/>
  <c r="DF139" i="3"/>
  <c r="DJ139" i="3" s="1"/>
  <c r="DG139" i="3"/>
  <c r="DH139" i="3"/>
  <c r="DF70" i="3"/>
  <c r="DJ70" i="3" s="1"/>
  <c r="DG70" i="3"/>
  <c r="DI70" i="3"/>
  <c r="DH70" i="3"/>
  <c r="DF76" i="3"/>
  <c r="DJ76" i="3" s="1"/>
  <c r="DI76" i="3"/>
  <c r="DG76" i="3"/>
  <c r="DH76" i="3"/>
  <c r="Q51" i="1"/>
  <c r="R51" i="1"/>
  <c r="W57" i="1"/>
  <c r="DG107" i="3"/>
  <c r="DJ107" i="3" s="1"/>
  <c r="DH107" i="3"/>
  <c r="DI107" i="3"/>
  <c r="DF107" i="3"/>
  <c r="S51" i="1"/>
  <c r="CP51" i="1" s="1"/>
  <c r="O51" i="1" s="1"/>
  <c r="K125" i="6" s="1"/>
  <c r="CY113" i="1"/>
  <c r="X113" i="1" s="1"/>
  <c r="DG96" i="3"/>
  <c r="DF96" i="3"/>
  <c r="DJ96" i="3" s="1"/>
  <c r="DH96" i="3"/>
  <c r="DI96" i="3"/>
  <c r="DF129" i="3"/>
  <c r="DG129" i="3"/>
  <c r="DH129" i="3"/>
  <c r="DI129" i="3"/>
  <c r="DJ129" i="3" s="1"/>
  <c r="DF4" i="3"/>
  <c r="DG4" i="3"/>
  <c r="DH4" i="3"/>
  <c r="DI4" i="3"/>
  <c r="DJ4" i="3" s="1"/>
  <c r="DF3" i="3"/>
  <c r="DJ3" i="3" s="1"/>
  <c r="DG3" i="3"/>
  <c r="DH3" i="3"/>
  <c r="DI3" i="3"/>
  <c r="DI21" i="3"/>
  <c r="DF21" i="3"/>
  <c r="DJ21" i="3" s="1"/>
  <c r="DH21" i="3"/>
  <c r="DG21" i="3"/>
  <c r="DF20" i="3"/>
  <c r="DJ20" i="3" s="1"/>
  <c r="DG20" i="3"/>
  <c r="DH20" i="3"/>
  <c r="DI20" i="3"/>
  <c r="DF28" i="3"/>
  <c r="DG28" i="3"/>
  <c r="DH28" i="3"/>
  <c r="DI28" i="3"/>
  <c r="DJ28" i="3" s="1"/>
  <c r="DF83" i="3"/>
  <c r="DH83" i="3"/>
  <c r="DG83" i="3"/>
  <c r="DI83" i="3"/>
  <c r="DJ83" i="3" s="1"/>
  <c r="DF16" i="3"/>
  <c r="DJ16" i="3" s="1"/>
  <c r="DG16" i="3"/>
  <c r="DI16" i="3"/>
  <c r="DH16" i="3"/>
  <c r="DG7" i="3"/>
  <c r="DJ7" i="3" s="1"/>
  <c r="DH7" i="3"/>
  <c r="DI7" i="3"/>
  <c r="DF7" i="3"/>
  <c r="DI95" i="3"/>
  <c r="DF95" i="3"/>
  <c r="DJ95" i="3" s="1"/>
  <c r="DG95" i="3"/>
  <c r="DH95" i="3"/>
  <c r="DH144" i="3"/>
  <c r="DI144" i="3"/>
  <c r="DF144" i="3"/>
  <c r="DG144" i="3"/>
  <c r="DJ144" i="3" s="1"/>
  <c r="S38" i="1"/>
  <c r="DI158" i="3"/>
  <c r="DJ158" i="3" s="1"/>
  <c r="DG158" i="3"/>
  <c r="DH158" i="3"/>
  <c r="DF158" i="3"/>
  <c r="DF30" i="3"/>
  <c r="DG30" i="3"/>
  <c r="DJ30" i="3" s="1"/>
  <c r="DH30" i="3"/>
  <c r="DI30" i="3"/>
  <c r="DF62" i="3"/>
  <c r="DJ62" i="3" s="1"/>
  <c r="DG62" i="3"/>
  <c r="DI62" i="3"/>
  <c r="DH62" i="3"/>
  <c r="DI69" i="3"/>
  <c r="DF69" i="3"/>
  <c r="DJ69" i="3" s="1"/>
  <c r="DG69" i="3"/>
  <c r="DH69" i="3"/>
  <c r="CY37" i="1"/>
  <c r="X37" i="1" s="1"/>
  <c r="T71" i="6" s="1"/>
  <c r="CZ37" i="1"/>
  <c r="Y37" i="1" s="1"/>
  <c r="V71" i="6" s="1"/>
  <c r="CP58" i="1"/>
  <c r="O58" i="1" s="1"/>
  <c r="DG78" i="3"/>
  <c r="DI78" i="3"/>
  <c r="DF78" i="3"/>
  <c r="DJ78" i="3" s="1"/>
  <c r="DH78" i="3"/>
  <c r="T110" i="1"/>
  <c r="U110" i="1"/>
  <c r="DG164" i="3"/>
  <c r="DI164" i="3"/>
  <c r="DF164" i="3"/>
  <c r="DJ164" i="3" s="1"/>
  <c r="DH164" i="3"/>
  <c r="DG56" i="3"/>
  <c r="DF56" i="3"/>
  <c r="DJ56" i="3" s="1"/>
  <c r="DH56" i="3"/>
  <c r="DI56" i="3"/>
  <c r="U53" i="1"/>
  <c r="L131" i="6" s="1"/>
  <c r="Q131" i="6" s="1"/>
  <c r="GM34" i="1"/>
  <c r="GN34" i="1"/>
  <c r="Q110" i="1"/>
  <c r="DI94" i="3"/>
  <c r="DF94" i="3"/>
  <c r="DJ94" i="3" s="1"/>
  <c r="DG94" i="3"/>
  <c r="DH94" i="3"/>
  <c r="DG88" i="3"/>
  <c r="DJ88" i="3" s="1"/>
  <c r="DF88" i="3"/>
  <c r="DH88" i="3"/>
  <c r="DI88" i="3"/>
  <c r="DI131" i="3"/>
  <c r="DH131" i="3"/>
  <c r="DF131" i="3"/>
  <c r="DG131" i="3"/>
  <c r="DJ131" i="3" s="1"/>
  <c r="GM101" i="1"/>
  <c r="GN101" i="1"/>
  <c r="GN111" i="1"/>
  <c r="GM111" i="1"/>
  <c r="GM141" i="1"/>
  <c r="GN141" i="1"/>
  <c r="GN118" i="1"/>
  <c r="GM131" i="1"/>
  <c r="GN131" i="1"/>
  <c r="DI160" i="3"/>
  <c r="DF160" i="3"/>
  <c r="DG160" i="3"/>
  <c r="DJ160" i="3" s="1"/>
  <c r="DH160" i="3"/>
  <c r="DF84" i="3"/>
  <c r="DG84" i="3"/>
  <c r="DJ84" i="3" s="1"/>
  <c r="DH84" i="3"/>
  <c r="DI84" i="3"/>
  <c r="DG55" i="3"/>
  <c r="DI55" i="3"/>
  <c r="DF55" i="3"/>
  <c r="DJ55" i="3" s="1"/>
  <c r="DH55" i="3"/>
  <c r="DG87" i="3"/>
  <c r="DJ87" i="3" s="1"/>
  <c r="DH87" i="3"/>
  <c r="DI87" i="3"/>
  <c r="DF87" i="3"/>
  <c r="DG99" i="3"/>
  <c r="DH99" i="3"/>
  <c r="DI99" i="3"/>
  <c r="DF99" i="3"/>
  <c r="DJ99" i="3" s="1"/>
  <c r="DG133" i="3"/>
  <c r="DH133" i="3"/>
  <c r="DF133" i="3"/>
  <c r="DJ133" i="3" s="1"/>
  <c r="DI133" i="3"/>
  <c r="GN137" i="1"/>
  <c r="GM137" i="1"/>
  <c r="CY110" i="1"/>
  <c r="X110" i="1" s="1"/>
  <c r="T233" i="6" s="1"/>
  <c r="CZ110" i="1"/>
  <c r="Y110" i="1" s="1"/>
  <c r="V233" i="6" s="1"/>
  <c r="BZ98" i="1"/>
  <c r="AQ146" i="1"/>
  <c r="AQ176" i="1" s="1"/>
  <c r="DH74" i="3"/>
  <c r="DF74" i="3"/>
  <c r="DG74" i="3"/>
  <c r="DJ74" i="3" s="1"/>
  <c r="DI74" i="3"/>
  <c r="GM105" i="1"/>
  <c r="GN105" i="1"/>
  <c r="DF109" i="3"/>
  <c r="DJ109" i="3" s="1"/>
  <c r="DG109" i="3"/>
  <c r="DH109" i="3"/>
  <c r="DI109" i="3"/>
  <c r="DF112" i="3"/>
  <c r="DG112" i="3"/>
  <c r="DH112" i="3"/>
  <c r="DI112" i="3"/>
  <c r="DJ112" i="3" s="1"/>
  <c r="DI105" i="3"/>
  <c r="DJ105" i="3" s="1"/>
  <c r="DF105" i="3"/>
  <c r="DG105" i="3"/>
  <c r="DH105" i="3"/>
  <c r="DG79" i="3"/>
  <c r="DF79" i="3"/>
  <c r="DI79" i="3"/>
  <c r="DJ79" i="3" s="1"/>
  <c r="DH79" i="3"/>
  <c r="DF38" i="3"/>
  <c r="DG38" i="3"/>
  <c r="DJ38" i="3" s="1"/>
  <c r="DH38" i="3"/>
  <c r="DI38" i="3"/>
  <c r="GX51" i="1"/>
  <c r="DF137" i="3"/>
  <c r="DH137" i="3"/>
  <c r="DG137" i="3"/>
  <c r="DJ137" i="3" s="1"/>
  <c r="DI137" i="3"/>
  <c r="DF114" i="3"/>
  <c r="DG114" i="3"/>
  <c r="DJ114" i="3" s="1"/>
  <c r="DI114" i="3"/>
  <c r="DH114" i="3"/>
  <c r="DF54" i="3"/>
  <c r="DJ54" i="3" s="1"/>
  <c r="DG54" i="3"/>
  <c r="DI54" i="3"/>
  <c r="DH54" i="3"/>
  <c r="GX61" i="1"/>
  <c r="BB26" i="1"/>
  <c r="F79" i="1"/>
  <c r="BB176" i="1"/>
  <c r="P57" i="1"/>
  <c r="R57" i="1"/>
  <c r="GM120" i="1"/>
  <c r="GN120" i="1"/>
  <c r="CY135" i="1"/>
  <c r="X135" i="1" s="1"/>
  <c r="T321" i="6" s="1"/>
  <c r="CZ135" i="1"/>
  <c r="Y135" i="1" s="1"/>
  <c r="V321" i="6" s="1"/>
  <c r="S103" i="1"/>
  <c r="GX103" i="1"/>
  <c r="W103" i="1"/>
  <c r="P103" i="1"/>
  <c r="DI89" i="3"/>
  <c r="DF89" i="3"/>
  <c r="DH89" i="3"/>
  <c r="DG89" i="3"/>
  <c r="DJ89" i="3" s="1"/>
  <c r="Q103" i="1"/>
  <c r="AD146" i="1" s="1"/>
  <c r="GN138" i="1"/>
  <c r="GM138" i="1"/>
  <c r="R103" i="1"/>
  <c r="AE146" i="1" s="1"/>
  <c r="GX110" i="1"/>
  <c r="DF142" i="3"/>
  <c r="DG142" i="3"/>
  <c r="DH142" i="3"/>
  <c r="DI142" i="3"/>
  <c r="DJ142" i="3" s="1"/>
  <c r="CY116" i="1"/>
  <c r="X116" i="1" s="1"/>
  <c r="T250" i="6" s="1"/>
  <c r="BC18" i="1"/>
  <c r="F222" i="1"/>
  <c r="CZ123" i="1"/>
  <c r="Y123" i="1" s="1"/>
  <c r="V278" i="6" s="1"/>
  <c r="K276" i="6" s="1"/>
  <c r="CY123" i="1"/>
  <c r="X123" i="1" s="1"/>
  <c r="DH91" i="3"/>
  <c r="DF91" i="3"/>
  <c r="DJ91" i="3" s="1"/>
  <c r="DI91" i="3"/>
  <c r="DG91" i="3"/>
  <c r="GM35" i="1"/>
  <c r="GN35" i="1"/>
  <c r="DF106" i="3"/>
  <c r="DG106" i="3"/>
  <c r="DI106" i="3"/>
  <c r="DJ106" i="3" s="1"/>
  <c r="DH106" i="3"/>
  <c r="CP110" i="1"/>
  <c r="O110" i="1" s="1"/>
  <c r="K233" i="6" s="1"/>
  <c r="DI134" i="3"/>
  <c r="DF134" i="3"/>
  <c r="DJ134" i="3" s="1"/>
  <c r="DH134" i="3"/>
  <c r="DG134" i="3"/>
  <c r="CP32" i="1"/>
  <c r="O32" i="1" s="1"/>
  <c r="P61" i="1"/>
  <c r="K168" i="6" s="1"/>
  <c r="J170" i="6" s="1"/>
  <c r="P170" i="6" s="1"/>
  <c r="Q61" i="1"/>
  <c r="R61" i="1"/>
  <c r="U61" i="1"/>
  <c r="L170" i="6" s="1"/>
  <c r="Q170" i="6" s="1"/>
  <c r="S61" i="1"/>
  <c r="DG140" i="3"/>
  <c r="DI140" i="3"/>
  <c r="DH140" i="3"/>
  <c r="DF140" i="3"/>
  <c r="DJ140" i="3" s="1"/>
  <c r="DG115" i="3"/>
  <c r="DJ115" i="3" s="1"/>
  <c r="DI115" i="3"/>
  <c r="DF115" i="3"/>
  <c r="DH115" i="3"/>
  <c r="CY45" i="1"/>
  <c r="X45" i="1" s="1"/>
  <c r="CZ45" i="1"/>
  <c r="Y45" i="1" s="1"/>
  <c r="DI53" i="3"/>
  <c r="DF53" i="3"/>
  <c r="DG53" i="3"/>
  <c r="DJ53" i="3" s="1"/>
  <c r="DH53" i="3"/>
  <c r="CG26" i="1"/>
  <c r="AX66" i="1"/>
  <c r="AO26" i="1"/>
  <c r="F70" i="1"/>
  <c r="AO176" i="1"/>
  <c r="GN46" i="1"/>
  <c r="GM46" i="1"/>
  <c r="AT26" i="1"/>
  <c r="F84" i="1"/>
  <c r="AT176" i="1"/>
  <c r="GM49" i="1"/>
  <c r="DF85" i="3"/>
  <c r="DG85" i="3"/>
  <c r="DJ85" i="3" s="1"/>
  <c r="DH85" i="3"/>
  <c r="DI85" i="3"/>
  <c r="GN125" i="1"/>
  <c r="GM125" i="1"/>
  <c r="T51" i="1"/>
  <c r="DF145" i="3"/>
  <c r="DJ145" i="3" s="1"/>
  <c r="DH145" i="3"/>
  <c r="DI145" i="3"/>
  <c r="DG145" i="3"/>
  <c r="V103" i="1"/>
  <c r="AI146" i="1" s="1"/>
  <c r="GM136" i="1"/>
  <c r="GN140" i="1"/>
  <c r="DH10" i="3"/>
  <c r="DI10" i="3"/>
  <c r="DG10" i="3"/>
  <c r="DJ10" i="3" s="1"/>
  <c r="DF10" i="3"/>
  <c r="DI61" i="3"/>
  <c r="DF61" i="3"/>
  <c r="DJ61" i="3" s="1"/>
  <c r="DG61" i="3"/>
  <c r="DH61" i="3"/>
  <c r="DG72" i="3"/>
  <c r="DF72" i="3"/>
  <c r="DH72" i="3"/>
  <c r="DI72" i="3"/>
  <c r="DJ72" i="3" s="1"/>
  <c r="AU146" i="1"/>
  <c r="CD98" i="1"/>
  <c r="BB98" i="1"/>
  <c r="F159" i="1"/>
  <c r="DF12" i="3"/>
  <c r="DG12" i="3"/>
  <c r="DJ12" i="3" s="1"/>
  <c r="DH12" i="3"/>
  <c r="DI12" i="3"/>
  <c r="DF51" i="3"/>
  <c r="DH51" i="3"/>
  <c r="DG51" i="3"/>
  <c r="DI51" i="3"/>
  <c r="DJ51" i="3" s="1"/>
  <c r="DH26" i="3"/>
  <c r="DI26" i="3"/>
  <c r="DG26" i="3"/>
  <c r="DF26" i="3"/>
  <c r="DJ26" i="3" s="1"/>
  <c r="DG31" i="3"/>
  <c r="DH31" i="3"/>
  <c r="DI31" i="3"/>
  <c r="DF31" i="3"/>
  <c r="DJ31" i="3" s="1"/>
  <c r="DG64" i="3"/>
  <c r="DF64" i="3"/>
  <c r="DH64" i="3"/>
  <c r="DI64" i="3"/>
  <c r="DJ64" i="3" s="1"/>
  <c r="DG116" i="3"/>
  <c r="DJ116" i="3" s="1"/>
  <c r="DH116" i="3"/>
  <c r="DI116" i="3"/>
  <c r="DF116" i="3"/>
  <c r="DH66" i="3"/>
  <c r="DF66" i="3"/>
  <c r="DG66" i="3"/>
  <c r="DJ66" i="3" s="1"/>
  <c r="DI66" i="3"/>
  <c r="DG57" i="3"/>
  <c r="DH57" i="3"/>
  <c r="DF57" i="3"/>
  <c r="DI57" i="3"/>
  <c r="DJ57" i="3" s="1"/>
  <c r="DF35" i="3"/>
  <c r="DG35" i="3"/>
  <c r="DH35" i="3"/>
  <c r="DI35" i="3"/>
  <c r="DJ35" i="3" s="1"/>
  <c r="DF14" i="3"/>
  <c r="DJ14" i="3" s="1"/>
  <c r="DG14" i="3"/>
  <c r="DH14" i="3"/>
  <c r="DI14" i="3"/>
  <c r="DI37" i="3"/>
  <c r="DF37" i="3"/>
  <c r="DH37" i="3"/>
  <c r="DG37" i="3"/>
  <c r="DJ37" i="3" s="1"/>
  <c r="DF103" i="3"/>
  <c r="DJ103" i="3" s="1"/>
  <c r="DH103" i="3"/>
  <c r="DG103" i="3"/>
  <c r="DI103" i="3"/>
  <c r="CP29" i="1"/>
  <c r="O29" i="1" s="1"/>
  <c r="T38" i="1"/>
  <c r="AG66" i="1" s="1"/>
  <c r="DG39" i="3"/>
  <c r="DH39" i="3"/>
  <c r="DI39" i="3"/>
  <c r="DF39" i="3"/>
  <c r="DJ39" i="3" s="1"/>
  <c r="DG117" i="3"/>
  <c r="DH117" i="3"/>
  <c r="DF117" i="3"/>
  <c r="DJ117" i="3" s="1"/>
  <c r="DI117" i="3"/>
  <c r="DF36" i="3"/>
  <c r="DG36" i="3"/>
  <c r="DJ36" i="3" s="1"/>
  <c r="DH36" i="3"/>
  <c r="DI36" i="3"/>
  <c r="DF101" i="3"/>
  <c r="DJ101" i="3" s="1"/>
  <c r="DG101" i="3"/>
  <c r="DH101" i="3"/>
  <c r="DI101" i="3"/>
  <c r="DI113" i="3"/>
  <c r="DJ113" i="3" s="1"/>
  <c r="DF113" i="3"/>
  <c r="DG113" i="3"/>
  <c r="DH113" i="3"/>
  <c r="CY52" i="1"/>
  <c r="X52" i="1" s="1"/>
  <c r="T127" i="6" s="1"/>
  <c r="CZ52" i="1"/>
  <c r="Y52" i="1" s="1"/>
  <c r="V127" i="6" s="1"/>
  <c r="GM33" i="1"/>
  <c r="GN33" i="1"/>
  <c r="GN39" i="1"/>
  <c r="GM39" i="1"/>
  <c r="GN48" i="1"/>
  <c r="GM48" i="1"/>
  <c r="DG141" i="3"/>
  <c r="DH141" i="3"/>
  <c r="DF141" i="3"/>
  <c r="DJ141" i="3" s="1"/>
  <c r="DI141" i="3"/>
  <c r="CZ50" i="1"/>
  <c r="Y50" i="1" s="1"/>
  <c r="CY50" i="1"/>
  <c r="X50" i="1" s="1"/>
  <c r="V57" i="1"/>
  <c r="W53" i="1"/>
  <c r="Q38" i="1"/>
  <c r="CG146" i="1"/>
  <c r="U104" i="1"/>
  <c r="P104" i="1"/>
  <c r="K207" i="6" s="1"/>
  <c r="J209" i="6" s="1"/>
  <c r="P209" i="6" s="1"/>
  <c r="GX104" i="1"/>
  <c r="DG100" i="3"/>
  <c r="DI100" i="3"/>
  <c r="DF100" i="3"/>
  <c r="DJ100" i="3" s="1"/>
  <c r="DH100" i="3"/>
  <c r="GN108" i="1"/>
  <c r="GM108" i="1"/>
  <c r="CP52" i="1"/>
  <c r="O52" i="1" s="1"/>
  <c r="GM106" i="1"/>
  <c r="GN106" i="1"/>
  <c r="U51" i="1"/>
  <c r="T103" i="1"/>
  <c r="AG146" i="1" s="1"/>
  <c r="CY132" i="1"/>
  <c r="X132" i="1" s="1"/>
  <c r="CY102" i="1"/>
  <c r="X102" i="1" s="1"/>
  <c r="T194" i="6" s="1"/>
  <c r="K200" i="6" s="1"/>
  <c r="GM115" i="1"/>
  <c r="CP135" i="1"/>
  <c r="O135" i="1" s="1"/>
  <c r="AT98" i="1"/>
  <c r="F164" i="1"/>
  <c r="S104" i="1"/>
  <c r="W126" i="6" l="1"/>
  <c r="J203" i="6"/>
  <c r="P203" i="6" s="1"/>
  <c r="J217" i="6"/>
  <c r="P217" i="6" s="1"/>
  <c r="W279" i="6"/>
  <c r="G332" i="6"/>
  <c r="O332" i="6" s="1"/>
  <c r="J64" i="6"/>
  <c r="P64" i="6" s="1"/>
  <c r="J247" i="6"/>
  <c r="P247" i="6" s="1"/>
  <c r="G126" i="6"/>
  <c r="O126" i="6" s="1"/>
  <c r="W234" i="6"/>
  <c r="L179" i="6"/>
  <c r="W318" i="6"/>
  <c r="W154" i="6"/>
  <c r="G154" i="6"/>
  <c r="O154" i="6" s="1"/>
  <c r="CM146" i="1"/>
  <c r="BD146" i="1" s="1"/>
  <c r="GM126" i="1"/>
  <c r="GN112" i="1"/>
  <c r="GN42" i="1"/>
  <c r="GN50" i="1"/>
  <c r="T117" i="6"/>
  <c r="W177" i="6"/>
  <c r="G177" i="6"/>
  <c r="O177" i="6" s="1"/>
  <c r="GM42" i="1"/>
  <c r="GN107" i="1"/>
  <c r="AJ146" i="1"/>
  <c r="GM109" i="1"/>
  <c r="V224" i="6"/>
  <c r="K231" i="6" s="1"/>
  <c r="W332" i="6"/>
  <c r="HD63" i="1"/>
  <c r="CM66" i="1" s="1"/>
  <c r="CM26" i="1" s="1"/>
  <c r="K173" i="6"/>
  <c r="J174" i="6" s="1"/>
  <c r="P174" i="6" s="1"/>
  <c r="GN30" i="1"/>
  <c r="GM30" i="1"/>
  <c r="CP53" i="1"/>
  <c r="O53" i="1" s="1"/>
  <c r="K129" i="6"/>
  <c r="J131" i="6" s="1"/>
  <c r="P131" i="6" s="1"/>
  <c r="G209" i="6"/>
  <c r="O209" i="6" s="1"/>
  <c r="W209" i="6"/>
  <c r="K230" i="6"/>
  <c r="GM132" i="1"/>
  <c r="T316" i="6"/>
  <c r="K311" i="6" s="1"/>
  <c r="J318" i="6" s="1"/>
  <c r="P318" i="6" s="1"/>
  <c r="GN139" i="1"/>
  <c r="AD66" i="1"/>
  <c r="Q66" i="1" s="1"/>
  <c r="GM28" i="1"/>
  <c r="GM59" i="1"/>
  <c r="GN55" i="1"/>
  <c r="GN113" i="1"/>
  <c r="T239" i="6"/>
  <c r="GM113" i="1"/>
  <c r="W170" i="6"/>
  <c r="G170" i="6"/>
  <c r="O170" i="6" s="1"/>
  <c r="W81" i="6"/>
  <c r="GM129" i="1"/>
  <c r="G234" i="6"/>
  <c r="O234" i="6" s="1"/>
  <c r="G318" i="6"/>
  <c r="O318" i="6" s="1"/>
  <c r="HD144" i="1"/>
  <c r="K352" i="6"/>
  <c r="J354" i="6" s="1"/>
  <c r="P354" i="6" s="1"/>
  <c r="GN36" i="1"/>
  <c r="GN123" i="1"/>
  <c r="T278" i="6"/>
  <c r="K275" i="6" s="1"/>
  <c r="J279" i="6" s="1"/>
  <c r="P279" i="6" s="1"/>
  <c r="GM50" i="1"/>
  <c r="V117" i="6"/>
  <c r="GM102" i="1"/>
  <c r="AH146" i="1"/>
  <c r="L209" i="6"/>
  <c r="Q209" i="6" s="1"/>
  <c r="L356" i="6" s="1"/>
  <c r="AE66" i="1"/>
  <c r="J94" i="6"/>
  <c r="P94" i="6" s="1"/>
  <c r="AH66" i="1"/>
  <c r="U66" i="1" s="1"/>
  <c r="AJ66" i="1"/>
  <c r="GN119" i="1"/>
  <c r="GN45" i="1"/>
  <c r="V99" i="6"/>
  <c r="GM55" i="1"/>
  <c r="GM123" i="1"/>
  <c r="GN124" i="1"/>
  <c r="GM45" i="1"/>
  <c r="T99" i="6"/>
  <c r="GM124" i="1"/>
  <c r="GM114" i="1"/>
  <c r="CY58" i="1"/>
  <c r="X58" i="1" s="1"/>
  <c r="T155" i="6" s="1"/>
  <c r="GM36" i="1"/>
  <c r="AE26" i="1"/>
  <c r="R66" i="1"/>
  <c r="AG26" i="1"/>
  <c r="T66" i="1"/>
  <c r="AD26" i="1"/>
  <c r="AH98" i="1"/>
  <c r="U146" i="1"/>
  <c r="AJ26" i="1"/>
  <c r="W66" i="1"/>
  <c r="AI26" i="1"/>
  <c r="V66" i="1"/>
  <c r="AO22" i="1"/>
  <c r="AO206" i="1"/>
  <c r="F180" i="1"/>
  <c r="CY57" i="1"/>
  <c r="X57" i="1" s="1"/>
  <c r="T153" i="6" s="1"/>
  <c r="K150" i="6" s="1"/>
  <c r="CZ57" i="1"/>
  <c r="Y57" i="1" s="1"/>
  <c r="V153" i="6" s="1"/>
  <c r="K151" i="6" s="1"/>
  <c r="GN135" i="1"/>
  <c r="GM135" i="1"/>
  <c r="CP104" i="1"/>
  <c r="O104" i="1" s="1"/>
  <c r="AB146" i="1" s="1"/>
  <c r="AT22" i="1"/>
  <c r="F194" i="1"/>
  <c r="F16" i="2" s="1"/>
  <c r="F18" i="2" s="1"/>
  <c r="AT206" i="1"/>
  <c r="AJ98" i="1"/>
  <c r="W146" i="1"/>
  <c r="CZ61" i="1"/>
  <c r="Y61" i="1" s="1"/>
  <c r="V168" i="6" s="1"/>
  <c r="CY61" i="1"/>
  <c r="X61" i="1" s="1"/>
  <c r="T168" i="6" s="1"/>
  <c r="CY103" i="1"/>
  <c r="X103" i="1" s="1"/>
  <c r="CZ103" i="1"/>
  <c r="Y103" i="1" s="1"/>
  <c r="V204" i="6" s="1"/>
  <c r="AF146" i="1"/>
  <c r="AE98" i="1"/>
  <c r="R146" i="1"/>
  <c r="AU98" i="1"/>
  <c r="F165" i="1"/>
  <c r="AG98" i="1"/>
  <c r="T146" i="1"/>
  <c r="AC66" i="1"/>
  <c r="GN102" i="1"/>
  <c r="AQ98" i="1"/>
  <c r="F156" i="1"/>
  <c r="GN100" i="1"/>
  <c r="GM100" i="1"/>
  <c r="GN37" i="1"/>
  <c r="GM37" i="1"/>
  <c r="GN132" i="1"/>
  <c r="CY104" i="1"/>
  <c r="X104" i="1" s="1"/>
  <c r="T207" i="6" s="1"/>
  <c r="CZ104" i="1"/>
  <c r="Y104" i="1" s="1"/>
  <c r="V207" i="6" s="1"/>
  <c r="GN29" i="1"/>
  <c r="GM29" i="1"/>
  <c r="CP61" i="1"/>
  <c r="O61" i="1" s="1"/>
  <c r="GM58" i="1"/>
  <c r="GN58" i="1"/>
  <c r="GN110" i="1"/>
  <c r="GM110" i="1"/>
  <c r="GM116" i="1"/>
  <c r="GN116" i="1"/>
  <c r="CP103" i="1"/>
  <c r="O103" i="1" s="1"/>
  <c r="AC146" i="1"/>
  <c r="AZ26" i="1"/>
  <c r="F77" i="1"/>
  <c r="GN109" i="1"/>
  <c r="CZ51" i="1"/>
  <c r="Y51" i="1" s="1"/>
  <c r="V125" i="6" s="1"/>
  <c r="CY51" i="1"/>
  <c r="X51" i="1" s="1"/>
  <c r="AF66" i="1"/>
  <c r="AP98" i="1"/>
  <c r="F155" i="1"/>
  <c r="AP176" i="1"/>
  <c r="AU26" i="1"/>
  <c r="F85" i="1"/>
  <c r="AU176" i="1"/>
  <c r="CJ146" i="1"/>
  <c r="BB22" i="1"/>
  <c r="F189" i="1"/>
  <c r="BB206" i="1"/>
  <c r="CP38" i="1"/>
  <c r="O38" i="1" s="1"/>
  <c r="K80" i="6" s="1"/>
  <c r="CI98" i="1"/>
  <c r="AZ146" i="1"/>
  <c r="AZ176" i="1" s="1"/>
  <c r="CJ66" i="1"/>
  <c r="CG98" i="1"/>
  <c r="AX146" i="1"/>
  <c r="AX176" i="1" s="1"/>
  <c r="GN32" i="1"/>
  <c r="GM32" i="1"/>
  <c r="AQ22" i="1"/>
  <c r="F186" i="1"/>
  <c r="AQ206" i="1"/>
  <c r="AD98" i="1"/>
  <c r="Q146" i="1"/>
  <c r="GM52" i="1"/>
  <c r="GN52" i="1"/>
  <c r="CP57" i="1"/>
  <c r="O57" i="1" s="1"/>
  <c r="K153" i="6" s="1"/>
  <c r="AX26" i="1"/>
  <c r="F73" i="1"/>
  <c r="AI98" i="1"/>
  <c r="V146" i="1"/>
  <c r="CY38" i="1"/>
  <c r="X38" i="1" s="1"/>
  <c r="CZ38" i="1"/>
  <c r="Y38" i="1" s="1"/>
  <c r="V80" i="6" s="1"/>
  <c r="K78" i="6" s="1"/>
  <c r="CY53" i="1"/>
  <c r="X53" i="1" s="1"/>
  <c r="T129" i="6" s="1"/>
  <c r="CZ53" i="1"/>
  <c r="Y53" i="1" s="1"/>
  <c r="J234" i="6" l="1"/>
  <c r="P234" i="6" s="1"/>
  <c r="G356" i="6"/>
  <c r="G179" i="6"/>
  <c r="J356" i="6"/>
  <c r="GN53" i="1"/>
  <c r="V129" i="6"/>
  <c r="AK66" i="1"/>
  <c r="AK26" i="1" s="1"/>
  <c r="T80" i="6"/>
  <c r="K77" i="6" s="1"/>
  <c r="J81" i="6" s="1"/>
  <c r="P81" i="6" s="1"/>
  <c r="CM98" i="1"/>
  <c r="BD66" i="1"/>
  <c r="BD176" i="1" s="1"/>
  <c r="AH26" i="1"/>
  <c r="GM53" i="1"/>
  <c r="GN51" i="1"/>
  <c r="T125" i="6"/>
  <c r="K122" i="6" s="1"/>
  <c r="J126" i="6" s="1"/>
  <c r="P126" i="6" s="1"/>
  <c r="GM51" i="1"/>
  <c r="AK146" i="1"/>
  <c r="T204" i="6"/>
  <c r="J154" i="6"/>
  <c r="P154" i="6" s="1"/>
  <c r="K123" i="6"/>
  <c r="AK98" i="1"/>
  <c r="X146" i="1"/>
  <c r="AB98" i="1"/>
  <c r="O146" i="1"/>
  <c r="AZ22" i="1"/>
  <c r="F187" i="1"/>
  <c r="AZ206" i="1"/>
  <c r="CJ98" i="1"/>
  <c r="BA146" i="1"/>
  <c r="BA66" i="1"/>
  <c r="CJ26" i="1"/>
  <c r="T98" i="1"/>
  <c r="F167" i="1"/>
  <c r="GN38" i="1"/>
  <c r="GM38" i="1"/>
  <c r="V98" i="1"/>
  <c r="F169" i="1"/>
  <c r="AX98" i="1"/>
  <c r="F153" i="1"/>
  <c r="AB66" i="1"/>
  <c r="R98" i="1"/>
  <c r="F160" i="1"/>
  <c r="AF98" i="1"/>
  <c r="S146" i="1"/>
  <c r="Q26" i="1"/>
  <c r="F78" i="1"/>
  <c r="Q176" i="1"/>
  <c r="Q98" i="1"/>
  <c r="F158" i="1"/>
  <c r="W26" i="1"/>
  <c r="F90" i="1"/>
  <c r="W176" i="1"/>
  <c r="AQ18" i="1"/>
  <c r="F216" i="1"/>
  <c r="AZ98" i="1"/>
  <c r="F157" i="1"/>
  <c r="AU22" i="1"/>
  <c r="F195" i="1"/>
  <c r="AU206" i="1"/>
  <c r="AF26" i="1"/>
  <c r="S66" i="1"/>
  <c r="GM103" i="1"/>
  <c r="GN103" i="1"/>
  <c r="GM61" i="1"/>
  <c r="CA66" i="1" s="1"/>
  <c r="GN61" i="1"/>
  <c r="AC26" i="1"/>
  <c r="CE66" i="1"/>
  <c r="P66" i="1"/>
  <c r="CF66" i="1"/>
  <c r="CH66" i="1"/>
  <c r="AL146" i="1"/>
  <c r="T26" i="1"/>
  <c r="F87" i="1"/>
  <c r="T176" i="1"/>
  <c r="AT18" i="1"/>
  <c r="F224" i="1"/>
  <c r="GM104" i="1"/>
  <c r="GN104" i="1"/>
  <c r="AO18" i="1"/>
  <c r="F210" i="1"/>
  <c r="U98" i="1"/>
  <c r="F168" i="1"/>
  <c r="CE146" i="1"/>
  <c r="P146" i="1"/>
  <c r="CH146" i="1"/>
  <c r="AC98" i="1"/>
  <c r="CF146" i="1"/>
  <c r="F91" i="1"/>
  <c r="AP22" i="1"/>
  <c r="AP206" i="1"/>
  <c r="F185" i="1"/>
  <c r="G16" i="2" s="1"/>
  <c r="G18" i="2" s="1"/>
  <c r="V26" i="1"/>
  <c r="F89" i="1"/>
  <c r="V176" i="1"/>
  <c r="U26" i="1"/>
  <c r="F88" i="1"/>
  <c r="U176" i="1"/>
  <c r="R26" i="1"/>
  <c r="F80" i="1"/>
  <c r="R176" i="1"/>
  <c r="AX22" i="1"/>
  <c r="F183" i="1"/>
  <c r="AX206" i="1"/>
  <c r="BD98" i="1"/>
  <c r="F171" i="1"/>
  <c r="GM57" i="1"/>
  <c r="GN57" i="1"/>
  <c r="AL66" i="1"/>
  <c r="BB18" i="1"/>
  <c r="F219" i="1"/>
  <c r="F170" i="1"/>
  <c r="W98" i="1"/>
  <c r="J179" i="6" l="1"/>
  <c r="BD26" i="1"/>
  <c r="CB146" i="1"/>
  <c r="CB98" i="1" s="1"/>
  <c r="CA146" i="1"/>
  <c r="AR146" i="1" s="1"/>
  <c r="X66" i="1"/>
  <c r="CA26" i="1"/>
  <c r="AR66" i="1"/>
  <c r="AS146" i="1"/>
  <c r="Q22" i="1"/>
  <c r="F188" i="1"/>
  <c r="Q206" i="1"/>
  <c r="O98" i="1"/>
  <c r="F148" i="1"/>
  <c r="AX18" i="1"/>
  <c r="F213" i="1"/>
  <c r="AB26" i="1"/>
  <c r="O66" i="1"/>
  <c r="AL26" i="1"/>
  <c r="Y66" i="1"/>
  <c r="R22" i="1"/>
  <c r="R206" i="1"/>
  <c r="F190" i="1"/>
  <c r="CH26" i="1"/>
  <c r="AY66" i="1"/>
  <c r="BA26" i="1"/>
  <c r="F86" i="1"/>
  <c r="BA176" i="1"/>
  <c r="CF98" i="1"/>
  <c r="AW146" i="1"/>
  <c r="CH98" i="1"/>
  <c r="AY146" i="1"/>
  <c r="AP18" i="1"/>
  <c r="F215" i="1"/>
  <c r="P98" i="1"/>
  <c r="F149" i="1"/>
  <c r="P26" i="1"/>
  <c r="F69" i="1"/>
  <c r="P176" i="1"/>
  <c r="W22" i="1"/>
  <c r="W206" i="1"/>
  <c r="F200" i="1"/>
  <c r="S98" i="1"/>
  <c r="F161" i="1"/>
  <c r="V22" i="1"/>
  <c r="F199" i="1"/>
  <c r="V206" i="1"/>
  <c r="S26" i="1"/>
  <c r="S176" i="1"/>
  <c r="F81" i="1"/>
  <c r="F166" i="1"/>
  <c r="BA98" i="1"/>
  <c r="AU18" i="1"/>
  <c r="F225" i="1"/>
  <c r="AZ18" i="1"/>
  <c r="F217" i="1"/>
  <c r="X26" i="1"/>
  <c r="F92" i="1"/>
  <c r="X176" i="1"/>
  <c r="AL98" i="1"/>
  <c r="Y146" i="1"/>
  <c r="CF26" i="1"/>
  <c r="AW66" i="1"/>
  <c r="X98" i="1"/>
  <c r="F172" i="1"/>
  <c r="U22" i="1"/>
  <c r="F198" i="1"/>
  <c r="U206" i="1"/>
  <c r="CE98" i="1"/>
  <c r="AV146" i="1"/>
  <c r="CE26" i="1"/>
  <c r="AV66" i="1"/>
  <c r="BD22" i="1"/>
  <c r="BD206" i="1"/>
  <c r="F201" i="1"/>
  <c r="T22" i="1"/>
  <c r="F197" i="1"/>
  <c r="T206" i="1"/>
  <c r="CB66" i="1"/>
  <c r="CA98" i="1" l="1"/>
  <c r="O26" i="1"/>
  <c r="F68" i="1"/>
  <c r="O176" i="1"/>
  <c r="W18" i="1"/>
  <c r="F230" i="1"/>
  <c r="AV26" i="1"/>
  <c r="F71" i="1"/>
  <c r="AV176" i="1"/>
  <c r="X22" i="1"/>
  <c r="F202" i="1"/>
  <c r="X206" i="1"/>
  <c r="BD18" i="1"/>
  <c r="F231" i="1"/>
  <c r="J370" i="6" s="1"/>
  <c r="AY26" i="1"/>
  <c r="F74" i="1"/>
  <c r="AY176" i="1"/>
  <c r="F154" i="1"/>
  <c r="AY98" i="1"/>
  <c r="AR98" i="1"/>
  <c r="F174" i="1"/>
  <c r="AW26" i="1"/>
  <c r="F72" i="1"/>
  <c r="AW176" i="1"/>
  <c r="AW98" i="1"/>
  <c r="F152" i="1"/>
  <c r="S22" i="1"/>
  <c r="S206" i="1"/>
  <c r="F191" i="1"/>
  <c r="J16" i="2" s="1"/>
  <c r="J18" i="2" s="1"/>
  <c r="P22" i="1"/>
  <c r="F179" i="1"/>
  <c r="P206" i="1"/>
  <c r="T18" i="1"/>
  <c r="F227" i="1"/>
  <c r="CB26" i="1"/>
  <c r="AS66" i="1"/>
  <c r="V18" i="1"/>
  <c r="F229" i="1"/>
  <c r="J369" i="6" s="1"/>
  <c r="AS98" i="1"/>
  <c r="F163" i="1"/>
  <c r="AV98" i="1"/>
  <c r="F151" i="1"/>
  <c r="R18" i="1"/>
  <c r="F220" i="1"/>
  <c r="J365" i="6" s="1"/>
  <c r="Y98" i="1"/>
  <c r="F173" i="1"/>
  <c r="AR26" i="1"/>
  <c r="AR176" i="1"/>
  <c r="F94" i="1"/>
  <c r="U18" i="1"/>
  <c r="F228" i="1"/>
  <c r="J368" i="6" s="1"/>
  <c r="BA22" i="1"/>
  <c r="F196" i="1"/>
  <c r="H16" i="2" s="1"/>
  <c r="H18" i="2" s="1"/>
  <c r="BA206" i="1"/>
  <c r="Y26" i="1"/>
  <c r="Y176" i="1"/>
  <c r="F93" i="1"/>
  <c r="Q18" i="1"/>
  <c r="F218" i="1"/>
  <c r="J364" i="6" s="1"/>
  <c r="AR22" i="1" l="1"/>
  <c r="AR206" i="1"/>
  <c r="F204" i="1"/>
  <c r="AY22" i="1"/>
  <c r="F184" i="1"/>
  <c r="AY206" i="1"/>
  <c r="AV22" i="1"/>
  <c r="F181" i="1"/>
  <c r="AV206" i="1"/>
  <c r="BA18" i="1"/>
  <c r="F226" i="1"/>
  <c r="AW22" i="1"/>
  <c r="AW206" i="1"/>
  <c r="F182" i="1"/>
  <c r="X18" i="1"/>
  <c r="F232" i="1"/>
  <c r="J371" i="6" s="1"/>
  <c r="Y22" i="1"/>
  <c r="F203" i="1"/>
  <c r="Y206" i="1"/>
  <c r="P18" i="1"/>
  <c r="F209" i="1"/>
  <c r="J360" i="6" s="1"/>
  <c r="AS26" i="1"/>
  <c r="F83" i="1"/>
  <c r="AS176" i="1"/>
  <c r="S18" i="1"/>
  <c r="F221" i="1"/>
  <c r="J366" i="6" s="1"/>
  <c r="O22" i="1"/>
  <c r="F178" i="1"/>
  <c r="O206" i="1"/>
  <c r="AS22" i="1" l="1"/>
  <c r="AS206" i="1"/>
  <c r="F193" i="1"/>
  <c r="E16" i="2" s="1"/>
  <c r="AY18" i="1"/>
  <c r="F214" i="1"/>
  <c r="J363" i="6" s="1"/>
  <c r="O18" i="1"/>
  <c r="F208" i="1"/>
  <c r="J359" i="6" s="1"/>
  <c r="AW18" i="1"/>
  <c r="F212" i="1"/>
  <c r="J362" i="6" s="1"/>
  <c r="Y18" i="1"/>
  <c r="F233" i="1"/>
  <c r="J372" i="6" s="1"/>
  <c r="AR18" i="1"/>
  <c r="F234" i="1"/>
  <c r="AV18" i="1"/>
  <c r="F211" i="1"/>
  <c r="J361" i="6" s="1"/>
  <c r="F235" i="1" l="1"/>
  <c r="J373" i="6"/>
  <c r="I16" i="2"/>
  <c r="I18" i="2" s="1"/>
  <c r="E18" i="2"/>
  <c r="AS18" i="1"/>
  <c r="F223" i="1"/>
  <c r="J367" i="6" s="1"/>
  <c r="F236" i="1" l="1"/>
  <c r="J375" i="6" s="1"/>
  <c r="I20" i="6" s="1"/>
  <c r="J374" i="6"/>
</calcChain>
</file>

<file path=xl/sharedStrings.xml><?xml version="1.0" encoding="utf-8"?>
<sst xmlns="http://schemas.openxmlformats.org/spreadsheetml/2006/main" count="7704" uniqueCount="599">
  <si>
    <t>Smeta.RU  (495) 974-1589</t>
  </si>
  <si>
    <t>_PS_</t>
  </si>
  <si>
    <t>Smeta.RU</t>
  </si>
  <si>
    <t/>
  </si>
  <si>
    <t>АО "Невьянский цементник"</t>
  </si>
  <si>
    <t>Новый объект</t>
  </si>
  <si>
    <t>Ремонт кровли здания электроцеха</t>
  </si>
  <si>
    <t>Ведомость объемов работ</t>
  </si>
  <si>
    <t>Сметные нормы списания</t>
  </si>
  <si>
    <t>Коды ценников</t>
  </si>
  <si>
    <t>ФЕР-2020 И9</t>
  </si>
  <si>
    <t>Версия 1.7.0 ГСН (ГЭСН, ФЕР) и ТЕР (Методики НР (812/пр, 636/пр, 611/пр) и СП (774/пр и 317/пр) применять с 08.01.2023 г.)</t>
  </si>
  <si>
    <t>ФЕР-2020 - изменения И9</t>
  </si>
  <si>
    <t>Поправки для ГСН (ФЕР) 2020 от 11.09.2022 г И9 (в ред. 557/пр) Капитальный ремонт производственных зданий</t>
  </si>
  <si>
    <t>ГСН</t>
  </si>
  <si>
    <t>Новая локальная смета</t>
  </si>
  <si>
    <t>Новый раздел</t>
  </si>
  <si>
    <t>Ремонт кровли электроцеха на отм. +9,300 - + 11,500</t>
  </si>
  <si>
    <t>1</t>
  </si>
  <si>
    <t>Договорная цена</t>
  </si>
  <si>
    <t>Очистка кровли от гидратированного цемента, в т.ч.: перемещение материала на нулевую отметку, погрузка и перевозка материала на расстояние до 5 км</t>
  </si>
  <si>
    <t>т</t>
  </si>
  <si>
    <t>Материалы строительные</t>
  </si>
  <si>
    <t>Материалы, изделия и конструкции</t>
  </si>
  <si>
    <t>материалы (03)</t>
  </si>
  <si>
    <t>[1 813 /  8.38]</t>
  </si>
  <si>
    <t>0</t>
  </si>
  <si>
    <t>2</t>
  </si>
  <si>
    <t>46-04-008-04</t>
  </si>
  <si>
    <t>Разборка покрытий кровель: из волнистых и полуволнистых хризотилцементных листов</t>
  </si>
  <si>
    <t>100 м2</t>
  </si>
  <si>
    <t>ФЕР-2001, 46-04-008-04, приказ Минстроя России № 876/пр от 26.12.2019</t>
  </si>
  <si>
    <t>Общестроительные работы</t>
  </si>
  <si>
    <t>Работы по реконструкции зданий и сооружений</t>
  </si>
  <si>
    <t>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</si>
  <si>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ФЕР-46</t>
  </si>
  <si>
    <t>Пр/812-040.2-1</t>
  </si>
  <si>
    <t>Пр/774-040.2</t>
  </si>
  <si>
    <t>3</t>
  </si>
  <si>
    <t>09-04-002-01</t>
  </si>
  <si>
    <t>Монтаж кровельного покрытия: из профилированного листа при высоте здания до 25 м</t>
  </si>
  <si>
    <t>ФЕР-2001, 09-04-002-01, приказ Минстроя России № 876/пр от 26.12.2019</t>
  </si>
  <si>
    <t>)*1,25</t>
  </si>
  <si>
    <t>)*1,15</t>
  </si>
  <si>
    <t>)*0,85</t>
  </si>
  <si>
    <t>Строительные металлические конструкции</t>
  </si>
  <si>
    <t>ФЕР-09</t>
  </si>
  <si>
    <t>Поправка: М-ка 421/пр 04.08.20 п.58 п.п. б)</t>
  </si>
  <si>
    <t>Пр/812-009.0-1</t>
  </si>
  <si>
    <t>Пр/774-009.0</t>
  </si>
  <si>
    <t>4</t>
  </si>
  <si>
    <t>Материал Заказчика</t>
  </si>
  <si>
    <t>Профнастил оцинкованный Н60 0,9 845/902</t>
  </si>
  <si>
    <t>м2</t>
  </si>
  <si>
    <t>занесена вручную</t>
  </si>
  <si>
    <t>5</t>
  </si>
  <si>
    <t>Цена поставщика</t>
  </si>
  <si>
    <t>Саморез кровельный КрепСтройГрупп 6,3х25 мм оцинкованный</t>
  </si>
  <si>
    <t>шт.</t>
  </si>
  <si>
    <t>[5 / 1.2 /  8.38] +  5% Трансп +  2% Заг.скл</t>
  </si>
  <si>
    <t>6</t>
  </si>
  <si>
    <t>12-01-010-01</t>
  </si>
  <si>
    <t>Устройство мелких покрытий (брандмауэры, парапеты, свесы и т.п.) из листовой оцинкованной стали</t>
  </si>
  <si>
    <t>ФЕР-2001, 12-01-010-01, приказ Минстроя России № 876/пр от 26.12.2019</t>
  </si>
  <si>
    <t>*0</t>
  </si>
  <si>
    <t>Кровли</t>
  </si>
  <si>
    <t>ФЕР-12</t>
  </si>
  <si>
    <t>Пр/812-012.0-1</t>
  </si>
  <si>
    <t>Пр/774-012.0</t>
  </si>
  <si>
    <t>7</t>
  </si>
  <si>
    <t>Цена постащика</t>
  </si>
  <si>
    <t>Карнизная планка</t>
  </si>
  <si>
    <t>м</t>
  </si>
  <si>
    <t>[300 / 1.2 /  8.38] +  5% Трансп +  2% Заг.скл</t>
  </si>
  <si>
    <t>8</t>
  </si>
  <si>
    <t>Коньковый элемент</t>
  </si>
  <si>
    <t>[375 / 1.2 /  8.38] +  5% Трансп +  2% Заг.скл</t>
  </si>
  <si>
    <t>9</t>
  </si>
  <si>
    <t>10</t>
  </si>
  <si>
    <t>12-01-009-02</t>
  </si>
  <si>
    <t>Устройство желобов: подвесных</t>
  </si>
  <si>
    <t>100 м</t>
  </si>
  <si>
    <t>ФЕР-2001, 12-01-009-02, приказ Минстроя России № 876/пр от 26.12.2019</t>
  </si>
  <si>
    <t>10.1</t>
  </si>
  <si>
    <t>08.3.05.05-0051</t>
  </si>
  <si>
    <t>Сталь листовая оцинкованная, толщина 0,5 мм</t>
  </si>
  <si>
    <t>ФССЦ-2001, 08.3.05.05-0051, приказ Минстроя России № 876/пр от 26.12.2019</t>
  </si>
  <si>
    <t>11</t>
  </si>
  <si>
    <t>Водосточный желоб 200 мм 2 м RAL 9003</t>
  </si>
  <si>
    <t>[1 683 / 1.2 /  8.38] +  5% Трансп +  2% Заг.скл</t>
  </si>
  <si>
    <t>12</t>
  </si>
  <si>
    <t>Вертикальный держатель желоба 200 мм RAL 9003</t>
  </si>
  <si>
    <t>[322 / 1.2 /  8.38] +  5% Трансп +  2% Заг.скл</t>
  </si>
  <si>
    <t>13</t>
  </si>
  <si>
    <t>Заглушка для желоба 200 мм RAL 9003</t>
  </si>
  <si>
    <t>[201 / 1.2 /  8.38] +  5% Трансп +  2% Заг.скл</t>
  </si>
  <si>
    <t>14</t>
  </si>
  <si>
    <t>12-01-035-03</t>
  </si>
  <si>
    <t>Устройство металлической водосточной системы: прямых звеньев труб</t>
  </si>
  <si>
    <t>ФЕР-2001, 12-01-035-03, приказ Минстроя России № 876/пр от 26.12.2019</t>
  </si>
  <si>
    <t>15</t>
  </si>
  <si>
    <t>Соединительная труба 180 мм 1,25 м RAL 9003</t>
  </si>
  <si>
    <t>[1 135 / 1.2 /  8.38] +  5% Трансп +  2% Заг.скл</t>
  </si>
  <si>
    <t>16</t>
  </si>
  <si>
    <t>Отмет трубы 120 градусов 180 мм RAL 9003</t>
  </si>
  <si>
    <t>[774 / 1.2 /  8.38] +  5% Трансп +  2% Заг.скл</t>
  </si>
  <si>
    <t>17</t>
  </si>
  <si>
    <t>Кронштейн трубы на кирпич 180 мм RAL 9003</t>
  </si>
  <si>
    <t>[271 / 1.2 /  8.38] +  5% Трансп +  2% Заг.скл</t>
  </si>
  <si>
    <t>18</t>
  </si>
  <si>
    <t>12-01-035-02</t>
  </si>
  <si>
    <t>Устройство металлической водосточной системы: воронок</t>
  </si>
  <si>
    <t>ШТ</t>
  </si>
  <si>
    <t>ФЕР-2001, 12-01-035-02, приказ Минстроя России № 876/пр от 26.12.2019</t>
  </si>
  <si>
    <t>19</t>
  </si>
  <si>
    <t>Водосборная воронка 370/180 мм RAL 9003</t>
  </si>
  <si>
    <t>[1 441 / 1.2 /  8.38] +  5% Трансп +  2% Заг.скл</t>
  </si>
  <si>
    <t>20</t>
  </si>
  <si>
    <t>12-01-035-01</t>
  </si>
  <si>
    <t>Устройство металлической водосточной системы: колен</t>
  </si>
  <si>
    <t>ФЕР-2001, 12-01-035-01, приказ Минстроя России № 876/пр от 26.12.2019</t>
  </si>
  <si>
    <t>21</t>
  </si>
  <si>
    <t>Колено трубы 120 градусов 180 мм RAL 9003</t>
  </si>
  <si>
    <t>22</t>
  </si>
  <si>
    <t>22.1</t>
  </si>
  <si>
    <t>23</t>
  </si>
  <si>
    <t>Сталь листовая оцинкованная, толщина 0,7 мм</t>
  </si>
  <si>
    <t>[112 700 / 1.2 /  8.38] +  5% Трансп +  2% Заг.скл</t>
  </si>
  <si>
    <t>24</t>
  </si>
  <si>
    <t>25</t>
  </si>
  <si>
    <t>58-18-5</t>
  </si>
  <si>
    <t>Смена обрешетки сплошным настилом из досок толщиной: до 50 мм</t>
  </si>
  <si>
    <t>ФЕРр-2001, 58-18-5, приказ Минстроя России № 876/пр от 26.12.2019</t>
  </si>
  <si>
    <t>Ремонтно-строительные работы</t>
  </si>
  <si>
    <t>Крыши, кровли</t>
  </si>
  <si>
    <t>рФЕР-58</t>
  </si>
  <si>
    <t>Пр/812-092.0-1</t>
  </si>
  <si>
    <t>Пр/774-092.0</t>
  </si>
  <si>
    <t>Крыши, кровля</t>
  </si>
  <si>
    <t>26</t>
  </si>
  <si>
    <t>Доска обрезная 1 сорт 40х150/50х150</t>
  </si>
  <si>
    <t>м3</t>
  </si>
  <si>
    <t>[13 000 / 1.2 /  8.38] +  5% Трансп +  2% Заг.скл</t>
  </si>
  <si>
    <t>27</t>
  </si>
  <si>
    <t>10-01-089-03</t>
  </si>
  <si>
    <t>Антисептирование водными растворами: покрытий по фермам</t>
  </si>
  <si>
    <t>ФЕР-2001, 10-01-089-03, приказ Минстроя России № 876/пр от 26.12.2019</t>
  </si>
  <si>
    <t>Деревянные конструкции</t>
  </si>
  <si>
    <t>ФЕР-10</t>
  </si>
  <si>
    <t>Пр/812-010.0-1</t>
  </si>
  <si>
    <t>Пр/774-010.0</t>
  </si>
  <si>
    <t>27.1</t>
  </si>
  <si>
    <t>01.3.05.23-0129</t>
  </si>
  <si>
    <t>Натрий фтористый технический, марка А, сорт I</t>
  </si>
  <si>
    <t>ФССЦ-2001, 01.3.05.23-0129, приказ Минстроя России № 876/пр от 26.12.2019</t>
  </si>
  <si>
    <t>28</t>
  </si>
  <si>
    <t>Раствор невымываемый Ултан биозащитный</t>
  </si>
  <si>
    <t>л</t>
  </si>
  <si>
    <t>[99.3 / 1.2 /  8.38] +  5% Трансп +  2% Заг.скл</t>
  </si>
  <si>
    <t>29</t>
  </si>
  <si>
    <t>58-20-3</t>
  </si>
  <si>
    <t>Смена обделок из листовой стали (брандмауэров и парапетов без обделки боковых стенок) шириной: до 1 м</t>
  </si>
  <si>
    <t>ФЕРр-2001, 58-20-3, приказ Минстроя России № 876/пр от 26.12.2019</t>
  </si>
  <si>
    <t>30</t>
  </si>
  <si>
    <t>31</t>
  </si>
  <si>
    <t>32</t>
  </si>
  <si>
    <t>т01-01-01-041</t>
  </si>
  <si>
    <t>Погрузка при автомобильных перевозках мусора строительного с погрузкой вручную</t>
  </si>
  <si>
    <t>1 т груза</t>
  </si>
  <si>
    <t>ФССЦпг-2001, т01-01-01-041, приказ Минстроя России №876/пр от 26.12.2019</t>
  </si>
  <si>
    <t>Погрузочно-разгрузочные работы</t>
  </si>
  <si>
    <t>ФССЦпр  пог. а/п (2011,изм. 4-6)</t>
  </si>
  <si>
    <t>33</t>
  </si>
  <si>
    <t>т01-01-01-043</t>
  </si>
  <si>
    <t>Погрузка при автомобильных перевозках мусора строительного с погрузкой экскаваторами емкостью ковша до 0,5 м3</t>
  </si>
  <si>
    <t>ФССЦпг-2001, т01-01-01-043, приказ Минстроя России №876/пр от 26.12.2019</t>
  </si>
  <si>
    <t>34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</si>
  <si>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</si>
  <si>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</t>
  </si>
  <si>
    <t>ФССЦпг-2001, т03-21-01-002, приказ Минстроя России №876/пр от 26.12.2019</t>
  </si>
  <si>
    <t>Автомобили-самосвалы</t>
  </si>
  <si>
    <t>Перевозка строительных грузов автомобильным транспортом</t>
  </si>
  <si>
    <t>Перевозка строительных грузов автомобильным транспортом: Автомобили-самосвалы</t>
  </si>
  <si>
    <t>ФССЦпг 03-21, 03-22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</si>
  <si>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</si>
  <si>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</si>
  <si>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</si>
  <si>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</si>
  <si>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</si>
  <si>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</si>
  <si>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</si>
  <si>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</si>
  <si>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</si>
  <si>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</si>
  <si>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</si>
  <si>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</si>
  <si>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</si>
  <si>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</si>
  <si>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</si>
  <si>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</si>
  <si>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</si>
  <si>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</si>
  <si>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</si>
  <si>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</si>
  <si>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</si>
  <si>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</si>
  <si>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</si>
  <si>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</si>
  <si>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</si>
  <si>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</si>
  <si>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</si>
  <si>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</si>
  <si>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</si>
  <si>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</si>
  <si>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</si>
  <si>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</si>
  <si>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</si>
  <si>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</si>
  <si>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</si>
  <si>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</si>
  <si>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</si>
  <si>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</si>
  <si>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</si>
  <si>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</si>
  <si>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</si>
  <si>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</si>
  <si>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</si>
  <si>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</si>
  <si>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</si>
  <si>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</si>
  <si>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</si>
  <si>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</si>
  <si>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</si>
  <si>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</si>
  <si>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</si>
  <si>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</si>
  <si>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</si>
  <si>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</si>
  <si>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Ремонт кровли пристроя на отм. +7,400 - +8,900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</si>
  <si>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</si>
  <si>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</si>
  <si>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</si>
  <si>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</si>
  <si>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</si>
  <si>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</si>
  <si>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</si>
  <si>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</si>
  <si>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</si>
  <si>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</si>
  <si>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44.1</t>
  </si>
  <si>
    <t>45</t>
  </si>
  <si>
    <t>46</t>
  </si>
  <si>
    <t>47</t>
  </si>
  <si>
    <t>48</t>
  </si>
  <si>
    <t>49</t>
  </si>
  <si>
    <t>50</t>
  </si>
  <si>
    <t>Отмет трубы 120 градусов 180 мм RAL</t>
  </si>
  <si>
    <t>51</t>
  </si>
  <si>
    <t>52</t>
  </si>
  <si>
    <t>53</t>
  </si>
  <si>
    <t>54</t>
  </si>
  <si>
    <t>55</t>
  </si>
  <si>
    <t>56</t>
  </si>
  <si>
    <t>56.1</t>
  </si>
  <si>
    <t>57</t>
  </si>
  <si>
    <t>58</t>
  </si>
  <si>
    <t>59</t>
  </si>
  <si>
    <t>58-18-2</t>
  </si>
  <si>
    <t>Смена обрешетки с прозорами: из досок толщиной до 50 мм</t>
  </si>
  <si>
    <t>ФЕРр-2001, 58-18-2, приказ Минстроя России № 876/пр от 26.12.2019</t>
  </si>
  <si>
    <t>60</t>
  </si>
  <si>
    <t>Доска обрезная 1 сорт 40х150</t>
  </si>
  <si>
    <t>61</t>
  </si>
  <si>
    <t>58-1-2</t>
  </si>
  <si>
    <t>Разборка деревянных элементов конструкций крыш: стропил со стойками и подкосами из досок</t>
  </si>
  <si>
    <t>ФЕРр-2001, 58-1-2, приказ Минстроя России № 876/пр от 26.12.2019</t>
  </si>
  <si>
    <t>62</t>
  </si>
  <si>
    <t>10-01-002-01</t>
  </si>
  <si>
    <t>Установка стропил</t>
  </si>
  <si>
    <t>ФЕР-2001, 10-01-002-01, приказ Минстроя России № 876/пр от 26.12.2019</t>
  </si>
  <si>
    <t>62.1</t>
  </si>
  <si>
    <t>11.1.03.01-0078</t>
  </si>
  <si>
    <t>Бруски обрезные, хвойных пород, длина 4-6,5 м, ширина 75-150 мм, толщина 40-75 мм, сорт II</t>
  </si>
  <si>
    <t>ФССЦ-2001, 11.1.03.01-0078, приказ Минстроя России № 876/пр от 26.12.2019</t>
  </si>
  <si>
    <t>62.2</t>
  </si>
  <si>
    <t>11.1.03.01-0082</t>
  </si>
  <si>
    <t>Бруски обрезные, хвойных пород, длина 4-6,5 м, ширина 75-150 мм, толщина 100, 125 мм, сорт II</t>
  </si>
  <si>
    <t>ФССЦ-2001, 11.1.03.01-0082, приказ Минстроя России № 876/пр от 26.12.2019</t>
  </si>
  <si>
    <t>62.3</t>
  </si>
  <si>
    <t>11.1.03.06-0093</t>
  </si>
  <si>
    <t>Доска обрезная, хвойных пород, ширина 75-150 мм, толщина 44 мм и более, длина 4-6,5 м, сорт I</t>
  </si>
  <si>
    <t>ФССЦ-2001, 11.1.03.06-0093, приказ Минстроя России № 876/пр от 26.12.2019</t>
  </si>
  <si>
    <t>62.4</t>
  </si>
  <si>
    <t>14.5.06.03-0002</t>
  </si>
  <si>
    <t>Паста антисептическая</t>
  </si>
  <si>
    <t>ФССЦ-2001, 14.5.06.03-0002, приказ Минстроя России № 876/пр от 26.12.2019</t>
  </si>
  <si>
    <t>63</t>
  </si>
  <si>
    <t>Доска обрезная 1 сорт 50х150</t>
  </si>
  <si>
    <t>64</t>
  </si>
  <si>
    <t>65</t>
  </si>
  <si>
    <t>65.1</t>
  </si>
  <si>
    <t>66</t>
  </si>
  <si>
    <t>67</t>
  </si>
  <si>
    <t>46-01-001-05</t>
  </si>
  <si>
    <t>Усиление перекрытий железобетоном сверху</t>
  </si>
  <si>
    <t>ФЕР-2001, 46-01-001-05, приказ Минстроя России № 876/пр от 26.12.2019</t>
  </si>
  <si>
    <t>Работы по реконструкции зданий и сооружений: усиление и замена существующих конструкций, возведение отдельных конструктивных элементов</t>
  </si>
  <si>
    <t>Пр/812-040.1-1</t>
  </si>
  <si>
    <t>Пр/774-040.1</t>
  </si>
  <si>
    <t>68</t>
  </si>
  <si>
    <t>Бетон М250 БСТ B20 П4 F200 W6</t>
  </si>
  <si>
    <t>[4 800 / 1.2 /  8.38] +  5% Трансп +  2% Заг.скл</t>
  </si>
  <si>
    <t>69</t>
  </si>
  <si>
    <t>Сталь арматурная А500 12мм</t>
  </si>
  <si>
    <t>[66 000 / 1.2 /  8.38] +  5% Трансп +  2% Заг.скл</t>
  </si>
  <si>
    <t>70</t>
  </si>
  <si>
    <t>71</t>
  </si>
  <si>
    <t>72</t>
  </si>
  <si>
    <t>н</t>
  </si>
  <si>
    <t>НДС 20%</t>
  </si>
  <si>
    <t>в с н</t>
  </si>
  <si>
    <t>Всего с НДС 20%</t>
  </si>
  <si>
    <t>НДС</t>
  </si>
  <si>
    <t>Новая переменная</t>
  </si>
  <si>
    <t>Переменная</t>
  </si>
  <si>
    <t>Переменная1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</si>
  <si>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</si>
  <si>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</si>
  <si>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</si>
  <si>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</si>
  <si>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</si>
  <si>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</si>
  <si>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</si>
  <si>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</si>
  <si>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</si>
  <si>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</si>
  <si>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</si>
  <si>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</si>
  <si>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</si>
  <si>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</si>
  <si>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</si>
  <si>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</si>
  <si>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</si>
  <si>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</si>
  <si>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</si>
  <si>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</si>
  <si>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</si>
  <si>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</si>
  <si>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</si>
  <si>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</si>
  <si>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</si>
  <si>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</si>
  <si>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</si>
  <si>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</si>
  <si>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</si>
  <si>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</si>
  <si>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</si>
  <si>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</si>
  <si>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</si>
  <si>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</si>
  <si>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</si>
  <si>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</si>
  <si>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</si>
  <si>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</si>
  <si>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</si>
  <si>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</si>
  <si>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</si>
  <si>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</si>
  <si>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</si>
  <si>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</si>
  <si>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</si>
  <si>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</si>
  <si>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</si>
  <si>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</si>
  <si>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</si>
  <si>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</si>
  <si>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</si>
  <si>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</si>
  <si>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</si>
  <si>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</si>
  <si>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</si>
  <si>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</si>
  <si>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</si>
  <si>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</si>
  <si>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</si>
  <si>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</si>
  <si>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</si>
  <si>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</si>
  <si>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</si>
  <si>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</si>
  <si>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Индексы за итогом</t>
  </si>
  <si>
    <t>_OBSM_</t>
  </si>
  <si>
    <t>1-100-20</t>
  </si>
  <si>
    <t>Затраты труда рабочих (Средний разряд - 2)</t>
  </si>
  <si>
    <t>чел.-ч.</t>
  </si>
  <si>
    <t>91.06.03-055</t>
  </si>
  <si>
    <t>ФСЭМ-2001, 91.06.03-055 , приказ Минстроя России № 876/пр от 26.12.2019</t>
  </si>
  <si>
    <t>Лебедки электрические тяговым усилием 19,62 кН (2 т)</t>
  </si>
  <si>
    <t>маш.-ч.</t>
  </si>
  <si>
    <t>999-9900</t>
  </si>
  <si>
    <t>Строительный мусор</t>
  </si>
  <si>
    <t>1-100-32</t>
  </si>
  <si>
    <t>Затраты труда рабочих (Средний разряд - 3,2)</t>
  </si>
  <si>
    <t>4-100-00</t>
  </si>
  <si>
    <t>Затраты труда машинистов</t>
  </si>
  <si>
    <t>91.05.02-005</t>
  </si>
  <si>
    <t>ФСЭМ-2001, 91.05.02-005 , приказ Минстроя России № 876/пр от 26.12.2019</t>
  </si>
  <si>
    <t>Краны козловые, грузоподъемность 32 т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</si>
  <si>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</si>
  <si>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</si>
  <si>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</si>
  <si>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91.05.06-008</t>
  </si>
  <si>
    <t>ФСЭМ-2001, 91.05.06-008 , приказ Минстроя России № 876/пр от 26.12.2019</t>
  </si>
  <si>
    <t>Краны на гусеничном ходу, грузоподъемность 40 т</t>
  </si>
  <si>
    <t>91.06.01-003</t>
  </si>
  <si>
    <t>ФСЭМ-2001, 91.06.01-003 , приказ Минстроя России № 876/пр от 26.12.2019</t>
  </si>
  <si>
    <t>Домкраты гидравлические, грузоподъемность 63-100 т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</si>
  <si>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</si>
  <si>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</si>
  <si>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</si>
  <si>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</si>
  <si>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</si>
  <si>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</si>
  <si>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91.17.04-171</t>
  </si>
  <si>
    <t>ФСЭМ-2001, 91.17.04-171 , приказ Минстроя России № 876/пр от 26.12.2019</t>
  </si>
  <si>
    <t>Преобразователи сварочные номинальным сварочным током 315-500 А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</si>
  <si>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</si>
  <si>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</si>
  <si>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</si>
  <si>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</si>
  <si>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</si>
  <si>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</si>
  <si>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кг</t>
  </si>
  <si>
    <t>01.7.11.07-0032</t>
  </si>
  <si>
    <t>ФССЦ-2001, 01.7.11.07-0032, приказ Минстроя России № 876/пр от 26.12.2019</t>
  </si>
  <si>
    <t>Электроды сварочные Э42, диаметр 4 мм</t>
  </si>
  <si>
    <t>01.7.15.03-0042</t>
  </si>
  <si>
    <t>ФССЦ-2001, 01.7.15.03-0042, приказ Минстроя России № 876/пр от 26.12.2019</t>
  </si>
  <si>
    <t>Болты с гайками и шайбами строительные</t>
  </si>
  <si>
    <t>01.7.20.08-0071</t>
  </si>
  <si>
    <t>ФССЦ-2001, 01.7.20.08-0071, приказ Минстроя России № 876/пр от 26.12.2019</t>
  </si>
  <si>
    <t>Канат пеньковый пропитанный</t>
  </si>
  <si>
    <t>07.2.07.12-0020</t>
  </si>
  <si>
    <t>ФССЦ-2001, 07.2.07.12-0020, приказ Минстроя России № 876/пр от 26.12.2019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</si>
  <si>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</si>
  <si>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08.1.02.25</t>
  </si>
  <si>
    <t>Крепежные детали для крепления профилированного настила к несущим конструкциям</t>
  </si>
  <si>
    <t>08.2.02.11-0007</t>
  </si>
  <si>
    <t>ФССЦ-2001, 08.2.02.11-0007, приказ Минстроя России № 876/пр от 26.12.2019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</si>
  <si>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</si>
  <si>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</si>
  <si>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</si>
  <si>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ФССЦ-2001, 08.3.03.06-0002, приказ Минстроя России № 876/пр от 26.12.2019</t>
  </si>
  <si>
    <t>Проволока горячекатаная в мотках, диаметр 6,3-6,5 мм</t>
  </si>
  <si>
    <t>08.3.09.05</t>
  </si>
  <si>
    <t>Стальной гнутый профиль (профилированный настил)</t>
  </si>
  <si>
    <t>08.3.11.01-0091</t>
  </si>
  <si>
    <t>ФССЦ-2001, 08.3.11.01-0091, приказ Минстроя России № 876/пр от 26.12.2019</t>
  </si>
  <si>
    <t>Швеллеры № 40, марка стали Ст0</t>
  </si>
  <si>
    <t>11.1.03.01-0077</t>
  </si>
  <si>
    <t>ФССЦ-2001, 11.1.03.01-0077, приказ Минстроя России № 876/пр от 26.12.2019</t>
  </si>
  <si>
    <t>Бруски обрезные, хвойных пород, длина 4-6,5 м, ширина 75-150 мм, толщина 40-75 мм, сорт I</t>
  </si>
  <si>
    <t>14.4.01.01-0003</t>
  </si>
  <si>
    <t>ФССЦ-2001, 14.4.01.01-0003, приказ Минстроя России № 876/пр от 26.12.2019</t>
  </si>
  <si>
    <t>Грунтовка ГФ-021</t>
  </si>
  <si>
    <t>14.5.09.07-0030</t>
  </si>
  <si>
    <t>ФССЦ-2001, 14.5.09.07-0030, приказ Минстроя России № 876/пр от 26.12.2019</t>
  </si>
  <si>
    <t>Растворитель Р-4</t>
  </si>
  <si>
    <t>1-100-30</t>
  </si>
  <si>
    <t>Затраты труда рабочих (Средний разряд - 3)</t>
  </si>
  <si>
    <t>91.05.01-017</t>
  </si>
  <si>
    <t>ФСЭМ-2001, 91.05.01-017 , приказ Минстроя России № 876/пр от 26.12.2019</t>
  </si>
  <si>
    <t>Краны башенные, грузоподъемность 8 т</t>
  </si>
  <si>
    <t>01.7.15.06-0146</t>
  </si>
  <si>
    <t>ФССЦ-2001, 01.7.15.06-0146, приказ Минстроя России № 876/пр от 26.12.2019</t>
  </si>
  <si>
    <t>Гвозди толевые круглые, размер 3,0x40 мм</t>
  </si>
  <si>
    <t>08.3.03.05-0002</t>
  </si>
  <si>
    <t>ФССЦ-2001, 08.3.03.05-0002, приказ Минстроя России № 876/пр от 26.12.2019</t>
  </si>
  <si>
    <t>Проволока канатная оцинкованная, диаметр 3 мм</t>
  </si>
  <si>
    <t>01.7.15.06-0094</t>
  </si>
  <si>
    <t>ФССЦ-2001, 01.7.15.06-0094, приказ Минстроя России № 876/пр от 26.12.2019</t>
  </si>
  <si>
    <t>Гвозди проволочные оцинкованные для асбестоцементной кровли, размер 4,5x120 мм</t>
  </si>
  <si>
    <t>08.1.02.11-0013</t>
  </si>
  <si>
    <t>ФССЦ-2001, 08.1.02.11-0013, приказ Минстроя России № 876/пр от 26.12.2019</t>
  </si>
  <si>
    <t>Поковки оцинкованные, масса 2,825 кг</t>
  </si>
  <si>
    <t>1-100-40</t>
  </si>
  <si>
    <t>Затраты труда рабочих (Средний разряд - 4)</t>
  </si>
  <si>
    <t>01.7.15.07-0010</t>
  </si>
  <si>
    <t>ФССЦ-2001, 01.7.15.07-0010, приказ Минстроя России № 876/пр от 26.12.2019</t>
  </si>
  <si>
    <t>Дюбели пластмассовые с шурупами, размер 10x50 мм</t>
  </si>
  <si>
    <t>100 ШТ</t>
  </si>
  <si>
    <t>08.1.02.07</t>
  </si>
  <si>
    <t>Труба водосточная</t>
  </si>
  <si>
    <t>08.1.02.22</t>
  </si>
  <si>
    <t>Изделия для водосточных труб</t>
  </si>
  <si>
    <t>1-100-22</t>
  </si>
  <si>
    <t>Затраты труда рабочих (Средний разряд - 2,2)</t>
  </si>
  <si>
    <t>91.06.03-060</t>
  </si>
  <si>
    <t>ФСЭМ-2001, 91.06.03-060 , приказ Минстроя России № 876/пр от 26.12.2019</t>
  </si>
  <si>
    <t>Лебедки электрические тяговым усилием до 5,79 кН (0,59 т)</t>
  </si>
  <si>
    <t>01.7.15.06-0111</t>
  </si>
  <si>
    <t>ФССЦ-2001, 01.7.15.06-0111, приказ Минстроя России № 876/пр от 26.12.2019</t>
  </si>
  <si>
    <t>Гвозди строительные</t>
  </si>
  <si>
    <t>11.1.03.05</t>
  </si>
  <si>
    <t>Доски необрезные</t>
  </si>
  <si>
    <t>91.21.01-016</t>
  </si>
  <si>
    <t>ФСЭМ-2001, 91.21.01-016 , приказ Минстроя России № 876/пр от 26.12.2019</t>
  </si>
  <si>
    <t>Агрегаты шпатлево-окрасочные</t>
  </si>
  <si>
    <t>01.7.03.01-0001</t>
  </si>
  <si>
    <t>ФССЦ-2001, 01.7.03.01-0001, приказ Минстроя России № 876/пр от 26.12.2019</t>
  </si>
  <si>
    <t>Вода</t>
  </si>
  <si>
    <t>91.06.06-048</t>
  </si>
  <si>
    <t>ФСЭМ-2001, 91.06.06-048 , приказ Минстроя России № 876/пр от 26.12.2019</t>
  </si>
  <si>
    <t>Подъемники одномачтовые, грузоподъемность до 500 кг, высота подъема 45 м</t>
  </si>
  <si>
    <t>08.3.03.05-0001</t>
  </si>
  <si>
    <t>ФССЦ-2001, 08.3.03.05-0001, приказ Минстроя России № 876/пр от 26.12.2019</t>
  </si>
  <si>
    <t>Проволока канатная оцинкованная, диаметр 2,6 мм</t>
  </si>
  <si>
    <t>08.3.05.05</t>
  </si>
  <si>
    <t>Сталь листовая оцинкованная</t>
  </si>
  <si>
    <t>1-100-24</t>
  </si>
  <si>
    <t>Затраты труда рабочих (Средний разряд - 2,4)</t>
  </si>
  <si>
    <t>1-100-27</t>
  </si>
  <si>
    <t>Затраты труда рабочих (Средний разряд - 2,7)</t>
  </si>
  <si>
    <t>08.1.02.11-0001</t>
  </si>
  <si>
    <t>ФССЦ-2001, 08.1.02.11-0001, приказ Минстроя России № 876/пр от 26.12.2019</t>
  </si>
  <si>
    <t>Поковки из квадратных заготовок, масса 1,8 кг</t>
  </si>
  <si>
    <t>12.1.02.06-0012</t>
  </si>
  <si>
    <t>ФССЦ-2001, 12.1.02.06-0012, приказ Минстроя России № 876/пр от 26.12.2019</t>
  </si>
  <si>
    <t>Рубероид кровельный РКК-350</t>
  </si>
  <si>
    <t>1-100-39</t>
  </si>
  <si>
    <t>Затраты труда рабочих (Средний разряд - 3,9)</t>
  </si>
  <si>
    <t>91.07.04-002</t>
  </si>
  <si>
    <t>ФСЭМ-2001, 91.07.04-002 , приказ Минстроя России № 876/пр от 26.12.2019</t>
  </si>
  <si>
    <t>Вибраторы поверхностные</t>
  </si>
  <si>
    <t>91.18.01-508</t>
  </si>
  <si>
    <t>ФСЭМ-2001, 91.18.01-508 , приказ Минстроя России № 876/пр от 26.12.2019</t>
  </si>
  <si>
    <t>Компрессоры передвижные с электродвигателем, производительность до 5,0 м3/мин</t>
  </si>
  <si>
    <t>91.21.10-003</t>
  </si>
  <si>
    <t>ФСЭМ-2001, 91.21.10-003 , приказ Минстроя России № 876/пр от 26.12.2019</t>
  </si>
  <si>
    <t>Молотки при работе от передвижных компрессорных станций отбойные пневматические</t>
  </si>
  <si>
    <t>01.7.20.08-0111</t>
  </si>
  <si>
    <t>ФССЦ-2001, 01.7.20.08-0111, приказ Минстроя России № 876/пр от 26.12.2019</t>
  </si>
  <si>
    <t>Рогожа</t>
  </si>
  <si>
    <t>04.1.02.05</t>
  </si>
  <si>
    <t>Смеси бетонные тяжелого бетона</t>
  </si>
  <si>
    <t>08.4.03.03</t>
  </si>
  <si>
    <t>Арматура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</si>
  <si>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</si>
  <si>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</t>
  </si>
  <si>
    <t>(наименование стройки)</t>
  </si>
  <si>
    <t>(наименование работ и затрат, наименование объекта)</t>
  </si>
  <si>
    <t>текущая цена</t>
  </si>
  <si>
    <t>Сметная стоимость</t>
  </si>
  <si>
    <t>тыс. руб.</t>
  </si>
  <si>
    <t>Строительный объем:</t>
  </si>
  <si>
    <t>Стоимость ед.стр.объема: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</si>
  <si>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</si>
  <si>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</si>
  <si>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</si>
  <si>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</si>
  <si>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</si>
  <si>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</si>
  <si>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</si>
  <si>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</si>
  <si>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</si>
  <si>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</si>
  <si>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</si>
  <si>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</si>
  <si>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II квартал 2024 года</t>
  </si>
  <si>
    <r>
      <t>Очистка кровли от гидратированного цемента, в т.ч.: перемещение материала на нулевую отметку, погрузка и перевозка материала на расстояние до 5 км</t>
    </r>
    <r>
      <rPr>
        <i/>
        <sz val="10"/>
        <rFont val="Arial"/>
        <family val="2"/>
        <charset val="204"/>
      </rPr>
      <t xml:space="preserve">
216.35 = [1 813 /  8.38]</t>
    </r>
  </si>
  <si>
    <t>Зарплата</t>
  </si>
  <si>
    <t>НР от ФОТ</t>
  </si>
  <si>
    <t>%</t>
  </si>
  <si>
    <t>СП от ФОТ</t>
  </si>
  <si>
    <t>Затраты труда</t>
  </si>
  <si>
    <t>чел-ч</t>
  </si>
  <si>
    <t>в т.ч. зарплата машинистов</t>
  </si>
  <si>
    <t>Материальные ресурсы</t>
  </si>
  <si>
    <r>
      <t>Саморез кровельный КрепСтройГрупп 6,3х25 мм оцинкованный</t>
    </r>
    <r>
      <rPr>
        <i/>
        <sz val="10"/>
        <rFont val="Arial"/>
        <family val="2"/>
        <charset val="204"/>
      </rPr>
      <t xml:space="preserve">
0.54 = [5 / 1.2 /  8.38] +  5% Трансп +  2% Заг.скл</t>
    </r>
  </si>
  <si>
    <r>
      <t>Карнизная планка</t>
    </r>
    <r>
      <rPr>
        <i/>
        <sz val="10"/>
        <rFont val="Arial"/>
        <family val="2"/>
        <charset val="204"/>
      </rPr>
      <t xml:space="preserve">
31.95 = [300 / 1.2 /  8.38] +  5% Трансп +  2% Заг.скл</t>
    </r>
  </si>
  <si>
    <r>
      <t>Коньковый элемент</t>
    </r>
    <r>
      <rPr>
        <i/>
        <sz val="10"/>
        <rFont val="Arial"/>
        <family val="2"/>
        <charset val="204"/>
      </rPr>
      <t xml:space="preserve">
39.93 = [375 / 1.2 /  8.38] +  5% Трансп +  2% Заг.скл</t>
    </r>
  </si>
  <si>
    <r>
      <t>Водосточный желоб 200 мм 2 м RAL 9003</t>
    </r>
    <r>
      <rPr>
        <i/>
        <sz val="10"/>
        <rFont val="Arial"/>
        <family val="2"/>
        <charset val="204"/>
      </rPr>
      <t xml:space="preserve">
179.24 = [1 683 / 1.2 /  8.38] +  5% Трансп +  2% Заг.скл</t>
    </r>
  </si>
  <si>
    <r>
      <t>Вертикальный держатель желоба 200 мм RAL 9003</t>
    </r>
    <r>
      <rPr>
        <i/>
        <sz val="10"/>
        <rFont val="Arial"/>
        <family val="2"/>
        <charset val="204"/>
      </rPr>
      <t xml:space="preserve">
34.29 = [322 / 1.2 /  8.38] +  5% Трансп +  2% Заг.скл</t>
    </r>
  </si>
  <si>
    <r>
      <t>Заглушка для желоба 200 мм RAL 9003</t>
    </r>
    <r>
      <rPr>
        <i/>
        <sz val="10"/>
        <rFont val="Arial"/>
        <family val="2"/>
        <charset val="204"/>
      </rPr>
      <t xml:space="preserve">
21.41 = [201 / 1.2 /  8.38] +  5% Трансп +  2% Заг.скл</t>
    </r>
  </si>
  <si>
    <r>
      <t>Соединительная труба 180 мм 1,25 м RAL 9003</t>
    </r>
    <r>
      <rPr>
        <i/>
        <sz val="10"/>
        <rFont val="Arial"/>
        <family val="2"/>
        <charset val="204"/>
      </rPr>
      <t xml:space="preserve">
120.88 = [1 135 / 1.2 /  8.38] +  5% Трансп +  2% Заг.скл</t>
    </r>
  </si>
  <si>
    <r>
      <t>Отмет трубы 120 градусов 180 мм RAL 9003</t>
    </r>
    <r>
      <rPr>
        <i/>
        <sz val="10"/>
        <rFont val="Arial"/>
        <family val="2"/>
        <charset val="204"/>
      </rPr>
      <t xml:space="preserve">
82.44 = [774 / 1.2 /  8.38] +  5% Трансп +  2% Заг.скл</t>
    </r>
  </si>
  <si>
    <r>
      <t>Кронштейн трубы на кирпич 180 мм RAL 9003</t>
    </r>
    <r>
      <rPr>
        <i/>
        <sz val="10"/>
        <rFont val="Arial"/>
        <family val="2"/>
        <charset val="204"/>
      </rPr>
      <t xml:space="preserve">
28.87 = [271 / 1.2 /  8.38] +  5% Трансп +  2% Заг.скл</t>
    </r>
  </si>
  <si>
    <r>
      <t>Водосборная воронка 370/180 мм RAL 9003</t>
    </r>
    <r>
      <rPr>
        <i/>
        <sz val="10"/>
        <rFont val="Arial"/>
        <family val="2"/>
        <charset val="204"/>
      </rPr>
      <t xml:space="preserve">
153.48 = [1 441 / 1.2 /  8.38] +  5% Трансп +  2% Заг.скл</t>
    </r>
  </si>
  <si>
    <r>
      <t>Колено трубы 120 градусов 180 мм RAL 9003</t>
    </r>
    <r>
      <rPr>
        <i/>
        <sz val="10"/>
        <rFont val="Arial"/>
        <family val="2"/>
        <charset val="204"/>
      </rPr>
      <t xml:space="preserve">
82.44 = [774 / 1.2 /  8.38] +  5% Трансп +  2% Заг.скл</t>
    </r>
  </si>
  <si>
    <r>
      <t>Сталь листовая оцинкованная, толщина 0,7 мм</t>
    </r>
    <r>
      <rPr>
        <i/>
        <sz val="10"/>
        <rFont val="Arial"/>
        <family val="2"/>
        <charset val="204"/>
      </rPr>
      <t xml:space="preserve">
12 002.95 = [112 700 / 1.2 /  8.38] +  5% Трансп +  2% Заг.скл</t>
    </r>
  </si>
  <si>
    <r>
      <t>Доска обрезная 1 сорт 40х150/50х150</t>
    </r>
    <r>
      <rPr>
        <i/>
        <sz val="10"/>
        <rFont val="Arial"/>
        <family val="2"/>
        <charset val="204"/>
      </rPr>
      <t xml:space="preserve">
1 384.55 = [13 000 / 1.2 /  8.38] +  5% Трансп +  2% Заг.скл</t>
    </r>
  </si>
  <si>
    <r>
      <t>Раствор невымываемый Ултан биозащитный</t>
    </r>
    <r>
      <rPr>
        <i/>
        <sz val="10"/>
        <rFont val="Arial"/>
        <family val="2"/>
        <charset val="204"/>
      </rPr>
      <t xml:space="preserve">
10.57 = [99.3 / 1.2 /  8.38] +  5% Трансп +  2% Заг.скл</t>
    </r>
  </si>
  <si>
    <r>
      <t>Отмет трубы 120 градусов 180 мм RAL</t>
    </r>
    <r>
      <rPr>
        <i/>
        <sz val="10"/>
        <rFont val="Arial"/>
        <family val="2"/>
        <charset val="204"/>
      </rPr>
      <t xml:space="preserve">
82.44 = [774 / 1.2 /  8.38] +  5% Трансп +  2% Заг.скл</t>
    </r>
  </si>
  <si>
    <r>
      <t>Доска обрезная 1 сорт 40х150</t>
    </r>
    <r>
      <rPr>
        <i/>
        <sz val="10"/>
        <rFont val="Arial"/>
        <family val="2"/>
        <charset val="204"/>
      </rPr>
      <t xml:space="preserve">
1 384.55 = [13 000 / 1.2 /  8.38] +  5% Трансп +  2% Заг.скл</t>
    </r>
  </si>
  <si>
    <r>
      <t>Доска обрезная 1 сорт 50х150</t>
    </r>
    <r>
      <rPr>
        <i/>
        <sz val="10"/>
        <rFont val="Arial"/>
        <family val="2"/>
        <charset val="204"/>
      </rPr>
      <t xml:space="preserve">
1 384.55 = [13 000 / 1.2 /  8.38] +  5% Трансп +  2% Заг.скл</t>
    </r>
  </si>
  <si>
    <r>
      <t>Бетон М250 БСТ B20 П4 F200 W6</t>
    </r>
    <r>
      <rPr>
        <i/>
        <sz val="10"/>
        <rFont val="Arial"/>
        <family val="2"/>
        <charset val="204"/>
      </rPr>
      <t xml:space="preserve">
511.22 = [4 800 / 1.2 /  8.38] +  5% Трансп +  2% Заг.скл</t>
    </r>
  </si>
  <si>
    <r>
      <t>Сталь арматурная А500 12мм</t>
    </r>
    <r>
      <rPr>
        <i/>
        <sz val="10"/>
        <rFont val="Arial"/>
        <family val="2"/>
        <charset val="204"/>
      </rPr>
      <t xml:space="preserve">
7 029.24 = [66 000 / 1.2 /  8.38] +  5% Трансп +  2% Заг.скл</t>
    </r>
  </si>
  <si>
    <t>ЛОКАЛЬНАЯ СМЕТА № 3</t>
  </si>
  <si>
    <t>Приложение №4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</si>
</sst>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############;[Red]\-\ #,##0.00###########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3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Border="1" applyAlignment="1">
      <alignment wrapText="1"/>
    </xf>
    <xf numFmtId="0" fontId="11" fillId="0" borderId="0" xfId="0" applyFont="1" applyBorder="1"/>
    <xf numFmtId="0" fontId="11" fillId="0" borderId="0" xfId="0" applyFont="1"/>
    <xf numFmtId="0" fontId="13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top"/>
    </xf>
    <xf numFmtId="0" fontId="11" fillId="0" borderId="0" xfId="0" applyFont="1" applyAlignment="1"/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4" fontId="0" fillId="0" borderId="0" xfId="0" applyNumberFormat="1"/>
    <xf numFmtId="0" fontId="9" fillId="0" borderId="0" xfId="0" applyFont="1" applyAlignment="1">
      <alignment vertical="top" wrapText="1"/>
    </xf>
    <xf numFmtId="0" fontId="0" fillId="0" borderId="2" xfId="0" applyBorder="1"/>
    <xf numFmtId="0" fontId="9" fillId="0" borderId="2" xfId="0" applyFont="1" applyBorder="1" applyAlignment="1">
      <alignment vertical="top" wrapText="1"/>
    </xf>
    <xf numFmtId="0" fontId="13" fillId="0" borderId="0" xfId="0" applyFont="1"/>
    <xf numFmtId="0" fontId="11" fillId="0" borderId="0" xfId="0" applyFont="1" applyAlignment="1">
      <alignment horizontal="left" wrapText="1"/>
    </xf>
    <xf numFmtId="0" fontId="16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0" fontId="16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0" borderId="2" xfId="0" quotePrefix="1" applyFont="1" applyBorder="1" applyAlignment="1">
      <alignment horizontal="right" wrapText="1"/>
    </xf>
    <xf numFmtId="0" fontId="11" fillId="0" borderId="0" xfId="0" quotePrefix="1" applyFont="1" applyAlignment="1">
      <alignment horizontal="right" wrapText="1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left"/>
    </xf>
    <xf numFmtId="0" fontId="13" fillId="0" borderId="0" xfId="0" applyFont="1" applyAlignment="1">
      <alignment horizontal="left" wrapText="1"/>
    </xf>
    <xf numFmtId="0" fontId="11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left"/>
    </xf>
    <xf numFmtId="0" fontId="12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75"/>
  <sheetViews>
    <sheetView tabSelected="1" zoomScaleNormal="100" workbookViewId="0">
      <selection activeCell="I1" sqref="I1:K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31" width="0" hidden="1" customWidth="1"/>
    <col min="32" max="32" width="91.7109375" hidden="1" customWidth="1"/>
    <col min="33" max="36" width="0" hidden="1" customWidth="1"/>
  </cols>
  <sheetData>
    <row r="1" spans="1:12" x14ac:dyDescent="0.2">
      <c r="I1" s="76" t="s">
        <v>598</v>
      </c>
      <c r="J1" s="76"/>
      <c r="K1" s="76"/>
    </row>
    <row r="5" spans="1:12" x14ac:dyDescent="0.2">
      <c r="A5" s="9" t="str">
        <f>Source!B1</f>
        <v>Smeta.RU  (495) 974-1589</v>
      </c>
    </row>
    <row r="6" spans="1:12" ht="15.75" x14ac:dyDescent="0.25">
      <c r="A6" s="10"/>
      <c r="B6" s="70" t="s">
        <v>4</v>
      </c>
      <c r="C6" s="70"/>
      <c r="D6" s="70"/>
      <c r="E6" s="70"/>
      <c r="F6" s="70"/>
      <c r="G6" s="70"/>
      <c r="H6" s="70"/>
      <c r="I6" s="70"/>
      <c r="J6" s="70"/>
      <c r="K6" s="70"/>
      <c r="L6" s="10"/>
    </row>
    <row r="7" spans="1:12" ht="14.25" x14ac:dyDescent="0.2">
      <c r="A7" s="11"/>
      <c r="B7" s="71" t="s">
        <v>549</v>
      </c>
      <c r="C7" s="71"/>
      <c r="D7" s="71"/>
      <c r="E7" s="71"/>
      <c r="F7" s="71"/>
      <c r="G7" s="71"/>
      <c r="H7" s="71"/>
      <c r="I7" s="71"/>
      <c r="J7" s="71"/>
      <c r="K7" s="71"/>
      <c r="L7" s="10"/>
    </row>
    <row r="8" spans="1:12" ht="14.25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75" x14ac:dyDescent="0.25">
      <c r="A9" s="13"/>
      <c r="B9" s="70" t="s">
        <v>597</v>
      </c>
      <c r="C9" s="70"/>
      <c r="D9" s="70"/>
      <c r="E9" s="70"/>
      <c r="F9" s="70"/>
      <c r="G9" s="70"/>
      <c r="H9" s="70"/>
      <c r="I9" s="70"/>
      <c r="J9" s="70"/>
      <c r="K9" s="70"/>
      <c r="L9" s="13"/>
    </row>
    <row r="10" spans="1:12" ht="15.75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3"/>
    </row>
    <row r="11" spans="1:12" ht="18" hidden="1" x14ac:dyDescent="0.25">
      <c r="A11" s="13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13"/>
    </row>
    <row r="12" spans="1:12" ht="14.25" hidden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" x14ac:dyDescent="0.25">
      <c r="A13" s="12"/>
      <c r="B13" s="73" t="str">
        <f>IF(Source!G12&lt;&gt;"Новый объект", Source!G12, "")</f>
        <v>Ремонт кровли здания электроцеха</v>
      </c>
      <c r="C13" s="73"/>
      <c r="D13" s="73"/>
      <c r="E13" s="73"/>
      <c r="F13" s="73"/>
      <c r="G13" s="73"/>
      <c r="H13" s="73"/>
      <c r="I13" s="73"/>
      <c r="J13" s="73"/>
      <c r="K13" s="73"/>
      <c r="L13" s="15"/>
    </row>
    <row r="14" spans="1:12" ht="14.25" x14ac:dyDescent="0.2">
      <c r="A14" s="12"/>
      <c r="B14" s="74" t="s">
        <v>550</v>
      </c>
      <c r="C14" s="74"/>
      <c r="D14" s="74"/>
      <c r="E14" s="74"/>
      <c r="F14" s="74"/>
      <c r="G14" s="74"/>
      <c r="H14" s="74"/>
      <c r="I14" s="74"/>
      <c r="J14" s="74"/>
      <c r="K14" s="74"/>
      <c r="L14" s="10"/>
    </row>
    <row r="15" spans="1:12" ht="14.25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4.25" x14ac:dyDescent="0.2">
      <c r="A16" s="63" t="str">
        <f>CONCATENATE("Основание: ", Source!J12)</f>
        <v>Основание: Ведомость объемов работ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26" ht="14.25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26" ht="14.25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26" ht="14.25" x14ac:dyDescent="0.2">
      <c r="A19" s="12"/>
      <c r="B19" s="12"/>
      <c r="C19" s="12"/>
      <c r="D19" s="12"/>
      <c r="E19" s="16"/>
      <c r="F19" s="16"/>
      <c r="G19" s="75"/>
      <c r="H19" s="75"/>
      <c r="I19" s="75" t="s">
        <v>551</v>
      </c>
      <c r="J19" s="75"/>
      <c r="K19" s="12"/>
      <c r="L19" s="12"/>
    </row>
    <row r="20" spans="1:26" ht="15" x14ac:dyDescent="0.25">
      <c r="A20" s="12"/>
      <c r="B20" s="12"/>
      <c r="C20" s="66" t="s">
        <v>552</v>
      </c>
      <c r="D20" s="66"/>
      <c r="E20" s="66"/>
      <c r="F20" s="66"/>
      <c r="G20" s="64"/>
      <c r="H20" s="64"/>
      <c r="I20" s="64">
        <f>J375/1000</f>
        <v>2517.08131</v>
      </c>
      <c r="J20" s="64"/>
      <c r="K20" s="67" t="s">
        <v>553</v>
      </c>
      <c r="L20" s="67"/>
    </row>
    <row r="21" spans="1:26" ht="14.25" hidden="1" x14ac:dyDescent="0.2">
      <c r="A21" s="12"/>
      <c r="B21" s="12"/>
      <c r="C21" s="68" t="s">
        <v>223</v>
      </c>
      <c r="D21" s="68"/>
      <c r="E21" s="68"/>
      <c r="F21" s="68"/>
      <c r="G21" s="64"/>
      <c r="H21" s="64"/>
      <c r="I21" s="64"/>
      <c r="J21" s="64"/>
      <c r="K21" s="17" t="s">
        <v>553</v>
      </c>
      <c r="L21" s="12"/>
    </row>
    <row r="22" spans="1:26" ht="15" x14ac:dyDescent="0.25">
      <c r="A22" s="12"/>
      <c r="B22" s="12"/>
      <c r="C22" s="18"/>
      <c r="D22" s="18"/>
      <c r="E22" s="18"/>
      <c r="F22" s="19"/>
      <c r="G22" s="20"/>
      <c r="H22" s="20"/>
      <c r="I22" s="20"/>
      <c r="J22" s="20"/>
      <c r="K22" s="20"/>
      <c r="L22" s="20"/>
    </row>
    <row r="23" spans="1:26" ht="15" hidden="1" x14ac:dyDescent="0.2">
      <c r="A23" s="19" t="s">
        <v>554</v>
      </c>
      <c r="B23" s="12"/>
      <c r="C23" s="12"/>
      <c r="D23" s="21"/>
      <c r="E23" s="12"/>
      <c r="F23" s="12"/>
      <c r="G23" s="22"/>
      <c r="H23" s="22"/>
      <c r="I23" s="23"/>
      <c r="J23" s="22"/>
      <c r="K23" s="22"/>
      <c r="L23" s="22"/>
    </row>
    <row r="24" spans="1:26" ht="15" hidden="1" x14ac:dyDescent="0.2">
      <c r="A24" s="19" t="s">
        <v>555</v>
      </c>
      <c r="B24" s="12"/>
      <c r="C24" s="12"/>
      <c r="D24" s="21"/>
      <c r="E24" s="12"/>
      <c r="F24" s="12"/>
      <c r="G24" s="22"/>
      <c r="H24" s="22"/>
      <c r="I24" s="23"/>
      <c r="J24" s="22"/>
      <c r="K24" s="22"/>
      <c r="L24" s="22"/>
    </row>
    <row r="25" spans="1:26" ht="15" hidden="1" x14ac:dyDescent="0.2">
      <c r="A25" s="12"/>
      <c r="B25" s="12"/>
      <c r="C25" s="24"/>
      <c r="D25" s="24"/>
      <c r="E25" s="24"/>
      <c r="F25" s="24"/>
      <c r="G25" s="22"/>
      <c r="H25" s="22"/>
      <c r="I25" s="23"/>
      <c r="J25" s="22"/>
      <c r="K25" s="22"/>
      <c r="L25" s="22"/>
    </row>
    <row r="26" spans="1:26" ht="14.25" x14ac:dyDescent="0.2">
      <c r="A26" s="69" t="s">
        <v>568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26" ht="57" x14ac:dyDescent="0.2">
      <c r="A27" s="25" t="s">
        <v>556</v>
      </c>
      <c r="B27" s="25" t="s">
        <v>557</v>
      </c>
      <c r="C27" s="25" t="s">
        <v>558</v>
      </c>
      <c r="D27" s="25" t="s">
        <v>559</v>
      </c>
      <c r="E27" s="25" t="s">
        <v>560</v>
      </c>
      <c r="F27" s="25" t="s">
        <v>561</v>
      </c>
      <c r="G27" s="25" t="s">
        <v>562</v>
      </c>
      <c r="H27" s="25" t="s">
        <v>563</v>
      </c>
      <c r="I27" s="25" t="s">
        <v>564</v>
      </c>
      <c r="J27" s="25" t="s">
        <v>565</v>
      </c>
      <c r="K27" s="25" t="s">
        <v>566</v>
      </c>
      <c r="L27" s="25" t="s">
        <v>567</v>
      </c>
    </row>
    <row r="28" spans="1:26" ht="14.25" x14ac:dyDescent="0.2">
      <c r="A28" s="26">
        <v>1</v>
      </c>
      <c r="B28" s="26">
        <v>2</v>
      </c>
      <c r="C28" s="26">
        <v>3</v>
      </c>
      <c r="D28" s="26">
        <v>4</v>
      </c>
      <c r="E28" s="26">
        <v>5</v>
      </c>
      <c r="F28" s="26">
        <v>6</v>
      </c>
      <c r="G28" s="26">
        <v>7</v>
      </c>
      <c r="H28" s="26">
        <v>8</v>
      </c>
      <c r="I28" s="26">
        <v>9</v>
      </c>
      <c r="J28" s="26">
        <v>10</v>
      </c>
      <c r="K28" s="26">
        <v>11</v>
      </c>
      <c r="L28" s="27">
        <v>12</v>
      </c>
    </row>
    <row r="30" spans="1:26" ht="16.5" x14ac:dyDescent="0.25">
      <c r="A30" s="62" t="str">
        <f>CONCATENATE("Раздел: ",IF(Source!G24&lt;&gt;"Новый раздел", Source!G24, ""))</f>
        <v>Раздел: Ремонт кровли электроцеха на отм. +9,300 - + 11,500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</row>
    <row r="31" spans="1:26" ht="84" x14ac:dyDescent="0.2">
      <c r="A31" s="50">
        <v>1</v>
      </c>
      <c r="B31" s="50" t="str">
        <f>Source!F28</f>
        <v>Договорная цена</v>
      </c>
      <c r="C31" s="50" t="s">
        <v>569</v>
      </c>
      <c r="D31" s="34" t="str">
        <f>Source!H28</f>
        <v>т</v>
      </c>
      <c r="E31" s="35">
        <f>Source!I28</f>
        <v>57.6</v>
      </c>
      <c r="F31" s="36">
        <f>Source!AL28</f>
        <v>216.35</v>
      </c>
      <c r="G31" s="37" t="str">
        <f>Source!DD28</f>
        <v/>
      </c>
      <c r="H31" s="36">
        <f>ROUND(Source!AC28*Source!I28, 2)</f>
        <v>12461.76</v>
      </c>
      <c r="I31" s="37" t="str">
        <f>Source!BO28</f>
        <v/>
      </c>
      <c r="J31" s="37">
        <f>IF(Source!BC28&lt;&gt; 0, Source!BC28, 1)</f>
        <v>8.3800000000000008</v>
      </c>
      <c r="K31" s="36">
        <f>Source!P28</f>
        <v>104429.55</v>
      </c>
      <c r="L31" s="38"/>
      <c r="S31">
        <f>ROUND((Source!FX28/100)*((ROUND(Source!AF28*Source!I28, 2)+ROUND(Source!AE28*Source!I28, 2))), 2)</f>
        <v>0</v>
      </c>
      <c r="T31">
        <f>Source!X28</f>
        <v>0</v>
      </c>
      <c r="U31">
        <f>ROUND((Source!FY28/100)*((ROUND(Source!AF28*Source!I28, 2)+ROUND(Source!AE28*Source!I28, 2))), 2)</f>
        <v>0</v>
      </c>
      <c r="V31">
        <f>Source!Y28</f>
        <v>0</v>
      </c>
    </row>
    <row r="32" spans="1:26" ht="15" x14ac:dyDescent="0.25">
      <c r="G32" s="57">
        <f>H31</f>
        <v>12461.76</v>
      </c>
      <c r="H32" s="57"/>
      <c r="J32" s="57">
        <f>K31</f>
        <v>104429.55</v>
      </c>
      <c r="K32" s="57"/>
      <c r="L32" s="39">
        <f>Source!U28</f>
        <v>0</v>
      </c>
      <c r="O32" s="28">
        <f>G32</f>
        <v>12461.76</v>
      </c>
      <c r="P32" s="28">
        <f>J32</f>
        <v>104429.55</v>
      </c>
      <c r="Q32" s="28">
        <f>L32</f>
        <v>0</v>
      </c>
      <c r="W32">
        <f>IF(Source!BI28&lt;=1,H31, 0)</f>
        <v>12461.76</v>
      </c>
      <c r="X32">
        <f>IF(Source!BI28=2,H31, 0)</f>
        <v>0</v>
      </c>
      <c r="Y32">
        <f>IF(Source!BI28=3,H31, 0)</f>
        <v>0</v>
      </c>
      <c r="Z32">
        <f>IF(Source!BI28=4,H31, 0)</f>
        <v>0</v>
      </c>
    </row>
    <row r="33" spans="1:26" ht="42.75" x14ac:dyDescent="0.2">
      <c r="A33" s="51">
        <v>2</v>
      </c>
      <c r="B33" s="51" t="str">
        <f>Source!F29</f>
        <v>46-04-008-04</v>
      </c>
      <c r="C33" s="51" t="str">
        <f>Source!G29</f>
        <v>Разборка покрытий кровель: из волнистых и полуволнистых хризотилцементных листов</v>
      </c>
      <c r="D33" s="40" t="str">
        <f>Source!H29</f>
        <v>100 м2</v>
      </c>
      <c r="E33" s="24">
        <f>Source!I29</f>
        <v>3.6</v>
      </c>
      <c r="F33" s="41">
        <f>Source!AL29+Source!AM29+Source!AO29</f>
        <v>154.66</v>
      </c>
      <c r="G33" s="42"/>
      <c r="H33" s="41"/>
      <c r="I33" s="42" t="str">
        <f>Source!BO29</f>
        <v/>
      </c>
      <c r="J33" s="42"/>
      <c r="K33" s="41"/>
      <c r="L33" s="43"/>
      <c r="S33">
        <f>ROUND((Source!FX29/100)*((ROUND(Source!AF29*Source!I29, 2)+ROUND(Source!AE29*Source!I29, 2))), 2)</f>
        <v>406.29</v>
      </c>
      <c r="T33">
        <f>Source!X29</f>
        <v>18571.5</v>
      </c>
      <c r="U33">
        <f>ROUND((Source!FY29/100)*((ROUND(Source!AF29*Source!I29, 2)+ROUND(Source!AE29*Source!I29, 2))), 2)</f>
        <v>232.16</v>
      </c>
      <c r="V33">
        <f>Source!Y29</f>
        <v>10612.28</v>
      </c>
    </row>
    <row r="34" spans="1:26" x14ac:dyDescent="0.2">
      <c r="C34" s="29" t="str">
        <f>"Объем: "&amp;Source!I29&amp;"=360/"&amp;"100"</f>
        <v>Объем: 3,6=360/100</v>
      </c>
    </row>
    <row r="35" spans="1:26" ht="14.25" x14ac:dyDescent="0.2">
      <c r="A35" s="51"/>
      <c r="B35" s="51"/>
      <c r="C35" s="51" t="s">
        <v>570</v>
      </c>
      <c r="D35" s="40"/>
      <c r="E35" s="24"/>
      <c r="F35" s="41">
        <f>Source!AO29</f>
        <v>124.02</v>
      </c>
      <c r="G35" s="42" t="str">
        <f>Source!DG29</f>
        <v/>
      </c>
      <c r="H35" s="41">
        <f>ROUND(Source!AF29*Source!I29, 2)</f>
        <v>446.47</v>
      </c>
      <c r="I35" s="42"/>
      <c r="J35" s="42">
        <f>IF(Source!BA29&lt;&gt; 0, Source!BA29, 1)</f>
        <v>45.71</v>
      </c>
      <c r="K35" s="41">
        <f>Source!S29</f>
        <v>20408.240000000002</v>
      </c>
      <c r="L35" s="43"/>
      <c r="R35">
        <f>H35</f>
        <v>446.47</v>
      </c>
    </row>
    <row r="36" spans="1:26" ht="14.25" x14ac:dyDescent="0.2">
      <c r="A36" s="51"/>
      <c r="B36" s="51"/>
      <c r="C36" s="51" t="s">
        <v>205</v>
      </c>
      <c r="D36" s="40"/>
      <c r="E36" s="24"/>
      <c r="F36" s="41">
        <f>Source!AM29</f>
        <v>30.64</v>
      </c>
      <c r="G36" s="42" t="str">
        <f>Source!DE29</f>
        <v/>
      </c>
      <c r="H36" s="41">
        <f>ROUND((((Source!ET29)-(Source!EU29))+Source!AE29)*Source!I29, 2)</f>
        <v>110.3</v>
      </c>
      <c r="I36" s="42"/>
      <c r="J36" s="42">
        <f>IF(Source!BB29&lt;&gt; 0, Source!BB29, 1)</f>
        <v>13.41</v>
      </c>
      <c r="K36" s="41">
        <f>Source!Q29</f>
        <v>1479.18</v>
      </c>
      <c r="L36" s="43"/>
    </row>
    <row r="37" spans="1:26" ht="14.25" x14ac:dyDescent="0.2">
      <c r="A37" s="51"/>
      <c r="B37" s="51"/>
      <c r="C37" s="51" t="s">
        <v>571</v>
      </c>
      <c r="D37" s="40" t="s">
        <v>572</v>
      </c>
      <c r="E37" s="24">
        <f>Source!BZ29</f>
        <v>91</v>
      </c>
      <c r="F37" s="52"/>
      <c r="G37" s="42"/>
      <c r="H37" s="41">
        <f>SUM(S33:S39)</f>
        <v>406.29</v>
      </c>
      <c r="I37" s="44"/>
      <c r="J37" s="33">
        <f>Source!AT29</f>
        <v>91</v>
      </c>
      <c r="K37" s="41">
        <f>SUM(T33:T39)</f>
        <v>18571.5</v>
      </c>
      <c r="L37" s="43"/>
    </row>
    <row r="38" spans="1:26" ht="14.25" x14ac:dyDescent="0.2">
      <c r="A38" s="51"/>
      <c r="B38" s="51"/>
      <c r="C38" s="51" t="s">
        <v>573</v>
      </c>
      <c r="D38" s="40" t="s">
        <v>572</v>
      </c>
      <c r="E38" s="24">
        <f>Source!CA29</f>
        <v>52</v>
      </c>
      <c r="F38" s="52"/>
      <c r="G38" s="42"/>
      <c r="H38" s="41">
        <f>SUM(U33:U39)</f>
        <v>232.16</v>
      </c>
      <c r="I38" s="44"/>
      <c r="J38" s="33">
        <f>Source!AU29</f>
        <v>52</v>
      </c>
      <c r="K38" s="41">
        <f>SUM(V33:V39)</f>
        <v>10612.28</v>
      </c>
      <c r="L38" s="43"/>
    </row>
    <row r="39" spans="1:26" ht="14.25" x14ac:dyDescent="0.2">
      <c r="A39" s="50"/>
      <c r="B39" s="50"/>
      <c r="C39" s="50" t="s">
        <v>574</v>
      </c>
      <c r="D39" s="34" t="s">
        <v>575</v>
      </c>
      <c r="E39" s="35">
        <f>Source!AQ29</f>
        <v>15.9</v>
      </c>
      <c r="F39" s="36"/>
      <c r="G39" s="37" t="str">
        <f>Source!DI29</f>
        <v/>
      </c>
      <c r="H39" s="36"/>
      <c r="I39" s="37"/>
      <c r="J39" s="37"/>
      <c r="K39" s="36"/>
      <c r="L39" s="45">
        <f>Source!U29</f>
        <v>57.24</v>
      </c>
    </row>
    <row r="40" spans="1:26" ht="15" x14ac:dyDescent="0.25">
      <c r="G40" s="57">
        <f>H35+H36+H37+H38</f>
        <v>1195.22</v>
      </c>
      <c r="H40" s="57"/>
      <c r="J40" s="57">
        <f>K35+K36+K37+K38</f>
        <v>51071.199999999997</v>
      </c>
      <c r="K40" s="57"/>
      <c r="L40" s="39">
        <f>Source!U29</f>
        <v>57.24</v>
      </c>
      <c r="O40" s="28">
        <f>G40</f>
        <v>1195.22</v>
      </c>
      <c r="P40" s="28">
        <f>J40</f>
        <v>51071.199999999997</v>
      </c>
      <c r="Q40" s="28">
        <f>L40</f>
        <v>57.24</v>
      </c>
      <c r="W40">
        <f>IF(Source!BI29&lt;=1,H35+H36+H37+H38, 0)</f>
        <v>1195.22</v>
      </c>
      <c r="X40">
        <f>IF(Source!BI29=2,H35+H36+H37+H38, 0)</f>
        <v>0</v>
      </c>
      <c r="Y40">
        <f>IF(Source!BI29=3,H35+H36+H37+H38, 0)</f>
        <v>0</v>
      </c>
      <c r="Z40">
        <f>IF(Source!BI29=4,H35+H36+H37+H38, 0)</f>
        <v>0</v>
      </c>
    </row>
    <row r="41" spans="1:26" ht="42.75" x14ac:dyDescent="0.2">
      <c r="A41" s="51">
        <v>3</v>
      </c>
      <c r="B41" s="51" t="str">
        <f>Source!F30</f>
        <v>09-04-002-01</v>
      </c>
      <c r="C41" s="51" t="str">
        <f>Source!G30</f>
        <v>Монтаж кровельного покрытия: из профилированного листа при высоте здания до 25 м</v>
      </c>
      <c r="D41" s="40" t="str">
        <f>Source!H30</f>
        <v>100 м2</v>
      </c>
      <c r="E41" s="24">
        <f>Source!I30</f>
        <v>3.6</v>
      </c>
      <c r="F41" s="41">
        <f>Source!AL30+Source!AM30+Source!AO30</f>
        <v>900.19</v>
      </c>
      <c r="G41" s="42"/>
      <c r="H41" s="41"/>
      <c r="I41" s="42" t="str">
        <f>Source!BO30</f>
        <v/>
      </c>
      <c r="J41" s="42"/>
      <c r="K41" s="41"/>
      <c r="L41" s="43"/>
      <c r="S41">
        <f>ROUND((Source!FX30/100)*((ROUND(Source!AF30*Source!I30, 2)+ROUND(Source!AE30*Source!I30, 2))), 2)</f>
        <v>1238.96</v>
      </c>
      <c r="T41">
        <f>Source!X30</f>
        <v>56632.9</v>
      </c>
      <c r="U41">
        <f>ROUND((Source!FY30/100)*((ROUND(Source!AF30*Source!I30, 2)+ROUND(Source!AE30*Source!I30, 2))), 2)</f>
        <v>702.07</v>
      </c>
      <c r="V41">
        <f>Source!Y30</f>
        <v>32091.98</v>
      </c>
    </row>
    <row r="42" spans="1:26" x14ac:dyDescent="0.2">
      <c r="C42" s="29" t="str">
        <f>"Объем: "&amp;Source!I30&amp;"=360/"&amp;"100"</f>
        <v>Объем: 3,6=360/100</v>
      </c>
    </row>
    <row r="43" spans="1:26" ht="14.25" x14ac:dyDescent="0.2">
      <c r="A43" s="51"/>
      <c r="B43" s="51"/>
      <c r="C43" s="51" t="s">
        <v>570</v>
      </c>
      <c r="D43" s="40"/>
      <c r="E43" s="24"/>
      <c r="F43" s="41">
        <f>Source!AO30</f>
        <v>277.06</v>
      </c>
      <c r="G43" s="42" t="str">
        <f>Source!DG30</f>
        <v>)*1,15</v>
      </c>
      <c r="H43" s="41">
        <f>ROUND(Source!AF30*Source!I30, 2)</f>
        <v>1147.03</v>
      </c>
      <c r="I43" s="42"/>
      <c r="J43" s="42">
        <f>IF(Source!BA30&lt;&gt; 0, Source!BA30, 1)</f>
        <v>45.71</v>
      </c>
      <c r="K43" s="41">
        <f>Source!S30</f>
        <v>52430.83</v>
      </c>
      <c r="L43" s="43"/>
      <c r="R43">
        <f>H43</f>
        <v>1147.03</v>
      </c>
    </row>
    <row r="44" spans="1:26" ht="14.25" x14ac:dyDescent="0.2">
      <c r="A44" s="51"/>
      <c r="B44" s="51"/>
      <c r="C44" s="51" t="s">
        <v>205</v>
      </c>
      <c r="D44" s="40"/>
      <c r="E44" s="24"/>
      <c r="F44" s="41">
        <f>Source!AM30</f>
        <v>469.17</v>
      </c>
      <c r="G44" s="42" t="str">
        <f>Source!DE30</f>
        <v>)*1,25</v>
      </c>
      <c r="H44" s="41">
        <f>ROUND(((((Source!ET30*1.25))-((Source!EU30*1.25)))+Source!AE30)*Source!I30, 2)</f>
        <v>2111.27</v>
      </c>
      <c r="I44" s="42"/>
      <c r="J44" s="42">
        <f>IF(Source!BB30&lt;&gt; 0, Source!BB30, 1)</f>
        <v>13.41</v>
      </c>
      <c r="K44" s="41">
        <f>Source!Q30</f>
        <v>28312.48</v>
      </c>
      <c r="L44" s="43"/>
    </row>
    <row r="45" spans="1:26" ht="14.25" x14ac:dyDescent="0.2">
      <c r="A45" s="51"/>
      <c r="B45" s="51"/>
      <c r="C45" s="51" t="s">
        <v>576</v>
      </c>
      <c r="D45" s="40"/>
      <c r="E45" s="24"/>
      <c r="F45" s="41">
        <f>Source!AN30</f>
        <v>41.15</v>
      </c>
      <c r="G45" s="42" t="str">
        <f>Source!DF30</f>
        <v>)*1,25</v>
      </c>
      <c r="H45" s="46">
        <f>ROUND(Source!AE30*Source!I30, 2)</f>
        <v>185.18</v>
      </c>
      <c r="I45" s="42"/>
      <c r="J45" s="42">
        <f>IF(Source!BS30&lt;&gt; 0, Source!BS30, 1)</f>
        <v>45.71</v>
      </c>
      <c r="K45" s="46">
        <f>Source!R30</f>
        <v>8464.76</v>
      </c>
      <c r="L45" s="43"/>
      <c r="R45">
        <f>H45</f>
        <v>185.18</v>
      </c>
    </row>
    <row r="46" spans="1:26" ht="14.25" x14ac:dyDescent="0.2">
      <c r="A46" s="51"/>
      <c r="B46" s="51"/>
      <c r="C46" s="51" t="s">
        <v>577</v>
      </c>
      <c r="D46" s="40"/>
      <c r="E46" s="24"/>
      <c r="F46" s="41">
        <f>Source!AL30</f>
        <v>153.96</v>
      </c>
      <c r="G46" s="42" t="str">
        <f>Source!DD30</f>
        <v/>
      </c>
      <c r="H46" s="41">
        <f>ROUND(Source!AC30*Source!I30, 2)</f>
        <v>554.26</v>
      </c>
      <c r="I46" s="42"/>
      <c r="J46" s="42">
        <f>IF(Source!BC30&lt;&gt; 0, Source!BC30, 1)</f>
        <v>8.3800000000000008</v>
      </c>
      <c r="K46" s="41">
        <f>Source!P30</f>
        <v>4644.67</v>
      </c>
      <c r="L46" s="43"/>
    </row>
    <row r="47" spans="1:26" ht="14.25" x14ac:dyDescent="0.2">
      <c r="A47" s="51"/>
      <c r="B47" s="51"/>
      <c r="C47" s="51" t="s">
        <v>571</v>
      </c>
      <c r="D47" s="40" t="s">
        <v>572</v>
      </c>
      <c r="E47" s="24">
        <f>Source!BZ30</f>
        <v>93</v>
      </c>
      <c r="F47" s="52"/>
      <c r="G47" s="42"/>
      <c r="H47" s="41">
        <f>SUM(S41:S49)</f>
        <v>1238.96</v>
      </c>
      <c r="I47" s="44"/>
      <c r="J47" s="33">
        <f>Source!AT30</f>
        <v>93</v>
      </c>
      <c r="K47" s="41">
        <f>SUM(T41:T49)</f>
        <v>56632.9</v>
      </c>
      <c r="L47" s="43"/>
    </row>
    <row r="48" spans="1:26" ht="14.25" x14ac:dyDescent="0.2">
      <c r="A48" s="51"/>
      <c r="B48" s="51"/>
      <c r="C48" s="51" t="s">
        <v>573</v>
      </c>
      <c r="D48" s="40" t="s">
        <v>572</v>
      </c>
      <c r="E48" s="24">
        <f>Source!CA30</f>
        <v>62</v>
      </c>
      <c r="F48" s="60" t="str">
        <f>CONCATENATE(" )", Source!DM30, Source!FU30, "=", Source!FY30)</f>
        <v xml:space="preserve"> ))*0,85=52,7</v>
      </c>
      <c r="G48" s="61"/>
      <c r="H48" s="41">
        <f>SUM(U41:U49)</f>
        <v>702.07</v>
      </c>
      <c r="I48" s="44"/>
      <c r="J48" s="33">
        <f>Source!AU30</f>
        <v>52.7</v>
      </c>
      <c r="K48" s="41">
        <f>SUM(V41:V49)</f>
        <v>32091.98</v>
      </c>
      <c r="L48" s="43"/>
    </row>
    <row r="49" spans="1:26" ht="14.25" x14ac:dyDescent="0.2">
      <c r="A49" s="50"/>
      <c r="B49" s="50"/>
      <c r="C49" s="50" t="s">
        <v>574</v>
      </c>
      <c r="D49" s="34" t="s">
        <v>575</v>
      </c>
      <c r="E49" s="35">
        <f>Source!AQ30</f>
        <v>31.7</v>
      </c>
      <c r="F49" s="36"/>
      <c r="G49" s="37" t="str">
        <f>Source!DI30</f>
        <v>)*1,15</v>
      </c>
      <c r="H49" s="36"/>
      <c r="I49" s="37"/>
      <c r="J49" s="37"/>
      <c r="K49" s="36"/>
      <c r="L49" s="45">
        <f>Source!U30</f>
        <v>131.238</v>
      </c>
    </row>
    <row r="50" spans="1:26" ht="15" x14ac:dyDescent="0.25">
      <c r="G50" s="57">
        <f>H43+H44+H46+H47+H48</f>
        <v>5753.59</v>
      </c>
      <c r="H50" s="57"/>
      <c r="J50" s="57">
        <f>K43+K44+K46+K47+K48</f>
        <v>174112.86000000002</v>
      </c>
      <c r="K50" s="57"/>
      <c r="L50" s="39">
        <f>Source!U30</f>
        <v>131.238</v>
      </c>
      <c r="O50" s="28">
        <f>G50</f>
        <v>5753.59</v>
      </c>
      <c r="P50" s="28">
        <f>J50</f>
        <v>174112.86000000002</v>
      </c>
      <c r="Q50" s="28">
        <f>L50</f>
        <v>131.238</v>
      </c>
      <c r="W50">
        <f>IF(Source!BI30&lt;=1,H43+H44+H46+H47+H48, 0)</f>
        <v>5753.59</v>
      </c>
      <c r="X50">
        <f>IF(Source!BI30=2,H43+H44+H46+H47+H48, 0)</f>
        <v>0</v>
      </c>
      <c r="Y50">
        <f>IF(Source!BI30=3,H43+H44+H46+H47+H48, 0)</f>
        <v>0</v>
      </c>
      <c r="Z50">
        <f>IF(Source!BI30=4,H43+H44+H46+H47+H48, 0)</f>
        <v>0</v>
      </c>
    </row>
    <row r="51" spans="1:26" ht="28.5" x14ac:dyDescent="0.2">
      <c r="A51" s="51">
        <v>4</v>
      </c>
      <c r="B51" s="54" t="str">
        <f>Source!F31</f>
        <v>Материал Заказчика</v>
      </c>
      <c r="C51" s="54" t="str">
        <f>Source!G31</f>
        <v>Профнастил оцинкованный Н60 0,9 845/902</v>
      </c>
      <c r="D51" s="55" t="str">
        <f>Source!H31</f>
        <v>м2</v>
      </c>
      <c r="E51" s="56">
        <f>Source!I31</f>
        <v>396</v>
      </c>
      <c r="F51" s="41">
        <f>Source!AL31+Source!AM31+Source!AO31</f>
        <v>0</v>
      </c>
      <c r="G51" s="42"/>
      <c r="H51" s="41"/>
      <c r="I51" s="42" t="str">
        <f>Source!BO31</f>
        <v/>
      </c>
      <c r="J51" s="42"/>
      <c r="K51" s="41"/>
      <c r="L51" s="43"/>
      <c r="S51">
        <f>ROUND((Source!FX31/100)*((ROUND(Source!AF31*Source!I31, 2)+ROUND(Source!AE31*Source!I31, 2))), 2)</f>
        <v>0</v>
      </c>
      <c r="T51">
        <f>Source!X31</f>
        <v>0</v>
      </c>
      <c r="U51">
        <f>ROUND((Source!FY31/100)*((ROUND(Source!AF31*Source!I31, 2)+ROUND(Source!AE31*Source!I31, 2))), 2)</f>
        <v>0</v>
      </c>
      <c r="V51">
        <f>Source!Y31</f>
        <v>0</v>
      </c>
    </row>
    <row r="52" spans="1:26" x14ac:dyDescent="0.2">
      <c r="A52" s="30"/>
      <c r="B52" s="30"/>
      <c r="C52" s="31" t="str">
        <f>"Объем: "&amp;Source!I31&amp;"="&amp;Source!I30&amp;"*"&amp;"110"</f>
        <v>Объем: 396=3,6*110</v>
      </c>
      <c r="D52" s="30"/>
      <c r="E52" s="30"/>
      <c r="F52" s="30"/>
      <c r="G52" s="30"/>
      <c r="H52" s="30"/>
      <c r="I52" s="30"/>
      <c r="J52" s="30"/>
      <c r="K52" s="30"/>
      <c r="L52" s="30"/>
    </row>
    <row r="53" spans="1:26" ht="15" x14ac:dyDescent="0.25">
      <c r="G53" s="57">
        <f>H51</f>
        <v>0</v>
      </c>
      <c r="H53" s="57"/>
      <c r="J53" s="57">
        <f>K51</f>
        <v>0</v>
      </c>
      <c r="K53" s="57"/>
      <c r="L53" s="39">
        <f>Source!U31</f>
        <v>0</v>
      </c>
      <c r="O53" s="28">
        <f>G53</f>
        <v>0</v>
      </c>
      <c r="P53" s="28">
        <f>J53</f>
        <v>0</v>
      </c>
      <c r="Q53" s="28">
        <f>L53</f>
        <v>0</v>
      </c>
      <c r="W53">
        <f>IF(Source!BI31&lt;=1,H51, 0)</f>
        <v>0</v>
      </c>
      <c r="X53">
        <f>IF(Source!BI31=2,H51, 0)</f>
        <v>0</v>
      </c>
      <c r="Y53">
        <f>IF(Source!BI31=3,H51, 0)</f>
        <v>0</v>
      </c>
      <c r="Z53">
        <f>IF(Source!BI31=4,H51, 0)</f>
        <v>0</v>
      </c>
    </row>
    <row r="54" spans="1:26" ht="54" x14ac:dyDescent="0.2">
      <c r="A54" s="51">
        <v>5</v>
      </c>
      <c r="B54" s="51" t="str">
        <f>Source!F32</f>
        <v>Цена поставщика</v>
      </c>
      <c r="C54" s="51" t="s">
        <v>578</v>
      </c>
      <c r="D54" s="40" t="str">
        <f>Source!H32</f>
        <v>шт.</v>
      </c>
      <c r="E54" s="24">
        <f>Source!I32</f>
        <v>3600</v>
      </c>
      <c r="F54" s="41">
        <f>Source!AL32</f>
        <v>0.54</v>
      </c>
      <c r="G54" s="42" t="str">
        <f>Source!DD32</f>
        <v/>
      </c>
      <c r="H54" s="41">
        <f>ROUND(Source!AC32*Source!I32, 2)</f>
        <v>1944</v>
      </c>
      <c r="I54" s="42" t="str">
        <f>Source!BO32</f>
        <v/>
      </c>
      <c r="J54" s="42">
        <f>IF(Source!BC32&lt;&gt; 0, Source!BC32, 1)</f>
        <v>8.3800000000000008</v>
      </c>
      <c r="K54" s="41">
        <f>Source!P32</f>
        <v>16290.72</v>
      </c>
      <c r="L54" s="43"/>
      <c r="S54">
        <f>ROUND((Source!FX32/100)*((ROUND(Source!AF32*Source!I32, 2)+ROUND(Source!AE32*Source!I32, 2))), 2)</f>
        <v>0</v>
      </c>
      <c r="T54">
        <f>Source!X32</f>
        <v>0</v>
      </c>
      <c r="U54">
        <f>ROUND((Source!FY32/100)*((ROUND(Source!AF32*Source!I32, 2)+ROUND(Source!AE32*Source!I32, 2))), 2)</f>
        <v>0</v>
      </c>
      <c r="V54">
        <f>Source!Y32</f>
        <v>0</v>
      </c>
    </row>
    <row r="55" spans="1:26" x14ac:dyDescent="0.2">
      <c r="A55" s="30"/>
      <c r="B55" s="30"/>
      <c r="C55" s="31" t="str">
        <f>"Объем: "&amp;Source!I32&amp;"="&amp;Source!I30&amp;"*"&amp;"1000"</f>
        <v>Объем: 3600=3,6*1000</v>
      </c>
      <c r="D55" s="30"/>
      <c r="E55" s="30"/>
      <c r="F55" s="30"/>
      <c r="G55" s="30"/>
      <c r="H55" s="30"/>
      <c r="I55" s="30"/>
      <c r="J55" s="30"/>
      <c r="K55" s="30"/>
      <c r="L55" s="30"/>
    </row>
    <row r="56" spans="1:26" ht="15" x14ac:dyDescent="0.25">
      <c r="G56" s="57">
        <f>H54</f>
        <v>1944</v>
      </c>
      <c r="H56" s="57"/>
      <c r="J56" s="57">
        <f>K54</f>
        <v>16290.72</v>
      </c>
      <c r="K56" s="57"/>
      <c r="L56" s="39">
        <f>Source!U32</f>
        <v>0</v>
      </c>
      <c r="O56" s="28">
        <f>G56</f>
        <v>1944</v>
      </c>
      <c r="P56" s="28">
        <f>J56</f>
        <v>16290.72</v>
      </c>
      <c r="Q56" s="28">
        <f>L56</f>
        <v>0</v>
      </c>
      <c r="W56">
        <f>IF(Source!BI32&lt;=1,H54, 0)</f>
        <v>1944</v>
      </c>
      <c r="X56">
        <f>IF(Source!BI32=2,H54, 0)</f>
        <v>0</v>
      </c>
      <c r="Y56">
        <f>IF(Source!BI32=3,H54, 0)</f>
        <v>0</v>
      </c>
      <c r="Z56">
        <f>IF(Source!BI32=4,H54, 0)</f>
        <v>0</v>
      </c>
    </row>
    <row r="57" spans="1:26" ht="42.75" x14ac:dyDescent="0.2">
      <c r="A57" s="51">
        <v>6</v>
      </c>
      <c r="B57" s="51" t="str">
        <f>Source!F33</f>
        <v>12-01-010-01</v>
      </c>
      <c r="C57" s="51" t="str">
        <f>Source!G33</f>
        <v>Устройство мелких покрытий (брандмауэры, парапеты, свесы и т.п.) из листовой оцинкованной стали</v>
      </c>
      <c r="D57" s="40" t="str">
        <f>Source!H33</f>
        <v>100 м2</v>
      </c>
      <c r="E57" s="24">
        <f>Source!I33</f>
        <v>0.224</v>
      </c>
      <c r="F57" s="41">
        <f>Source!AL33+Source!AM33+Source!AO33</f>
        <v>7367.18</v>
      </c>
      <c r="G57" s="42"/>
      <c r="H57" s="41"/>
      <c r="I57" s="42" t="str">
        <f>Source!BO33</f>
        <v/>
      </c>
      <c r="J57" s="42"/>
      <c r="K57" s="41"/>
      <c r="L57" s="43"/>
      <c r="S57">
        <f>ROUND((Source!FX33/100)*((ROUND(Source!AF33*Source!I33, 2)+ROUND(Source!AE33*Source!I33, 2))), 2)</f>
        <v>233.87</v>
      </c>
      <c r="T57">
        <f>Source!X33</f>
        <v>10690.47</v>
      </c>
      <c r="U57">
        <f>ROUND((Source!FY33/100)*((ROUND(Source!AF33*Source!I33, 2)+ROUND(Source!AE33*Source!I33, 2))), 2)</f>
        <v>103.95</v>
      </c>
      <c r="V57">
        <f>Source!Y33</f>
        <v>4751.8599999999997</v>
      </c>
    </row>
    <row r="58" spans="1:26" ht="14.25" x14ac:dyDescent="0.2">
      <c r="A58" s="51"/>
      <c r="B58" s="51"/>
      <c r="C58" s="51" t="s">
        <v>570</v>
      </c>
      <c r="D58" s="40"/>
      <c r="E58" s="24"/>
      <c r="F58" s="41">
        <f>Source!AO33</f>
        <v>829.12</v>
      </c>
      <c r="G58" s="42" t="str">
        <f>Source!DG33</f>
        <v>)*1,15</v>
      </c>
      <c r="H58" s="41">
        <f>ROUND(Source!AF33*Source!I33, 2)</f>
        <v>213.58</v>
      </c>
      <c r="I58" s="42"/>
      <c r="J58" s="42">
        <f>IF(Source!BA33&lt;&gt; 0, Source!BA33, 1)</f>
        <v>45.71</v>
      </c>
      <c r="K58" s="41">
        <f>Source!S33</f>
        <v>9762.82</v>
      </c>
      <c r="L58" s="43"/>
      <c r="R58">
        <f>H58</f>
        <v>213.58</v>
      </c>
    </row>
    <row r="59" spans="1:26" ht="14.25" x14ac:dyDescent="0.2">
      <c r="A59" s="51"/>
      <c r="B59" s="51"/>
      <c r="C59" s="51" t="s">
        <v>205</v>
      </c>
      <c r="D59" s="40"/>
      <c r="E59" s="24"/>
      <c r="F59" s="41">
        <f>Source!AM33</f>
        <v>21.88</v>
      </c>
      <c r="G59" s="42" t="str">
        <f>Source!DE33</f>
        <v>)*1,25</v>
      </c>
      <c r="H59" s="41">
        <f>ROUND(((((Source!ET33*1.25))-((Source!EU33*1.25)))+Source!AE33)*Source!I33, 2)</f>
        <v>6.13</v>
      </c>
      <c r="I59" s="42"/>
      <c r="J59" s="42">
        <f>IF(Source!BB33&lt;&gt; 0, Source!BB33, 1)</f>
        <v>13.41</v>
      </c>
      <c r="K59" s="41">
        <f>Source!Q33</f>
        <v>82.18</v>
      </c>
      <c r="L59" s="43"/>
    </row>
    <row r="60" spans="1:26" ht="14.25" x14ac:dyDescent="0.2">
      <c r="A60" s="51"/>
      <c r="B60" s="51"/>
      <c r="C60" s="51" t="s">
        <v>576</v>
      </c>
      <c r="D60" s="40"/>
      <c r="E60" s="24"/>
      <c r="F60" s="41">
        <f>Source!AN33</f>
        <v>3.51</v>
      </c>
      <c r="G60" s="42" t="str">
        <f>Source!DF33</f>
        <v>)*1,25</v>
      </c>
      <c r="H60" s="46">
        <f>ROUND(Source!AE33*Source!I33, 2)</f>
        <v>0.98</v>
      </c>
      <c r="I60" s="42"/>
      <c r="J60" s="42">
        <f>IF(Source!BS33&lt;&gt; 0, Source!BS33, 1)</f>
        <v>45.71</v>
      </c>
      <c r="K60" s="46">
        <f>Source!R33</f>
        <v>44.95</v>
      </c>
      <c r="L60" s="43"/>
      <c r="R60">
        <f>H60</f>
        <v>0.98</v>
      </c>
    </row>
    <row r="61" spans="1:26" ht="14.25" x14ac:dyDescent="0.2">
      <c r="A61" s="51"/>
      <c r="B61" s="51"/>
      <c r="C61" s="51" t="s">
        <v>571</v>
      </c>
      <c r="D61" s="40" t="s">
        <v>572</v>
      </c>
      <c r="E61" s="24">
        <f>Source!BZ33</f>
        <v>109</v>
      </c>
      <c r="F61" s="52"/>
      <c r="G61" s="42"/>
      <c r="H61" s="41">
        <f>SUM(S57:S63)</f>
        <v>233.87</v>
      </c>
      <c r="I61" s="44"/>
      <c r="J61" s="33">
        <f>Source!AT33</f>
        <v>109</v>
      </c>
      <c r="K61" s="41">
        <f>SUM(T57:T63)</f>
        <v>10690.47</v>
      </c>
      <c r="L61" s="43"/>
    </row>
    <row r="62" spans="1:26" ht="14.25" x14ac:dyDescent="0.2">
      <c r="A62" s="51"/>
      <c r="B62" s="51"/>
      <c r="C62" s="51" t="s">
        <v>573</v>
      </c>
      <c r="D62" s="40" t="s">
        <v>572</v>
      </c>
      <c r="E62" s="24">
        <f>Source!CA33</f>
        <v>57</v>
      </c>
      <c r="F62" s="60" t="str">
        <f>CONCATENATE(" )", Source!DM33, Source!FU33, "=", Source!FY33)</f>
        <v xml:space="preserve"> ))*0,85=48,45</v>
      </c>
      <c r="G62" s="61"/>
      <c r="H62" s="41">
        <f>SUM(U57:U63)</f>
        <v>103.95</v>
      </c>
      <c r="I62" s="44"/>
      <c r="J62" s="33">
        <f>Source!AU33</f>
        <v>48.45</v>
      </c>
      <c r="K62" s="41">
        <f>SUM(V57:V63)</f>
        <v>4751.8599999999997</v>
      </c>
      <c r="L62" s="43"/>
    </row>
    <row r="63" spans="1:26" ht="14.25" x14ac:dyDescent="0.2">
      <c r="A63" s="50"/>
      <c r="B63" s="50"/>
      <c r="C63" s="50" t="s">
        <v>574</v>
      </c>
      <c r="D63" s="34" t="s">
        <v>575</v>
      </c>
      <c r="E63" s="35">
        <f>Source!AQ33</f>
        <v>97.2</v>
      </c>
      <c r="F63" s="36"/>
      <c r="G63" s="37" t="str">
        <f>Source!DI33</f>
        <v>)*1,15</v>
      </c>
      <c r="H63" s="36"/>
      <c r="I63" s="37"/>
      <c r="J63" s="37"/>
      <c r="K63" s="36"/>
      <c r="L63" s="45">
        <f>Source!U33</f>
        <v>25.038720000000001</v>
      </c>
    </row>
    <row r="64" spans="1:26" ht="15" x14ac:dyDescent="0.25">
      <c r="G64" s="57">
        <f>H58+H59+H61+H62</f>
        <v>557.53000000000009</v>
      </c>
      <c r="H64" s="57"/>
      <c r="J64" s="57">
        <f>K58+K59+K61+K62</f>
        <v>25287.33</v>
      </c>
      <c r="K64" s="57"/>
      <c r="L64" s="39">
        <f>Source!U33</f>
        <v>25.038720000000001</v>
      </c>
      <c r="O64" s="28">
        <f>G64</f>
        <v>557.53000000000009</v>
      </c>
      <c r="P64" s="28">
        <f>J64</f>
        <v>25287.33</v>
      </c>
      <c r="Q64" s="28">
        <f>L64</f>
        <v>25.038720000000001</v>
      </c>
      <c r="W64">
        <f>IF(Source!BI33&lt;=1,H58+H59+H61+H62, 0)</f>
        <v>557.53000000000009</v>
      </c>
      <c r="X64">
        <f>IF(Source!BI33=2,H58+H59+H61+H62, 0)</f>
        <v>0</v>
      </c>
      <c r="Y64">
        <f>IF(Source!BI33=3,H58+H59+H61+H62, 0)</f>
        <v>0</v>
      </c>
      <c r="Z64">
        <f>IF(Source!BI33=4,H58+H59+H61+H62, 0)</f>
        <v>0</v>
      </c>
    </row>
    <row r="65" spans="1:26" ht="39.75" x14ac:dyDescent="0.2">
      <c r="A65" s="50">
        <v>7</v>
      </c>
      <c r="B65" s="50" t="str">
        <f>Source!F34</f>
        <v>Цена постащика</v>
      </c>
      <c r="C65" s="50" t="s">
        <v>579</v>
      </c>
      <c r="D65" s="34" t="str">
        <f>Source!H34</f>
        <v>м</v>
      </c>
      <c r="E65" s="35">
        <f>Source!I34</f>
        <v>49.5</v>
      </c>
      <c r="F65" s="36">
        <f>Source!AL34</f>
        <v>31.949999999999996</v>
      </c>
      <c r="G65" s="37" t="str">
        <f>Source!DD34</f>
        <v/>
      </c>
      <c r="H65" s="36">
        <f>ROUND(Source!AC34*Source!I34, 2)</f>
        <v>1581.53</v>
      </c>
      <c r="I65" s="37" t="str">
        <f>Source!BO34</f>
        <v/>
      </c>
      <c r="J65" s="37">
        <f>IF(Source!BC34&lt;&gt; 0, Source!BC34, 1)</f>
        <v>8.3800000000000008</v>
      </c>
      <c r="K65" s="36">
        <f>Source!P34</f>
        <v>13253.18</v>
      </c>
      <c r="L65" s="38"/>
      <c r="S65">
        <f>ROUND((Source!FX34/100)*((ROUND(Source!AF34*Source!I34, 2)+ROUND(Source!AE34*Source!I34, 2))), 2)</f>
        <v>0</v>
      </c>
      <c r="T65">
        <f>Source!X34</f>
        <v>0</v>
      </c>
      <c r="U65">
        <f>ROUND((Source!FY34/100)*((ROUND(Source!AF34*Source!I34, 2)+ROUND(Source!AE34*Source!I34, 2))), 2)</f>
        <v>0</v>
      </c>
      <c r="V65">
        <f>Source!Y34</f>
        <v>0</v>
      </c>
    </row>
    <row r="66" spans="1:26" ht="15" x14ac:dyDescent="0.25">
      <c r="G66" s="57">
        <f>H65</f>
        <v>1581.53</v>
      </c>
      <c r="H66" s="57"/>
      <c r="J66" s="57">
        <f>K65</f>
        <v>13253.18</v>
      </c>
      <c r="K66" s="57"/>
      <c r="L66" s="39">
        <f>Source!U34</f>
        <v>0</v>
      </c>
      <c r="O66" s="28">
        <f>G66</f>
        <v>1581.53</v>
      </c>
      <c r="P66" s="28">
        <f>J66</f>
        <v>13253.18</v>
      </c>
      <c r="Q66" s="28">
        <f>L66</f>
        <v>0</v>
      </c>
      <c r="W66">
        <f>IF(Source!BI34&lt;=1,H65, 0)</f>
        <v>1581.53</v>
      </c>
      <c r="X66">
        <f>IF(Source!BI34=2,H65, 0)</f>
        <v>0</v>
      </c>
      <c r="Y66">
        <f>IF(Source!BI34=3,H65, 0)</f>
        <v>0</v>
      </c>
      <c r="Z66">
        <f>IF(Source!BI34=4,H65, 0)</f>
        <v>0</v>
      </c>
    </row>
    <row r="67" spans="1:26" ht="39.75" x14ac:dyDescent="0.2">
      <c r="A67" s="50">
        <v>8</v>
      </c>
      <c r="B67" s="50" t="str">
        <f>Source!F35</f>
        <v>Цена постащика</v>
      </c>
      <c r="C67" s="50" t="s">
        <v>580</v>
      </c>
      <c r="D67" s="34" t="str">
        <f>Source!H35</f>
        <v>м</v>
      </c>
      <c r="E67" s="35">
        <f>Source!I35</f>
        <v>21</v>
      </c>
      <c r="F67" s="36">
        <f>Source!AL35</f>
        <v>39.93</v>
      </c>
      <c r="G67" s="37" t="str">
        <f>Source!DD35</f>
        <v/>
      </c>
      <c r="H67" s="36">
        <f>ROUND(Source!AC35*Source!I35, 2)</f>
        <v>838.53</v>
      </c>
      <c r="I67" s="37" t="str">
        <f>Source!BO35</f>
        <v/>
      </c>
      <c r="J67" s="37">
        <f>IF(Source!BC35&lt;&gt; 0, Source!BC35, 1)</f>
        <v>8.3800000000000008</v>
      </c>
      <c r="K67" s="36">
        <f>Source!P35</f>
        <v>7026.88</v>
      </c>
      <c r="L67" s="38"/>
      <c r="S67">
        <f>ROUND((Source!FX35/100)*((ROUND(Source!AF35*Source!I35, 2)+ROUND(Source!AE35*Source!I35, 2))), 2)</f>
        <v>0</v>
      </c>
      <c r="T67">
        <f>Source!X35</f>
        <v>0</v>
      </c>
      <c r="U67">
        <f>ROUND((Source!FY35/100)*((ROUND(Source!AF35*Source!I35, 2)+ROUND(Source!AE35*Source!I35, 2))), 2)</f>
        <v>0</v>
      </c>
      <c r="V67">
        <f>Source!Y35</f>
        <v>0</v>
      </c>
    </row>
    <row r="68" spans="1:26" ht="15" x14ac:dyDescent="0.25">
      <c r="G68" s="57">
        <f>H67</f>
        <v>838.53</v>
      </c>
      <c r="H68" s="57"/>
      <c r="J68" s="57">
        <f>K67</f>
        <v>7026.88</v>
      </c>
      <c r="K68" s="57"/>
      <c r="L68" s="39">
        <f>Source!U35</f>
        <v>0</v>
      </c>
      <c r="O68" s="28">
        <f>G68</f>
        <v>838.53</v>
      </c>
      <c r="P68" s="28">
        <f>J68</f>
        <v>7026.88</v>
      </c>
      <c r="Q68" s="28">
        <f>L68</f>
        <v>0</v>
      </c>
      <c r="W68">
        <f>IF(Source!BI35&lt;=1,H67, 0)</f>
        <v>838.53</v>
      </c>
      <c r="X68">
        <f>IF(Source!BI35=2,H67, 0)</f>
        <v>0</v>
      </c>
      <c r="Y68">
        <f>IF(Source!BI35=3,H67, 0)</f>
        <v>0</v>
      </c>
      <c r="Z68">
        <f>IF(Source!BI35=4,H67, 0)</f>
        <v>0</v>
      </c>
    </row>
    <row r="69" spans="1:26" ht="54" x14ac:dyDescent="0.2">
      <c r="A69" s="50">
        <v>9</v>
      </c>
      <c r="B69" s="50" t="str">
        <f>Source!F36</f>
        <v>Цена поставщика</v>
      </c>
      <c r="C69" s="50" t="s">
        <v>578</v>
      </c>
      <c r="D69" s="34" t="str">
        <f>Source!H36</f>
        <v>шт.</v>
      </c>
      <c r="E69" s="35">
        <f>Source!I36</f>
        <v>282</v>
      </c>
      <c r="F69" s="36">
        <f>Source!AL36</f>
        <v>0.54</v>
      </c>
      <c r="G69" s="37" t="str">
        <f>Source!DD36</f>
        <v/>
      </c>
      <c r="H69" s="36">
        <f>ROUND(Source!AC36*Source!I36, 2)</f>
        <v>152.28</v>
      </c>
      <c r="I69" s="37" t="str">
        <f>Source!BO36</f>
        <v/>
      </c>
      <c r="J69" s="37">
        <f>IF(Source!BC36&lt;&gt; 0, Source!BC36, 1)</f>
        <v>8.3800000000000008</v>
      </c>
      <c r="K69" s="36">
        <f>Source!P36</f>
        <v>1276.1099999999999</v>
      </c>
      <c r="L69" s="38"/>
      <c r="S69">
        <f>ROUND((Source!FX36/100)*((ROUND(Source!AF36*Source!I36, 2)+ROUND(Source!AE36*Source!I36, 2))), 2)</f>
        <v>0</v>
      </c>
      <c r="T69">
        <f>Source!X36</f>
        <v>0</v>
      </c>
      <c r="U69">
        <f>ROUND((Source!FY36/100)*((ROUND(Source!AF36*Source!I36, 2)+ROUND(Source!AE36*Source!I36, 2))), 2)</f>
        <v>0</v>
      </c>
      <c r="V69">
        <f>Source!Y36</f>
        <v>0</v>
      </c>
    </row>
    <row r="70" spans="1:26" ht="15" x14ac:dyDescent="0.25">
      <c r="G70" s="57">
        <f>H69</f>
        <v>152.28</v>
      </c>
      <c r="H70" s="57"/>
      <c r="J70" s="57">
        <f>K69</f>
        <v>1276.1099999999999</v>
      </c>
      <c r="K70" s="57"/>
      <c r="L70" s="39">
        <f>Source!U36</f>
        <v>0</v>
      </c>
      <c r="O70" s="28">
        <f>G70</f>
        <v>152.28</v>
      </c>
      <c r="P70" s="28">
        <f>J70</f>
        <v>1276.1099999999999</v>
      </c>
      <c r="Q70" s="28">
        <f>L70</f>
        <v>0</v>
      </c>
      <c r="W70">
        <f>IF(Source!BI36&lt;=1,H69, 0)</f>
        <v>152.28</v>
      </c>
      <c r="X70">
        <f>IF(Source!BI36=2,H69, 0)</f>
        <v>0</v>
      </c>
      <c r="Y70">
        <f>IF(Source!BI36=3,H69, 0)</f>
        <v>0</v>
      </c>
      <c r="Z70">
        <f>IF(Source!BI36=4,H69, 0)</f>
        <v>0</v>
      </c>
    </row>
    <row r="71" spans="1:26" ht="28.5" x14ac:dyDescent="0.2">
      <c r="A71" s="51">
        <v>10</v>
      </c>
      <c r="B71" s="51" t="str">
        <f>Source!F37</f>
        <v>12-01-009-02</v>
      </c>
      <c r="C71" s="51" t="str">
        <f>Source!G37</f>
        <v>Устройство желобов: подвесных</v>
      </c>
      <c r="D71" s="40" t="str">
        <f>Source!H37</f>
        <v>100 м</v>
      </c>
      <c r="E71" s="24">
        <f>Source!I37</f>
        <v>0.5</v>
      </c>
      <c r="F71" s="41">
        <f>Source!AL37+Source!AM37+Source!AO37</f>
        <v>5347.9400000000005</v>
      </c>
      <c r="G71" s="42"/>
      <c r="H71" s="41"/>
      <c r="I71" s="42" t="str">
        <f>Source!BO37</f>
        <v/>
      </c>
      <c r="J71" s="42"/>
      <c r="K71" s="41"/>
      <c r="L71" s="43"/>
      <c r="S71">
        <f>ROUND((Source!FX37/100)*((ROUND(Source!AF37*Source!I37, 2)+ROUND(Source!AE37*Source!I37, 2))), 2)</f>
        <v>150.81</v>
      </c>
      <c r="T71">
        <f>Source!X37</f>
        <v>6893.39</v>
      </c>
      <c r="U71">
        <f>ROUND((Source!FY37/100)*((ROUND(Source!AF37*Source!I37, 2)+ROUND(Source!AE37*Source!I37, 2))), 2)</f>
        <v>67.040000000000006</v>
      </c>
      <c r="V71">
        <f>Source!Y37</f>
        <v>3064.08</v>
      </c>
    </row>
    <row r="72" spans="1:26" x14ac:dyDescent="0.2">
      <c r="C72" s="29" t="str">
        <f>"Объем: "&amp;Source!I37&amp;"=50/"&amp;"100"</f>
        <v>Объем: 0,5=50/100</v>
      </c>
    </row>
    <row r="73" spans="1:26" ht="14.25" x14ac:dyDescent="0.2">
      <c r="A73" s="51"/>
      <c r="B73" s="51"/>
      <c r="C73" s="51" t="s">
        <v>570</v>
      </c>
      <c r="D73" s="40"/>
      <c r="E73" s="24"/>
      <c r="F73" s="41">
        <f>Source!AO37</f>
        <v>237.13</v>
      </c>
      <c r="G73" s="42" t="str">
        <f>Source!DG37</f>
        <v>)*1,15</v>
      </c>
      <c r="H73" s="41">
        <f>ROUND(Source!AF37*Source!I37, 2)</f>
        <v>136.35</v>
      </c>
      <c r="I73" s="42"/>
      <c r="J73" s="42">
        <f>IF(Source!BA37&lt;&gt; 0, Source!BA37, 1)</f>
        <v>45.71</v>
      </c>
      <c r="K73" s="41">
        <f>Source!S37</f>
        <v>6232.56</v>
      </c>
      <c r="L73" s="43"/>
      <c r="R73">
        <f>H73</f>
        <v>136.35</v>
      </c>
    </row>
    <row r="74" spans="1:26" ht="14.25" x14ac:dyDescent="0.2">
      <c r="A74" s="51"/>
      <c r="B74" s="51"/>
      <c r="C74" s="51" t="s">
        <v>205</v>
      </c>
      <c r="D74" s="40"/>
      <c r="E74" s="24"/>
      <c r="F74" s="41">
        <f>Source!AM37</f>
        <v>21.18</v>
      </c>
      <c r="G74" s="42" t="str">
        <f>Source!DE37</f>
        <v>)*1,25</v>
      </c>
      <c r="H74" s="41">
        <f>ROUND(((((Source!ET37*1.25))-((Source!EU37*1.25)))+Source!AE37)*Source!I37, 2)</f>
        <v>13.24</v>
      </c>
      <c r="I74" s="42"/>
      <c r="J74" s="42">
        <f>IF(Source!BB37&lt;&gt; 0, Source!BB37, 1)</f>
        <v>13.41</v>
      </c>
      <c r="K74" s="41">
        <f>Source!Q37</f>
        <v>177.46</v>
      </c>
      <c r="L74" s="43"/>
    </row>
    <row r="75" spans="1:26" ht="14.25" x14ac:dyDescent="0.2">
      <c r="A75" s="51"/>
      <c r="B75" s="51"/>
      <c r="C75" s="51" t="s">
        <v>576</v>
      </c>
      <c r="D75" s="40"/>
      <c r="E75" s="24"/>
      <c r="F75" s="41">
        <f>Source!AN37</f>
        <v>3.21</v>
      </c>
      <c r="G75" s="42" t="str">
        <f>Source!DF37</f>
        <v>)*1,25</v>
      </c>
      <c r="H75" s="46">
        <f>ROUND(Source!AE37*Source!I37, 2)</f>
        <v>2.0099999999999998</v>
      </c>
      <c r="I75" s="42"/>
      <c r="J75" s="42">
        <f>IF(Source!BS37&lt;&gt; 0, Source!BS37, 1)</f>
        <v>45.71</v>
      </c>
      <c r="K75" s="46">
        <f>Source!R37</f>
        <v>91.65</v>
      </c>
      <c r="L75" s="43"/>
      <c r="R75">
        <f>H75</f>
        <v>2.0099999999999998</v>
      </c>
    </row>
    <row r="76" spans="1:26" ht="14.25" x14ac:dyDescent="0.2">
      <c r="A76" s="51"/>
      <c r="B76" s="51"/>
      <c r="C76" s="51" t="s">
        <v>577</v>
      </c>
      <c r="D76" s="40"/>
      <c r="E76" s="24"/>
      <c r="F76" s="41">
        <f>Source!AL37</f>
        <v>5089.63</v>
      </c>
      <c r="G76" s="42" t="str">
        <f>Source!DD37</f>
        <v/>
      </c>
      <c r="H76" s="41">
        <f>ROUND(Source!AC37*Source!I37, 2)</f>
        <v>2544.8200000000002</v>
      </c>
      <c r="I76" s="42"/>
      <c r="J76" s="42">
        <f>IF(Source!BC37&lt;&gt; 0, Source!BC37, 1)</f>
        <v>8.3800000000000008</v>
      </c>
      <c r="K76" s="41">
        <f>Source!P37</f>
        <v>21325.55</v>
      </c>
      <c r="L76" s="43"/>
    </row>
    <row r="77" spans="1:26" ht="14.25" x14ac:dyDescent="0.2">
      <c r="A77" s="51"/>
      <c r="B77" s="51"/>
      <c r="C77" s="51" t="s">
        <v>571</v>
      </c>
      <c r="D77" s="40" t="s">
        <v>572</v>
      </c>
      <c r="E77" s="24">
        <f>Source!BZ37</f>
        <v>109</v>
      </c>
      <c r="F77" s="52"/>
      <c r="G77" s="42"/>
      <c r="H77" s="41">
        <f>SUM(S71:S80)</f>
        <v>150.81</v>
      </c>
      <c r="I77" s="44"/>
      <c r="J77" s="33">
        <f>Source!AT37</f>
        <v>109</v>
      </c>
      <c r="K77" s="41">
        <f>SUM(T71:T80)</f>
        <v>6893.39</v>
      </c>
      <c r="L77" s="43"/>
    </row>
    <row r="78" spans="1:26" ht="14.25" x14ac:dyDescent="0.2">
      <c r="A78" s="51"/>
      <c r="B78" s="51"/>
      <c r="C78" s="51" t="s">
        <v>573</v>
      </c>
      <c r="D78" s="40" t="s">
        <v>572</v>
      </c>
      <c r="E78" s="24">
        <f>Source!CA37</f>
        <v>57</v>
      </c>
      <c r="F78" s="60" t="str">
        <f>CONCATENATE(" )", Source!DM37, Source!FU37, "=", Source!FY37)</f>
        <v xml:space="preserve"> ))*0,85=48,45</v>
      </c>
      <c r="G78" s="61"/>
      <c r="H78" s="41">
        <f>SUM(U71:U80)</f>
        <v>67.040000000000006</v>
      </c>
      <c r="I78" s="44"/>
      <c r="J78" s="33">
        <f>Source!AU37</f>
        <v>48.45</v>
      </c>
      <c r="K78" s="41">
        <f>SUM(V71:V80)</f>
        <v>3064.08</v>
      </c>
      <c r="L78" s="43"/>
    </row>
    <row r="79" spans="1:26" ht="14.25" x14ac:dyDescent="0.2">
      <c r="A79" s="51"/>
      <c r="B79" s="51"/>
      <c r="C79" s="51" t="s">
        <v>574</v>
      </c>
      <c r="D79" s="40" t="s">
        <v>575</v>
      </c>
      <c r="E79" s="24">
        <f>Source!AQ37</f>
        <v>27.8</v>
      </c>
      <c r="F79" s="41"/>
      <c r="G79" s="42" t="str">
        <f>Source!DI37</f>
        <v>)*1,15</v>
      </c>
      <c r="H79" s="41"/>
      <c r="I79" s="42"/>
      <c r="J79" s="42"/>
      <c r="K79" s="41"/>
      <c r="L79" s="47">
        <f>Source!U37</f>
        <v>15.984999999999999</v>
      </c>
    </row>
    <row r="80" spans="1:26" ht="28.5" x14ac:dyDescent="0.2">
      <c r="A80" s="50">
        <v>10.1</v>
      </c>
      <c r="B80" s="50" t="str">
        <f>Source!F38</f>
        <v>08.3.05.05-0051</v>
      </c>
      <c r="C80" s="50" t="str">
        <f>Source!G38</f>
        <v>Сталь листовая оцинкованная, толщина 0,5 мм</v>
      </c>
      <c r="D80" s="34" t="str">
        <f>Source!H38</f>
        <v>т</v>
      </c>
      <c r="E80" s="35">
        <f>Source!I38</f>
        <v>-0.16500000000000001</v>
      </c>
      <c r="F80" s="36">
        <f>Source!AL38+Source!AM38+Source!AO38</f>
        <v>11200</v>
      </c>
      <c r="G80" s="48" t="s">
        <v>3</v>
      </c>
      <c r="H80" s="36">
        <f>ROUND(Source!AC38*Source!I38, 2)+ROUND((((Source!ET38)-(Source!EU38))+Source!AE38)*Source!I38, 2)+ROUND(Source!AF38*Source!I38, 2)</f>
        <v>-1848</v>
      </c>
      <c r="I80" s="37"/>
      <c r="J80" s="37">
        <f>IF(Source!BC38&lt;&gt; 0, Source!BC38, 1)</f>
        <v>8.3800000000000008</v>
      </c>
      <c r="K80" s="36">
        <f>Source!O38</f>
        <v>-15486.24</v>
      </c>
      <c r="L80" s="38"/>
      <c r="S80">
        <f>ROUND((Source!FX38/100)*((ROUND(Source!AF38*Source!I38, 2)+ROUND(Source!AE38*Source!I38, 2))), 2)</f>
        <v>0</v>
      </c>
      <c r="T80">
        <f>Source!X38</f>
        <v>0</v>
      </c>
      <c r="U80">
        <f>ROUND((Source!FY38/100)*((ROUND(Source!AF38*Source!I38, 2)+ROUND(Source!AE38*Source!I38, 2))), 2)</f>
        <v>0</v>
      </c>
      <c r="V80">
        <f>Source!Y38</f>
        <v>0</v>
      </c>
      <c r="W80">
        <f>IF(Source!BI38&lt;=1,H80, 0)</f>
        <v>-1848</v>
      </c>
      <c r="X80">
        <f>IF(Source!BI38=2,H80, 0)</f>
        <v>0</v>
      </c>
      <c r="Y80">
        <f>IF(Source!BI38=3,H80, 0)</f>
        <v>0</v>
      </c>
      <c r="Z80">
        <f>IF(Source!BI38=4,H80, 0)</f>
        <v>0</v>
      </c>
    </row>
    <row r="81" spans="1:26" ht="15" x14ac:dyDescent="0.25">
      <c r="G81" s="57">
        <f>H73+H74+H76+H77+H78+SUM(H80:H80)</f>
        <v>1064.2600000000002</v>
      </c>
      <c r="H81" s="57"/>
      <c r="J81" s="57">
        <f>K73+K74+K76+K77+K78+SUM(K80:K80)</f>
        <v>22206.800000000003</v>
      </c>
      <c r="K81" s="57"/>
      <c r="L81" s="39">
        <f>Source!U37</f>
        <v>15.984999999999999</v>
      </c>
      <c r="O81" s="28">
        <f>G81</f>
        <v>1064.2600000000002</v>
      </c>
      <c r="P81" s="28">
        <f>J81</f>
        <v>22206.800000000003</v>
      </c>
      <c r="Q81" s="28">
        <f>L81</f>
        <v>15.984999999999999</v>
      </c>
      <c r="W81">
        <f>IF(Source!BI37&lt;=1,H73+H74+H76+H77+H78, 0)</f>
        <v>2912.26</v>
      </c>
      <c r="X81">
        <f>IF(Source!BI37=2,H73+H74+H76+H77+H78, 0)</f>
        <v>0</v>
      </c>
      <c r="Y81">
        <f>IF(Source!BI37=3,H73+H74+H76+H77+H78, 0)</f>
        <v>0</v>
      </c>
      <c r="Z81">
        <f>IF(Source!BI37=4,H73+H74+H76+H77+H78, 0)</f>
        <v>0</v>
      </c>
    </row>
    <row r="82" spans="1:26" ht="54" x14ac:dyDescent="0.2">
      <c r="A82" s="50">
        <v>11</v>
      </c>
      <c r="B82" s="50" t="str">
        <f>Source!F39</f>
        <v>Цена поставщика</v>
      </c>
      <c r="C82" s="50" t="s">
        <v>581</v>
      </c>
      <c r="D82" s="34" t="str">
        <f>Source!H39</f>
        <v>шт.</v>
      </c>
      <c r="E82" s="35">
        <f>Source!I39</f>
        <v>25</v>
      </c>
      <c r="F82" s="36">
        <f>Source!AL39</f>
        <v>179.24</v>
      </c>
      <c r="G82" s="37" t="str">
        <f>Source!DD39</f>
        <v/>
      </c>
      <c r="H82" s="36">
        <f>ROUND(Source!AC39*Source!I39, 2)</f>
        <v>4481</v>
      </c>
      <c r="I82" s="37" t="str">
        <f>Source!BO39</f>
        <v/>
      </c>
      <c r="J82" s="37">
        <f>IF(Source!BC39&lt;&gt; 0, Source!BC39, 1)</f>
        <v>8.3800000000000008</v>
      </c>
      <c r="K82" s="36">
        <f>Source!P39</f>
        <v>37550.78</v>
      </c>
      <c r="L82" s="38"/>
      <c r="S82">
        <f>ROUND((Source!FX39/100)*((ROUND(Source!AF39*Source!I39, 2)+ROUND(Source!AE39*Source!I39, 2))), 2)</f>
        <v>0</v>
      </c>
      <c r="T82">
        <f>Source!X39</f>
        <v>0</v>
      </c>
      <c r="U82">
        <f>ROUND((Source!FY39/100)*((ROUND(Source!AF39*Source!I39, 2)+ROUND(Source!AE39*Source!I39, 2))), 2)</f>
        <v>0</v>
      </c>
      <c r="V82">
        <f>Source!Y39</f>
        <v>0</v>
      </c>
    </row>
    <row r="83" spans="1:26" ht="15" x14ac:dyDescent="0.25">
      <c r="G83" s="57">
        <f>H82</f>
        <v>4481</v>
      </c>
      <c r="H83" s="57"/>
      <c r="J83" s="57">
        <f>K82</f>
        <v>37550.78</v>
      </c>
      <c r="K83" s="57"/>
      <c r="L83" s="39">
        <f>Source!U39</f>
        <v>0</v>
      </c>
      <c r="O83" s="28">
        <f>G83</f>
        <v>4481</v>
      </c>
      <c r="P83" s="28">
        <f>J83</f>
        <v>37550.78</v>
      </c>
      <c r="Q83" s="28">
        <f>L83</f>
        <v>0</v>
      </c>
      <c r="W83">
        <f>IF(Source!BI39&lt;=1,H82, 0)</f>
        <v>4481</v>
      </c>
      <c r="X83">
        <f>IF(Source!BI39=2,H82, 0)</f>
        <v>0</v>
      </c>
      <c r="Y83">
        <f>IF(Source!BI39=3,H82, 0)</f>
        <v>0</v>
      </c>
      <c r="Z83">
        <f>IF(Source!BI39=4,H82, 0)</f>
        <v>0</v>
      </c>
    </row>
    <row r="84" spans="1:26" ht="54" x14ac:dyDescent="0.2">
      <c r="A84" s="50">
        <v>12</v>
      </c>
      <c r="B84" s="50" t="str">
        <f>Source!F40</f>
        <v>Цена поставщика</v>
      </c>
      <c r="C84" s="50" t="s">
        <v>582</v>
      </c>
      <c r="D84" s="34" t="str">
        <f>Source!H40</f>
        <v>шт.</v>
      </c>
      <c r="E84" s="35">
        <f>Source!I40</f>
        <v>70</v>
      </c>
      <c r="F84" s="36">
        <f>Source!AL40</f>
        <v>34.290000000000006</v>
      </c>
      <c r="G84" s="37" t="str">
        <f>Source!DD40</f>
        <v/>
      </c>
      <c r="H84" s="36">
        <f>ROUND(Source!AC40*Source!I40, 2)</f>
        <v>2400.3000000000002</v>
      </c>
      <c r="I84" s="37" t="str">
        <f>Source!BO40</f>
        <v/>
      </c>
      <c r="J84" s="37">
        <f>IF(Source!BC40&lt;&gt; 0, Source!BC40, 1)</f>
        <v>8.3800000000000008</v>
      </c>
      <c r="K84" s="36">
        <f>Source!P40</f>
        <v>20114.509999999998</v>
      </c>
      <c r="L84" s="38"/>
      <c r="S84">
        <f>ROUND((Source!FX40/100)*((ROUND(Source!AF40*Source!I40, 2)+ROUND(Source!AE40*Source!I40, 2))), 2)</f>
        <v>0</v>
      </c>
      <c r="T84">
        <f>Source!X40</f>
        <v>0</v>
      </c>
      <c r="U84">
        <f>ROUND((Source!FY40/100)*((ROUND(Source!AF40*Source!I40, 2)+ROUND(Source!AE40*Source!I40, 2))), 2)</f>
        <v>0</v>
      </c>
      <c r="V84">
        <f>Source!Y40</f>
        <v>0</v>
      </c>
    </row>
    <row r="85" spans="1:26" ht="15" x14ac:dyDescent="0.25">
      <c r="G85" s="57">
        <f>H84</f>
        <v>2400.3000000000002</v>
      </c>
      <c r="H85" s="57"/>
      <c r="J85" s="57">
        <f>K84</f>
        <v>20114.509999999998</v>
      </c>
      <c r="K85" s="57"/>
      <c r="L85" s="39">
        <f>Source!U40</f>
        <v>0</v>
      </c>
      <c r="O85" s="28">
        <f>G85</f>
        <v>2400.3000000000002</v>
      </c>
      <c r="P85" s="28">
        <f>J85</f>
        <v>20114.509999999998</v>
      </c>
      <c r="Q85" s="28">
        <f>L85</f>
        <v>0</v>
      </c>
      <c r="W85">
        <f>IF(Source!BI40&lt;=1,H84, 0)</f>
        <v>2400.3000000000002</v>
      </c>
      <c r="X85">
        <f>IF(Source!BI40=2,H84, 0)</f>
        <v>0</v>
      </c>
      <c r="Y85">
        <f>IF(Source!BI40=3,H84, 0)</f>
        <v>0</v>
      </c>
      <c r="Z85">
        <f>IF(Source!BI40=4,H84, 0)</f>
        <v>0</v>
      </c>
    </row>
    <row r="86" spans="1:26" ht="42.75" x14ac:dyDescent="0.2">
      <c r="A86" s="50">
        <v>13</v>
      </c>
      <c r="B86" s="50" t="str">
        <f>Source!F41</f>
        <v>Цена поставщика</v>
      </c>
      <c r="C86" s="50" t="s">
        <v>583</v>
      </c>
      <c r="D86" s="34" t="str">
        <f>Source!H41</f>
        <v>шт.</v>
      </c>
      <c r="E86" s="35">
        <f>Source!I41</f>
        <v>6</v>
      </c>
      <c r="F86" s="36">
        <f>Source!AL41</f>
        <v>21.41</v>
      </c>
      <c r="G86" s="37" t="str">
        <f>Source!DD41</f>
        <v/>
      </c>
      <c r="H86" s="36">
        <f>ROUND(Source!AC41*Source!I41, 2)</f>
        <v>128.46</v>
      </c>
      <c r="I86" s="37" t="str">
        <f>Source!BO41</f>
        <v/>
      </c>
      <c r="J86" s="37">
        <f>IF(Source!BC41&lt;&gt; 0, Source!BC41, 1)</f>
        <v>8.3800000000000008</v>
      </c>
      <c r="K86" s="36">
        <f>Source!P41</f>
        <v>1076.49</v>
      </c>
      <c r="L86" s="38"/>
      <c r="S86">
        <f>ROUND((Source!FX41/100)*((ROUND(Source!AF41*Source!I41, 2)+ROUND(Source!AE41*Source!I41, 2))), 2)</f>
        <v>0</v>
      </c>
      <c r="T86">
        <f>Source!X41</f>
        <v>0</v>
      </c>
      <c r="U86">
        <f>ROUND((Source!FY41/100)*((ROUND(Source!AF41*Source!I41, 2)+ROUND(Source!AE41*Source!I41, 2))), 2)</f>
        <v>0</v>
      </c>
      <c r="V86">
        <f>Source!Y41</f>
        <v>0</v>
      </c>
    </row>
    <row r="87" spans="1:26" ht="15" x14ac:dyDescent="0.25">
      <c r="G87" s="57">
        <f>H86</f>
        <v>128.46</v>
      </c>
      <c r="H87" s="57"/>
      <c r="J87" s="57">
        <f>K86</f>
        <v>1076.49</v>
      </c>
      <c r="K87" s="57"/>
      <c r="L87" s="39">
        <f>Source!U41</f>
        <v>0</v>
      </c>
      <c r="O87" s="28">
        <f>G87</f>
        <v>128.46</v>
      </c>
      <c r="P87" s="28">
        <f>J87</f>
        <v>1076.49</v>
      </c>
      <c r="Q87" s="28">
        <f>L87</f>
        <v>0</v>
      </c>
      <c r="W87">
        <f>IF(Source!BI41&lt;=1,H86, 0)</f>
        <v>128.46</v>
      </c>
      <c r="X87">
        <f>IF(Source!BI41=2,H86, 0)</f>
        <v>0</v>
      </c>
      <c r="Y87">
        <f>IF(Source!BI41=3,H86, 0)</f>
        <v>0</v>
      </c>
      <c r="Z87">
        <f>IF(Source!BI41=4,H86, 0)</f>
        <v>0</v>
      </c>
    </row>
    <row r="88" spans="1:26" ht="42.75" x14ac:dyDescent="0.2">
      <c r="A88" s="51">
        <v>14</v>
      </c>
      <c r="B88" s="51" t="str">
        <f>Source!F42</f>
        <v>12-01-035-03</v>
      </c>
      <c r="C88" s="51" t="str">
        <f>Source!G42</f>
        <v>Устройство металлической водосточной системы: прямых звеньев труб</v>
      </c>
      <c r="D88" s="40" t="str">
        <f>Source!H42</f>
        <v>м</v>
      </c>
      <c r="E88" s="24">
        <f>Source!I42</f>
        <v>43.5</v>
      </c>
      <c r="F88" s="41">
        <f>Source!AL42+Source!AM42+Source!AO42</f>
        <v>8.9499999999999993</v>
      </c>
      <c r="G88" s="42"/>
      <c r="H88" s="41"/>
      <c r="I88" s="42" t="str">
        <f>Source!BO42</f>
        <v/>
      </c>
      <c r="J88" s="42"/>
      <c r="K88" s="41"/>
      <c r="L88" s="43"/>
      <c r="S88">
        <f>ROUND((Source!FX42/100)*((ROUND(Source!AF42*Source!I42, 2)+ROUND(Source!AE42*Source!I42, 2))), 2)</f>
        <v>62.59</v>
      </c>
      <c r="T88">
        <f>Source!X42</f>
        <v>2860.89</v>
      </c>
      <c r="U88">
        <f>ROUND((Source!FY42/100)*((ROUND(Source!AF42*Source!I42, 2)+ROUND(Source!AE42*Source!I42, 2))), 2)</f>
        <v>27.82</v>
      </c>
      <c r="V88">
        <f>Source!Y42</f>
        <v>1271.6500000000001</v>
      </c>
    </row>
    <row r="89" spans="1:26" ht="14.25" x14ac:dyDescent="0.2">
      <c r="A89" s="51"/>
      <c r="B89" s="51"/>
      <c r="C89" s="51" t="s">
        <v>570</v>
      </c>
      <c r="D89" s="40"/>
      <c r="E89" s="24"/>
      <c r="F89" s="41">
        <f>Source!AO42</f>
        <v>1.1499999999999999</v>
      </c>
      <c r="G89" s="42" t="str">
        <f>Source!DG42</f>
        <v>)*1,15</v>
      </c>
      <c r="H89" s="41">
        <f>ROUND(Source!AF42*Source!I42, 2)</f>
        <v>57.42</v>
      </c>
      <c r="I89" s="42"/>
      <c r="J89" s="42">
        <f>IF(Source!BA42&lt;&gt; 0, Source!BA42, 1)</f>
        <v>45.71</v>
      </c>
      <c r="K89" s="41">
        <f>Source!S42</f>
        <v>2624.67</v>
      </c>
      <c r="L89" s="43"/>
      <c r="R89">
        <f>H89</f>
        <v>57.42</v>
      </c>
    </row>
    <row r="90" spans="1:26" ht="14.25" x14ac:dyDescent="0.2">
      <c r="A90" s="51"/>
      <c r="B90" s="51"/>
      <c r="C90" s="51" t="s">
        <v>577</v>
      </c>
      <c r="D90" s="40"/>
      <c r="E90" s="24"/>
      <c r="F90" s="41">
        <f>Source!AL42</f>
        <v>7.8</v>
      </c>
      <c r="G90" s="42" t="str">
        <f>Source!DD42</f>
        <v/>
      </c>
      <c r="H90" s="41">
        <f>ROUND(Source!AC42*Source!I42, 2)</f>
        <v>339.3</v>
      </c>
      <c r="I90" s="42"/>
      <c r="J90" s="42">
        <f>IF(Source!BC42&lt;&gt; 0, Source!BC42, 1)</f>
        <v>8.3800000000000008</v>
      </c>
      <c r="K90" s="41">
        <f>Source!P42</f>
        <v>2843.33</v>
      </c>
      <c r="L90" s="43"/>
    </row>
    <row r="91" spans="1:26" ht="14.25" x14ac:dyDescent="0.2">
      <c r="A91" s="51"/>
      <c r="B91" s="51"/>
      <c r="C91" s="51" t="s">
        <v>571</v>
      </c>
      <c r="D91" s="40" t="s">
        <v>572</v>
      </c>
      <c r="E91" s="24">
        <f>Source!BZ42</f>
        <v>109</v>
      </c>
      <c r="F91" s="52"/>
      <c r="G91" s="42"/>
      <c r="H91" s="41">
        <f>SUM(S88:S93)</f>
        <v>62.59</v>
      </c>
      <c r="I91" s="44"/>
      <c r="J91" s="33">
        <f>Source!AT42</f>
        <v>109</v>
      </c>
      <c r="K91" s="41">
        <f>SUM(T88:T93)</f>
        <v>2860.89</v>
      </c>
      <c r="L91" s="43"/>
    </row>
    <row r="92" spans="1:26" ht="14.25" x14ac:dyDescent="0.2">
      <c r="A92" s="51"/>
      <c r="B92" s="51"/>
      <c r="C92" s="51" t="s">
        <v>573</v>
      </c>
      <c r="D92" s="40" t="s">
        <v>572</v>
      </c>
      <c r="E92" s="24">
        <f>Source!CA42</f>
        <v>57</v>
      </c>
      <c r="F92" s="60" t="str">
        <f>CONCATENATE(" )", Source!DM42, Source!FU42, "=", Source!FY42)</f>
        <v xml:space="preserve"> ))*0,85=48,45</v>
      </c>
      <c r="G92" s="61"/>
      <c r="H92" s="41">
        <f>SUM(U88:U93)</f>
        <v>27.82</v>
      </c>
      <c r="I92" s="44"/>
      <c r="J92" s="33">
        <f>Source!AU42</f>
        <v>48.45</v>
      </c>
      <c r="K92" s="41">
        <f>SUM(V88:V93)</f>
        <v>1271.6500000000001</v>
      </c>
      <c r="L92" s="43"/>
    </row>
    <row r="93" spans="1:26" ht="14.25" x14ac:dyDescent="0.2">
      <c r="A93" s="50"/>
      <c r="B93" s="50"/>
      <c r="C93" s="50" t="s">
        <v>574</v>
      </c>
      <c r="D93" s="34" t="s">
        <v>575</v>
      </c>
      <c r="E93" s="35">
        <f>Source!AQ42</f>
        <v>0.12</v>
      </c>
      <c r="F93" s="36"/>
      <c r="G93" s="37" t="str">
        <f>Source!DI42</f>
        <v>)*1,15</v>
      </c>
      <c r="H93" s="36"/>
      <c r="I93" s="37"/>
      <c r="J93" s="37"/>
      <c r="K93" s="36"/>
      <c r="L93" s="45">
        <f>Source!U42</f>
        <v>6.0029999999999992</v>
      </c>
    </row>
    <row r="94" spans="1:26" ht="15" x14ac:dyDescent="0.25">
      <c r="G94" s="57">
        <f>H89+H90+H91+H92</f>
        <v>487.13000000000005</v>
      </c>
      <c r="H94" s="57"/>
      <c r="J94" s="57">
        <f>K89+K90+K91+K92</f>
        <v>9600.5399999999991</v>
      </c>
      <c r="K94" s="57"/>
      <c r="L94" s="39">
        <f>Source!U42</f>
        <v>6.0029999999999992</v>
      </c>
      <c r="O94" s="28">
        <f>G94</f>
        <v>487.13000000000005</v>
      </c>
      <c r="P94" s="28">
        <f>J94</f>
        <v>9600.5399999999991</v>
      </c>
      <c r="Q94" s="28">
        <f>L94</f>
        <v>6.0029999999999992</v>
      </c>
      <c r="W94">
        <f>IF(Source!BI42&lt;=1,H89+H90+H91+H92, 0)</f>
        <v>487.13000000000005</v>
      </c>
      <c r="X94">
        <f>IF(Source!BI42=2,H89+H90+H91+H92, 0)</f>
        <v>0</v>
      </c>
      <c r="Y94">
        <f>IF(Source!BI42=3,H89+H90+H91+H92, 0)</f>
        <v>0</v>
      </c>
      <c r="Z94">
        <f>IF(Source!BI42=4,H89+H90+H91+H92, 0)</f>
        <v>0</v>
      </c>
    </row>
    <row r="95" spans="1:26" ht="54" x14ac:dyDescent="0.2">
      <c r="A95" s="50">
        <v>15</v>
      </c>
      <c r="B95" s="50" t="str">
        <f>Source!F43</f>
        <v>Цена поставщика</v>
      </c>
      <c r="C95" s="50" t="s">
        <v>584</v>
      </c>
      <c r="D95" s="34" t="str">
        <f>Source!H43</f>
        <v>шт.</v>
      </c>
      <c r="E95" s="35">
        <f>Source!I43</f>
        <v>36</v>
      </c>
      <c r="F95" s="36">
        <f>Source!AL43</f>
        <v>120.88000000000001</v>
      </c>
      <c r="G95" s="37" t="str">
        <f>Source!DD43</f>
        <v/>
      </c>
      <c r="H95" s="36">
        <f>ROUND(Source!AC43*Source!I43, 2)</f>
        <v>4351.68</v>
      </c>
      <c r="I95" s="37" t="str">
        <f>Source!BO43</f>
        <v/>
      </c>
      <c r="J95" s="37">
        <f>IF(Source!BC43&lt;&gt; 0, Source!BC43, 1)</f>
        <v>8.3800000000000008</v>
      </c>
      <c r="K95" s="36">
        <f>Source!P43</f>
        <v>36467.08</v>
      </c>
      <c r="L95" s="38"/>
      <c r="S95">
        <f>ROUND((Source!FX43/100)*((ROUND(Source!AF43*Source!I43, 2)+ROUND(Source!AE43*Source!I43, 2))), 2)</f>
        <v>0</v>
      </c>
      <c r="T95">
        <f>Source!X43</f>
        <v>0</v>
      </c>
      <c r="U95">
        <f>ROUND((Source!FY43/100)*((ROUND(Source!AF43*Source!I43, 2)+ROUND(Source!AE43*Source!I43, 2))), 2)</f>
        <v>0</v>
      </c>
      <c r="V95">
        <f>Source!Y43</f>
        <v>0</v>
      </c>
    </row>
    <row r="96" spans="1:26" ht="15" x14ac:dyDescent="0.25">
      <c r="G96" s="57">
        <f>H95</f>
        <v>4351.68</v>
      </c>
      <c r="H96" s="57"/>
      <c r="J96" s="57">
        <f>K95</f>
        <v>36467.08</v>
      </c>
      <c r="K96" s="57"/>
      <c r="L96" s="39">
        <f>Source!U43</f>
        <v>0</v>
      </c>
      <c r="O96" s="28">
        <f>G96</f>
        <v>4351.68</v>
      </c>
      <c r="P96" s="28">
        <f>J96</f>
        <v>36467.08</v>
      </c>
      <c r="Q96" s="28">
        <f>L96</f>
        <v>0</v>
      </c>
      <c r="W96">
        <f>IF(Source!BI43&lt;=1,H95, 0)</f>
        <v>4351.68</v>
      </c>
      <c r="X96">
        <f>IF(Source!BI43=2,H95, 0)</f>
        <v>0</v>
      </c>
      <c r="Y96">
        <f>IF(Source!BI43=3,H95, 0)</f>
        <v>0</v>
      </c>
      <c r="Z96">
        <f>IF(Source!BI43=4,H95, 0)</f>
        <v>0</v>
      </c>
    </row>
    <row r="97" spans="1:26" ht="54" x14ac:dyDescent="0.2">
      <c r="A97" s="50">
        <v>16</v>
      </c>
      <c r="B97" s="50" t="str">
        <f>Source!F44</f>
        <v>Цена поставщика</v>
      </c>
      <c r="C97" s="50" t="s">
        <v>585</v>
      </c>
      <c r="D97" s="34" t="str">
        <f>Source!H44</f>
        <v>шт.</v>
      </c>
      <c r="E97" s="35">
        <f>Source!I44</f>
        <v>5</v>
      </c>
      <c r="F97" s="36">
        <f>Source!AL44</f>
        <v>82.44</v>
      </c>
      <c r="G97" s="37" t="str">
        <f>Source!DD44</f>
        <v/>
      </c>
      <c r="H97" s="36">
        <f>ROUND(Source!AC44*Source!I44, 2)</f>
        <v>412.2</v>
      </c>
      <c r="I97" s="37" t="str">
        <f>Source!BO44</f>
        <v/>
      </c>
      <c r="J97" s="37">
        <f>IF(Source!BC44&lt;&gt; 0, Source!BC44, 1)</f>
        <v>8.3800000000000008</v>
      </c>
      <c r="K97" s="36">
        <f>Source!P44</f>
        <v>3454.24</v>
      </c>
      <c r="L97" s="38"/>
      <c r="S97">
        <f>ROUND((Source!FX44/100)*((ROUND(Source!AF44*Source!I44, 2)+ROUND(Source!AE44*Source!I44, 2))), 2)</f>
        <v>0</v>
      </c>
      <c r="T97">
        <f>Source!X44</f>
        <v>0</v>
      </c>
      <c r="U97">
        <f>ROUND((Source!FY44/100)*((ROUND(Source!AF44*Source!I44, 2)+ROUND(Source!AE44*Source!I44, 2))), 2)</f>
        <v>0</v>
      </c>
      <c r="V97">
        <f>Source!Y44</f>
        <v>0</v>
      </c>
    </row>
    <row r="98" spans="1:26" ht="15" x14ac:dyDescent="0.25">
      <c r="G98" s="57">
        <f>H97</f>
        <v>412.2</v>
      </c>
      <c r="H98" s="57"/>
      <c r="J98" s="57">
        <f>K97</f>
        <v>3454.24</v>
      </c>
      <c r="K98" s="57"/>
      <c r="L98" s="39">
        <f>Source!U44</f>
        <v>0</v>
      </c>
      <c r="O98" s="28">
        <f>G98</f>
        <v>412.2</v>
      </c>
      <c r="P98" s="28">
        <f>J98</f>
        <v>3454.24</v>
      </c>
      <c r="Q98" s="28">
        <f>L98</f>
        <v>0</v>
      </c>
      <c r="W98">
        <f>IF(Source!BI44&lt;=1,H97, 0)</f>
        <v>412.2</v>
      </c>
      <c r="X98">
        <f>IF(Source!BI44=2,H97, 0)</f>
        <v>0</v>
      </c>
      <c r="Y98">
        <f>IF(Source!BI44=3,H97, 0)</f>
        <v>0</v>
      </c>
      <c r="Z98">
        <f>IF(Source!BI44=4,H97, 0)</f>
        <v>0</v>
      </c>
    </row>
    <row r="99" spans="1:26" ht="54" x14ac:dyDescent="0.2">
      <c r="A99" s="50">
        <v>17</v>
      </c>
      <c r="B99" s="50" t="str">
        <f>Source!F45</f>
        <v>Цена поставщика</v>
      </c>
      <c r="C99" s="50" t="s">
        <v>586</v>
      </c>
      <c r="D99" s="34" t="str">
        <f>Source!H45</f>
        <v>шт.</v>
      </c>
      <c r="E99" s="35">
        <f>Source!I45</f>
        <v>36</v>
      </c>
      <c r="F99" s="36">
        <f>Source!AL45</f>
        <v>28.87</v>
      </c>
      <c r="G99" s="37" t="str">
        <f>Source!DD45</f>
        <v/>
      </c>
      <c r="H99" s="36">
        <f>ROUND(Source!AC45*Source!I45, 2)</f>
        <v>1039.32</v>
      </c>
      <c r="I99" s="37" t="str">
        <f>Source!BO45</f>
        <v/>
      </c>
      <c r="J99" s="37">
        <f>IF(Source!BC45&lt;&gt; 0, Source!BC45, 1)</f>
        <v>8.3800000000000008</v>
      </c>
      <c r="K99" s="36">
        <f>Source!P45</f>
        <v>8709.5</v>
      </c>
      <c r="L99" s="38"/>
      <c r="S99">
        <f>ROUND((Source!FX45/100)*((ROUND(Source!AF45*Source!I45, 2)+ROUND(Source!AE45*Source!I45, 2))), 2)</f>
        <v>0</v>
      </c>
      <c r="T99">
        <f>Source!X45</f>
        <v>0</v>
      </c>
      <c r="U99">
        <f>ROUND((Source!FY45/100)*((ROUND(Source!AF45*Source!I45, 2)+ROUND(Source!AE45*Source!I45, 2))), 2)</f>
        <v>0</v>
      </c>
      <c r="V99">
        <f>Source!Y45</f>
        <v>0</v>
      </c>
    </row>
    <row r="100" spans="1:26" ht="15" x14ac:dyDescent="0.25">
      <c r="G100" s="57">
        <f>H99</f>
        <v>1039.32</v>
      </c>
      <c r="H100" s="57"/>
      <c r="J100" s="57">
        <f>K99</f>
        <v>8709.5</v>
      </c>
      <c r="K100" s="57"/>
      <c r="L100" s="39">
        <f>Source!U45</f>
        <v>0</v>
      </c>
      <c r="O100" s="28">
        <f>G100</f>
        <v>1039.32</v>
      </c>
      <c r="P100" s="28">
        <f>J100</f>
        <v>8709.5</v>
      </c>
      <c r="Q100" s="28">
        <f>L100</f>
        <v>0</v>
      </c>
      <c r="W100">
        <f>IF(Source!BI45&lt;=1,H99, 0)</f>
        <v>1039.32</v>
      </c>
      <c r="X100">
        <f>IF(Source!BI45=2,H99, 0)</f>
        <v>0</v>
      </c>
      <c r="Y100">
        <f>IF(Source!BI45=3,H99, 0)</f>
        <v>0</v>
      </c>
      <c r="Z100">
        <f>IF(Source!BI45=4,H99, 0)</f>
        <v>0</v>
      </c>
    </row>
    <row r="101" spans="1:26" ht="28.5" x14ac:dyDescent="0.2">
      <c r="A101" s="51">
        <v>18</v>
      </c>
      <c r="B101" s="51" t="str">
        <f>Source!F46</f>
        <v>12-01-035-02</v>
      </c>
      <c r="C101" s="51" t="str">
        <f>Source!G46</f>
        <v>Устройство металлической водосточной системы: воронок</v>
      </c>
      <c r="D101" s="40" t="str">
        <f>Source!H46</f>
        <v>ШТ</v>
      </c>
      <c r="E101" s="24">
        <f>Source!I46</f>
        <v>5</v>
      </c>
      <c r="F101" s="41">
        <f>Source!AL46+Source!AM46+Source!AO46</f>
        <v>1.73</v>
      </c>
      <c r="G101" s="42"/>
      <c r="H101" s="41"/>
      <c r="I101" s="42" t="str">
        <f>Source!BO46</f>
        <v/>
      </c>
      <c r="J101" s="42"/>
      <c r="K101" s="41"/>
      <c r="L101" s="43"/>
      <c r="S101">
        <f>ROUND((Source!FX46/100)*((ROUND(Source!AF46*Source!I46, 2)+ROUND(Source!AE46*Source!I46, 2))), 2)</f>
        <v>10.85</v>
      </c>
      <c r="T101">
        <f>Source!X46</f>
        <v>495.74</v>
      </c>
      <c r="U101">
        <f>ROUND((Source!FY46/100)*((ROUND(Source!AF46*Source!I46, 2)+ROUND(Source!AE46*Source!I46, 2))), 2)</f>
        <v>4.82</v>
      </c>
      <c r="V101">
        <f>Source!Y46</f>
        <v>220.36</v>
      </c>
    </row>
    <row r="102" spans="1:26" ht="14.25" x14ac:dyDescent="0.2">
      <c r="A102" s="51"/>
      <c r="B102" s="51"/>
      <c r="C102" s="51" t="s">
        <v>570</v>
      </c>
      <c r="D102" s="40"/>
      <c r="E102" s="24"/>
      <c r="F102" s="41">
        <f>Source!AO46</f>
        <v>1.73</v>
      </c>
      <c r="G102" s="42" t="str">
        <f>Source!DG46</f>
        <v>)*1,15</v>
      </c>
      <c r="H102" s="41">
        <f>ROUND(Source!AF46*Source!I46, 2)</f>
        <v>9.9499999999999993</v>
      </c>
      <c r="I102" s="42"/>
      <c r="J102" s="42">
        <f>IF(Source!BA46&lt;&gt; 0, Source!BA46, 1)</f>
        <v>45.71</v>
      </c>
      <c r="K102" s="41">
        <f>Source!S46</f>
        <v>454.81</v>
      </c>
      <c r="L102" s="43"/>
      <c r="R102">
        <f>H102</f>
        <v>9.9499999999999993</v>
      </c>
    </row>
    <row r="103" spans="1:26" ht="14.25" x14ac:dyDescent="0.2">
      <c r="A103" s="51"/>
      <c r="B103" s="51"/>
      <c r="C103" s="51" t="s">
        <v>571</v>
      </c>
      <c r="D103" s="40" t="s">
        <v>572</v>
      </c>
      <c r="E103" s="24">
        <f>Source!BZ46</f>
        <v>109</v>
      </c>
      <c r="F103" s="52"/>
      <c r="G103" s="42"/>
      <c r="H103" s="41">
        <f>SUM(S101:S105)</f>
        <v>10.85</v>
      </c>
      <c r="I103" s="44"/>
      <c r="J103" s="33">
        <f>Source!AT46</f>
        <v>109</v>
      </c>
      <c r="K103" s="41">
        <f>SUM(T101:T105)</f>
        <v>495.74</v>
      </c>
      <c r="L103" s="43"/>
    </row>
    <row r="104" spans="1:26" ht="14.25" x14ac:dyDescent="0.2">
      <c r="A104" s="51"/>
      <c r="B104" s="51"/>
      <c r="C104" s="51" t="s">
        <v>573</v>
      </c>
      <c r="D104" s="40" t="s">
        <v>572</v>
      </c>
      <c r="E104" s="24">
        <f>Source!CA46</f>
        <v>57</v>
      </c>
      <c r="F104" s="60" t="str">
        <f>CONCATENATE(" )", Source!DM46, Source!FU46, "=", Source!FY46)</f>
        <v xml:space="preserve"> ))*0,85=48,45</v>
      </c>
      <c r="G104" s="61"/>
      <c r="H104" s="41">
        <f>SUM(U101:U105)</f>
        <v>4.82</v>
      </c>
      <c r="I104" s="44"/>
      <c r="J104" s="33">
        <f>Source!AU46</f>
        <v>48.45</v>
      </c>
      <c r="K104" s="41">
        <f>SUM(V101:V105)</f>
        <v>220.36</v>
      </c>
      <c r="L104" s="43"/>
    </row>
    <row r="105" spans="1:26" ht="14.25" x14ac:dyDescent="0.2">
      <c r="A105" s="50"/>
      <c r="B105" s="50"/>
      <c r="C105" s="50" t="s">
        <v>574</v>
      </c>
      <c r="D105" s="34" t="s">
        <v>575</v>
      </c>
      <c r="E105" s="35">
        <f>Source!AQ46</f>
        <v>0.18</v>
      </c>
      <c r="F105" s="36"/>
      <c r="G105" s="37" t="str">
        <f>Source!DI46</f>
        <v>)*1,15</v>
      </c>
      <c r="H105" s="36"/>
      <c r="I105" s="37"/>
      <c r="J105" s="37"/>
      <c r="K105" s="36"/>
      <c r="L105" s="45">
        <f>Source!U46</f>
        <v>1.0349999999999999</v>
      </c>
    </row>
    <row r="106" spans="1:26" ht="15" x14ac:dyDescent="0.25">
      <c r="G106" s="57">
        <f>H102+H103+H104</f>
        <v>25.619999999999997</v>
      </c>
      <c r="H106" s="57"/>
      <c r="J106" s="57">
        <f>K102+K103+K104</f>
        <v>1170.9099999999999</v>
      </c>
      <c r="K106" s="57"/>
      <c r="L106" s="39">
        <f>Source!U46</f>
        <v>1.0349999999999999</v>
      </c>
      <c r="O106" s="28">
        <f>G106</f>
        <v>25.619999999999997</v>
      </c>
      <c r="P106" s="28">
        <f>J106</f>
        <v>1170.9099999999999</v>
      </c>
      <c r="Q106" s="28">
        <f>L106</f>
        <v>1.0349999999999999</v>
      </c>
      <c r="W106">
        <f>IF(Source!BI46&lt;=1,H102+H103+H104, 0)</f>
        <v>25.619999999999997</v>
      </c>
      <c r="X106">
        <f>IF(Source!BI46=2,H102+H103+H104, 0)</f>
        <v>0</v>
      </c>
      <c r="Y106">
        <f>IF(Source!BI46=3,H102+H103+H104, 0)</f>
        <v>0</v>
      </c>
      <c r="Z106">
        <f>IF(Source!BI46=4,H102+H103+H104, 0)</f>
        <v>0</v>
      </c>
    </row>
    <row r="107" spans="1:26" ht="54" x14ac:dyDescent="0.2">
      <c r="A107" s="50">
        <v>19</v>
      </c>
      <c r="B107" s="50" t="str">
        <f>Source!F47</f>
        <v>Цена поставщика</v>
      </c>
      <c r="C107" s="50" t="s">
        <v>587</v>
      </c>
      <c r="D107" s="34" t="str">
        <f>Source!H47</f>
        <v>шт.</v>
      </c>
      <c r="E107" s="35">
        <f>Source!I47</f>
        <v>5</v>
      </c>
      <c r="F107" s="36">
        <f>Source!AL47</f>
        <v>153.47999999999999</v>
      </c>
      <c r="G107" s="37" t="str">
        <f>Source!DD47</f>
        <v/>
      </c>
      <c r="H107" s="36">
        <f>ROUND(Source!AC47*Source!I47, 2)</f>
        <v>767.4</v>
      </c>
      <c r="I107" s="37" t="str">
        <f>Source!BO47</f>
        <v/>
      </c>
      <c r="J107" s="37">
        <f>IF(Source!BC47&lt;&gt; 0, Source!BC47, 1)</f>
        <v>8.3800000000000008</v>
      </c>
      <c r="K107" s="36">
        <f>Source!P47</f>
        <v>6430.81</v>
      </c>
      <c r="L107" s="38"/>
      <c r="S107">
        <f>ROUND((Source!FX47/100)*((ROUND(Source!AF47*Source!I47, 2)+ROUND(Source!AE47*Source!I47, 2))), 2)</f>
        <v>0</v>
      </c>
      <c r="T107">
        <f>Source!X47</f>
        <v>0</v>
      </c>
      <c r="U107">
        <f>ROUND((Source!FY47/100)*((ROUND(Source!AF47*Source!I47, 2)+ROUND(Source!AE47*Source!I47, 2))), 2)</f>
        <v>0</v>
      </c>
      <c r="V107">
        <f>Source!Y47</f>
        <v>0</v>
      </c>
    </row>
    <row r="108" spans="1:26" ht="15" x14ac:dyDescent="0.25">
      <c r="G108" s="57">
        <f>H107</f>
        <v>767.4</v>
      </c>
      <c r="H108" s="57"/>
      <c r="J108" s="57">
        <f>K107</f>
        <v>6430.81</v>
      </c>
      <c r="K108" s="57"/>
      <c r="L108" s="39">
        <f>Source!U47</f>
        <v>0</v>
      </c>
      <c r="O108" s="28">
        <f>G108</f>
        <v>767.4</v>
      </c>
      <c r="P108" s="28">
        <f>J108</f>
        <v>6430.81</v>
      </c>
      <c r="Q108" s="28">
        <f>L108</f>
        <v>0</v>
      </c>
      <c r="W108">
        <f>IF(Source!BI47&lt;=1,H107, 0)</f>
        <v>767.4</v>
      </c>
      <c r="X108">
        <f>IF(Source!BI47=2,H107, 0)</f>
        <v>0</v>
      </c>
      <c r="Y108">
        <f>IF(Source!BI47=3,H107, 0)</f>
        <v>0</v>
      </c>
      <c r="Z108">
        <f>IF(Source!BI47=4,H107, 0)</f>
        <v>0</v>
      </c>
    </row>
    <row r="109" spans="1:26" ht="28.5" x14ac:dyDescent="0.2">
      <c r="A109" s="51">
        <v>20</v>
      </c>
      <c r="B109" s="51" t="str">
        <f>Source!F48</f>
        <v>12-01-035-01</v>
      </c>
      <c r="C109" s="51" t="str">
        <f>Source!G48</f>
        <v>Устройство металлической водосточной системы: колен</v>
      </c>
      <c r="D109" s="40" t="str">
        <f>Source!H48</f>
        <v>ШТ</v>
      </c>
      <c r="E109" s="24">
        <f>Source!I48</f>
        <v>10</v>
      </c>
      <c r="F109" s="41">
        <f>Source!AL48+Source!AM48+Source!AO48</f>
        <v>1.1499999999999999</v>
      </c>
      <c r="G109" s="42"/>
      <c r="H109" s="41"/>
      <c r="I109" s="42" t="str">
        <f>Source!BO48</f>
        <v/>
      </c>
      <c r="J109" s="42"/>
      <c r="K109" s="41"/>
      <c r="L109" s="43"/>
      <c r="S109">
        <f>ROUND((Source!FX48/100)*((ROUND(Source!AF48*Source!I48, 2)+ROUND(Source!AE48*Source!I48, 2))), 2)</f>
        <v>14.39</v>
      </c>
      <c r="T109">
        <f>Source!X48</f>
        <v>657.67</v>
      </c>
      <c r="U109">
        <f>ROUND((Source!FY48/100)*((ROUND(Source!AF48*Source!I48, 2)+ROUND(Source!AE48*Source!I48, 2))), 2)</f>
        <v>6.4</v>
      </c>
      <c r="V109">
        <f>Source!Y48</f>
        <v>292.33</v>
      </c>
    </row>
    <row r="110" spans="1:26" ht="14.25" x14ac:dyDescent="0.2">
      <c r="A110" s="51"/>
      <c r="B110" s="51"/>
      <c r="C110" s="51" t="s">
        <v>570</v>
      </c>
      <c r="D110" s="40"/>
      <c r="E110" s="24"/>
      <c r="F110" s="41">
        <f>Source!AO48</f>
        <v>1.1499999999999999</v>
      </c>
      <c r="G110" s="42" t="str">
        <f>Source!DG48</f>
        <v>)*1,15</v>
      </c>
      <c r="H110" s="41">
        <f>ROUND(Source!AF48*Source!I48, 2)</f>
        <v>13.2</v>
      </c>
      <c r="I110" s="42"/>
      <c r="J110" s="42">
        <f>IF(Source!BA48&lt;&gt; 0, Source!BA48, 1)</f>
        <v>45.71</v>
      </c>
      <c r="K110" s="41">
        <f>Source!S48</f>
        <v>603.37</v>
      </c>
      <c r="L110" s="43"/>
      <c r="R110">
        <f>H110</f>
        <v>13.2</v>
      </c>
    </row>
    <row r="111" spans="1:26" ht="14.25" x14ac:dyDescent="0.2">
      <c r="A111" s="51"/>
      <c r="B111" s="51"/>
      <c r="C111" s="51" t="s">
        <v>571</v>
      </c>
      <c r="D111" s="40" t="s">
        <v>572</v>
      </c>
      <c r="E111" s="24">
        <f>Source!BZ48</f>
        <v>109</v>
      </c>
      <c r="F111" s="52"/>
      <c r="G111" s="42"/>
      <c r="H111" s="41">
        <f>SUM(S109:S113)</f>
        <v>14.39</v>
      </c>
      <c r="I111" s="44"/>
      <c r="J111" s="33">
        <f>Source!AT48</f>
        <v>109</v>
      </c>
      <c r="K111" s="41">
        <f>SUM(T109:T113)</f>
        <v>657.67</v>
      </c>
      <c r="L111" s="43"/>
    </row>
    <row r="112" spans="1:26" ht="14.25" x14ac:dyDescent="0.2">
      <c r="A112" s="51"/>
      <c r="B112" s="51"/>
      <c r="C112" s="51" t="s">
        <v>573</v>
      </c>
      <c r="D112" s="40" t="s">
        <v>572</v>
      </c>
      <c r="E112" s="24">
        <f>Source!CA48</f>
        <v>57</v>
      </c>
      <c r="F112" s="60" t="str">
        <f>CONCATENATE(" )", Source!DM48, Source!FU48, "=", Source!FY48)</f>
        <v xml:space="preserve"> ))*0,85=48,45</v>
      </c>
      <c r="G112" s="61"/>
      <c r="H112" s="41">
        <f>SUM(U109:U113)</f>
        <v>6.4</v>
      </c>
      <c r="I112" s="44"/>
      <c r="J112" s="33">
        <f>Source!AU48</f>
        <v>48.45</v>
      </c>
      <c r="K112" s="41">
        <f>SUM(V109:V113)</f>
        <v>292.33</v>
      </c>
      <c r="L112" s="43"/>
    </row>
    <row r="113" spans="1:26" ht="14.25" x14ac:dyDescent="0.2">
      <c r="A113" s="50"/>
      <c r="B113" s="50"/>
      <c r="C113" s="50" t="s">
        <v>574</v>
      </c>
      <c r="D113" s="34" t="s">
        <v>575</v>
      </c>
      <c r="E113" s="35">
        <f>Source!AQ48</f>
        <v>0.12</v>
      </c>
      <c r="F113" s="36"/>
      <c r="G113" s="37" t="str">
        <f>Source!DI48</f>
        <v>)*1,15</v>
      </c>
      <c r="H113" s="36"/>
      <c r="I113" s="37"/>
      <c r="J113" s="37"/>
      <c r="K113" s="36"/>
      <c r="L113" s="45">
        <f>Source!U48</f>
        <v>1.38</v>
      </c>
    </row>
    <row r="114" spans="1:26" ht="15" x14ac:dyDescent="0.25">
      <c r="G114" s="57">
        <f>H110+H111+H112</f>
        <v>33.99</v>
      </c>
      <c r="H114" s="57"/>
      <c r="J114" s="57">
        <f>K110+K111+K112</f>
        <v>1553.37</v>
      </c>
      <c r="K114" s="57"/>
      <c r="L114" s="39">
        <f>Source!U48</f>
        <v>1.38</v>
      </c>
      <c r="O114" s="28">
        <f>G114</f>
        <v>33.99</v>
      </c>
      <c r="P114" s="28">
        <f>J114</f>
        <v>1553.37</v>
      </c>
      <c r="Q114" s="28">
        <f>L114</f>
        <v>1.38</v>
      </c>
      <c r="W114">
        <f>IF(Source!BI48&lt;=1,H110+H111+H112, 0)</f>
        <v>33.99</v>
      </c>
      <c r="X114">
        <f>IF(Source!BI48=2,H110+H111+H112, 0)</f>
        <v>0</v>
      </c>
      <c r="Y114">
        <f>IF(Source!BI48=3,H110+H111+H112, 0)</f>
        <v>0</v>
      </c>
      <c r="Z114">
        <f>IF(Source!BI48=4,H110+H111+H112, 0)</f>
        <v>0</v>
      </c>
    </row>
    <row r="115" spans="1:26" ht="54" x14ac:dyDescent="0.2">
      <c r="A115" s="50">
        <v>21</v>
      </c>
      <c r="B115" s="50" t="str">
        <f>Source!F49</f>
        <v>Цена поставщика</v>
      </c>
      <c r="C115" s="50" t="s">
        <v>588</v>
      </c>
      <c r="D115" s="34" t="str">
        <f>Source!H49</f>
        <v>шт.</v>
      </c>
      <c r="E115" s="35">
        <f>Source!I49</f>
        <v>10</v>
      </c>
      <c r="F115" s="36">
        <f>Source!AL49</f>
        <v>82.44</v>
      </c>
      <c r="G115" s="37" t="str">
        <f>Source!DD49</f>
        <v/>
      </c>
      <c r="H115" s="36">
        <f>ROUND(Source!AC49*Source!I49, 2)</f>
        <v>824.4</v>
      </c>
      <c r="I115" s="37" t="str">
        <f>Source!BO49</f>
        <v/>
      </c>
      <c r="J115" s="37">
        <f>IF(Source!BC49&lt;&gt; 0, Source!BC49, 1)</f>
        <v>8.3800000000000008</v>
      </c>
      <c r="K115" s="36">
        <f>Source!P49</f>
        <v>6908.47</v>
      </c>
      <c r="L115" s="38"/>
      <c r="S115">
        <f>ROUND((Source!FX49/100)*((ROUND(Source!AF49*Source!I49, 2)+ROUND(Source!AE49*Source!I49, 2))), 2)</f>
        <v>0</v>
      </c>
      <c r="T115">
        <f>Source!X49</f>
        <v>0</v>
      </c>
      <c r="U115">
        <f>ROUND((Source!FY49/100)*((ROUND(Source!AF49*Source!I49, 2)+ROUND(Source!AE49*Source!I49, 2))), 2)</f>
        <v>0</v>
      </c>
      <c r="V115">
        <f>Source!Y49</f>
        <v>0</v>
      </c>
    </row>
    <row r="116" spans="1:26" ht="15" x14ac:dyDescent="0.25">
      <c r="G116" s="57">
        <f>H115</f>
        <v>824.4</v>
      </c>
      <c r="H116" s="57"/>
      <c r="J116" s="57">
        <f>K115</f>
        <v>6908.47</v>
      </c>
      <c r="K116" s="57"/>
      <c r="L116" s="39">
        <f>Source!U49</f>
        <v>0</v>
      </c>
      <c r="O116" s="28">
        <f>G116</f>
        <v>824.4</v>
      </c>
      <c r="P116" s="28">
        <f>J116</f>
        <v>6908.47</v>
      </c>
      <c r="Q116" s="28">
        <f>L116</f>
        <v>0</v>
      </c>
      <c r="W116">
        <f>IF(Source!BI49&lt;=1,H115, 0)</f>
        <v>824.4</v>
      </c>
      <c r="X116">
        <f>IF(Source!BI49=2,H115, 0)</f>
        <v>0</v>
      </c>
      <c r="Y116">
        <f>IF(Source!BI49=3,H115, 0)</f>
        <v>0</v>
      </c>
      <c r="Z116">
        <f>IF(Source!BI49=4,H115, 0)</f>
        <v>0</v>
      </c>
    </row>
    <row r="117" spans="1:26" ht="42.75" x14ac:dyDescent="0.2">
      <c r="A117" s="51">
        <v>22</v>
      </c>
      <c r="B117" s="51" t="str">
        <f>Source!F50</f>
        <v>12-01-010-01</v>
      </c>
      <c r="C117" s="51" t="str">
        <f>Source!G50</f>
        <v>Устройство мелких покрытий (брандмауэры, парапеты, свесы и т.п.) из листовой оцинкованной стали</v>
      </c>
      <c r="D117" s="40" t="str">
        <f>Source!H50</f>
        <v>100 м2</v>
      </c>
      <c r="E117" s="24">
        <f>Source!I50</f>
        <v>4.4999999999999998E-2</v>
      </c>
      <c r="F117" s="41">
        <f>Source!AL50+Source!AM50+Source!AO50</f>
        <v>7367.18</v>
      </c>
      <c r="G117" s="42"/>
      <c r="H117" s="41"/>
      <c r="I117" s="42" t="str">
        <f>Source!BO50</f>
        <v/>
      </c>
      <c r="J117" s="42"/>
      <c r="K117" s="41"/>
      <c r="L117" s="43"/>
      <c r="S117">
        <f>ROUND((Source!FX50/100)*((ROUND(Source!AF50*Source!I50, 2)+ROUND(Source!AE50*Source!I50, 2))), 2)</f>
        <v>46.99</v>
      </c>
      <c r="T117">
        <f>Source!X50</f>
        <v>2147.64</v>
      </c>
      <c r="U117">
        <f>ROUND((Source!FY50/100)*((ROUND(Source!AF50*Source!I50, 2)+ROUND(Source!AE50*Source!I50, 2))), 2)</f>
        <v>20.89</v>
      </c>
      <c r="V117">
        <f>Source!Y50</f>
        <v>954.62</v>
      </c>
    </row>
    <row r="118" spans="1:26" ht="14.25" x14ac:dyDescent="0.2">
      <c r="A118" s="51"/>
      <c r="B118" s="51"/>
      <c r="C118" s="51" t="s">
        <v>570</v>
      </c>
      <c r="D118" s="40"/>
      <c r="E118" s="24"/>
      <c r="F118" s="41">
        <f>Source!AO50</f>
        <v>829.12</v>
      </c>
      <c r="G118" s="42" t="str">
        <f>Source!DG50</f>
        <v>)*1,15</v>
      </c>
      <c r="H118" s="41">
        <f>ROUND(Source!AF50*Source!I50, 2)</f>
        <v>42.91</v>
      </c>
      <c r="I118" s="42"/>
      <c r="J118" s="42">
        <f>IF(Source!BA50&lt;&gt; 0, Source!BA50, 1)</f>
        <v>45.71</v>
      </c>
      <c r="K118" s="41">
        <f>Source!S50</f>
        <v>1961.28</v>
      </c>
      <c r="L118" s="43"/>
      <c r="R118">
        <f>H118</f>
        <v>42.91</v>
      </c>
    </row>
    <row r="119" spans="1:26" ht="14.25" x14ac:dyDescent="0.2">
      <c r="A119" s="51"/>
      <c r="B119" s="51"/>
      <c r="C119" s="51" t="s">
        <v>205</v>
      </c>
      <c r="D119" s="40"/>
      <c r="E119" s="24"/>
      <c r="F119" s="41">
        <f>Source!AM50</f>
        <v>21.88</v>
      </c>
      <c r="G119" s="42" t="str">
        <f>Source!DE50</f>
        <v>)*1,25</v>
      </c>
      <c r="H119" s="41">
        <f>ROUND(((((Source!ET50*1.25))-((Source!EU50*1.25)))+Source!AE50)*Source!I50, 2)</f>
        <v>1.23</v>
      </c>
      <c r="I119" s="42"/>
      <c r="J119" s="42">
        <f>IF(Source!BB50&lt;&gt; 0, Source!BB50, 1)</f>
        <v>13.41</v>
      </c>
      <c r="K119" s="41">
        <f>Source!Q50</f>
        <v>16.510000000000002</v>
      </c>
      <c r="L119" s="43"/>
    </row>
    <row r="120" spans="1:26" ht="14.25" x14ac:dyDescent="0.2">
      <c r="A120" s="51"/>
      <c r="B120" s="51"/>
      <c r="C120" s="51" t="s">
        <v>576</v>
      </c>
      <c r="D120" s="40"/>
      <c r="E120" s="24"/>
      <c r="F120" s="41">
        <f>Source!AN50</f>
        <v>3.51</v>
      </c>
      <c r="G120" s="42" t="str">
        <f>Source!DF50</f>
        <v>)*1,25</v>
      </c>
      <c r="H120" s="46">
        <f>ROUND(Source!AE50*Source!I50, 2)</f>
        <v>0.2</v>
      </c>
      <c r="I120" s="42"/>
      <c r="J120" s="42">
        <f>IF(Source!BS50&lt;&gt; 0, Source!BS50, 1)</f>
        <v>45.71</v>
      </c>
      <c r="K120" s="46">
        <f>Source!R50</f>
        <v>9.0299999999999994</v>
      </c>
      <c r="L120" s="43"/>
      <c r="R120">
        <f>H120</f>
        <v>0.2</v>
      </c>
    </row>
    <row r="121" spans="1:26" ht="14.25" x14ac:dyDescent="0.2">
      <c r="A121" s="51"/>
      <c r="B121" s="51"/>
      <c r="C121" s="51" t="s">
        <v>577</v>
      </c>
      <c r="D121" s="40"/>
      <c r="E121" s="24"/>
      <c r="F121" s="41">
        <f>Source!AL50</f>
        <v>6516.18</v>
      </c>
      <c r="G121" s="42" t="str">
        <f>Source!DD50</f>
        <v/>
      </c>
      <c r="H121" s="41">
        <f>ROUND(Source!AC50*Source!I50, 2)</f>
        <v>293.23</v>
      </c>
      <c r="I121" s="42"/>
      <c r="J121" s="42">
        <f>IF(Source!BC50&lt;&gt; 0, Source!BC50, 1)</f>
        <v>8.3800000000000008</v>
      </c>
      <c r="K121" s="41">
        <f>Source!P50</f>
        <v>2457.25</v>
      </c>
      <c r="L121" s="43"/>
    </row>
    <row r="122" spans="1:26" ht="14.25" x14ac:dyDescent="0.2">
      <c r="A122" s="51"/>
      <c r="B122" s="51"/>
      <c r="C122" s="51" t="s">
        <v>571</v>
      </c>
      <c r="D122" s="40" t="s">
        <v>572</v>
      </c>
      <c r="E122" s="24">
        <f>Source!BZ50</f>
        <v>109</v>
      </c>
      <c r="F122" s="52"/>
      <c r="G122" s="42"/>
      <c r="H122" s="41">
        <f>SUM(S117:S125)</f>
        <v>46.99</v>
      </c>
      <c r="I122" s="44"/>
      <c r="J122" s="33">
        <f>Source!AT50</f>
        <v>109</v>
      </c>
      <c r="K122" s="41">
        <f>SUM(T117:T125)</f>
        <v>2147.64</v>
      </c>
      <c r="L122" s="43"/>
    </row>
    <row r="123" spans="1:26" ht="14.25" x14ac:dyDescent="0.2">
      <c r="A123" s="51"/>
      <c r="B123" s="51"/>
      <c r="C123" s="51" t="s">
        <v>573</v>
      </c>
      <c r="D123" s="40" t="s">
        <v>572</v>
      </c>
      <c r="E123" s="24">
        <f>Source!CA50</f>
        <v>57</v>
      </c>
      <c r="F123" s="60" t="str">
        <f>CONCATENATE(" )", Source!DM50, Source!FU50, "=", Source!FY50)</f>
        <v xml:space="preserve"> ))*0,85=48,45</v>
      </c>
      <c r="G123" s="61"/>
      <c r="H123" s="41">
        <f>SUM(U117:U125)</f>
        <v>20.89</v>
      </c>
      <c r="I123" s="44"/>
      <c r="J123" s="33">
        <f>Source!AU50</f>
        <v>48.45</v>
      </c>
      <c r="K123" s="41">
        <f>SUM(V117:V125)</f>
        <v>954.62</v>
      </c>
      <c r="L123" s="43"/>
    </row>
    <row r="124" spans="1:26" ht="14.25" x14ac:dyDescent="0.2">
      <c r="A124" s="51"/>
      <c r="B124" s="51"/>
      <c r="C124" s="51" t="s">
        <v>574</v>
      </c>
      <c r="D124" s="40" t="s">
        <v>575</v>
      </c>
      <c r="E124" s="24">
        <f>Source!AQ50</f>
        <v>97.2</v>
      </c>
      <c r="F124" s="41"/>
      <c r="G124" s="42" t="str">
        <f>Source!DI50</f>
        <v>)*1,15</v>
      </c>
      <c r="H124" s="41"/>
      <c r="I124" s="42"/>
      <c r="J124" s="42"/>
      <c r="K124" s="41"/>
      <c r="L124" s="47">
        <f>Source!U50</f>
        <v>5.0301</v>
      </c>
    </row>
    <row r="125" spans="1:26" ht="28.5" x14ac:dyDescent="0.2">
      <c r="A125" s="50">
        <v>22.1</v>
      </c>
      <c r="B125" s="50" t="str">
        <f>Source!F51</f>
        <v>08.3.05.05-0051</v>
      </c>
      <c r="C125" s="50" t="str">
        <f>Source!G51</f>
        <v>Сталь листовая оцинкованная, толщина 0,5 мм</v>
      </c>
      <c r="D125" s="34" t="str">
        <f>Source!H51</f>
        <v>т</v>
      </c>
      <c r="E125" s="35">
        <f>Source!I51</f>
        <v>-2.5649999999999996E-2</v>
      </c>
      <c r="F125" s="36">
        <f>Source!AL51+Source!AM51+Source!AO51</f>
        <v>11200</v>
      </c>
      <c r="G125" s="48" t="s">
        <v>3</v>
      </c>
      <c r="H125" s="36">
        <f>ROUND(Source!AC51*Source!I51, 2)+ROUND((((Source!ET51)-(Source!EU51))+Source!AE51)*Source!I51, 2)+ROUND(Source!AF51*Source!I51, 2)</f>
        <v>-287.27999999999997</v>
      </c>
      <c r="I125" s="37"/>
      <c r="J125" s="37">
        <f>IF(Source!BC51&lt;&gt; 0, Source!BC51, 1)</f>
        <v>8.3800000000000008</v>
      </c>
      <c r="K125" s="36">
        <f>Source!O51</f>
        <v>-2407.41</v>
      </c>
      <c r="L125" s="38"/>
      <c r="S125">
        <f>ROUND((Source!FX51/100)*((ROUND(Source!AF51*Source!I51, 2)+ROUND(Source!AE51*Source!I51, 2))), 2)</f>
        <v>0</v>
      </c>
      <c r="T125">
        <f>Source!X51</f>
        <v>0</v>
      </c>
      <c r="U125">
        <f>ROUND((Source!FY51/100)*((ROUND(Source!AF51*Source!I51, 2)+ROUND(Source!AE51*Source!I51, 2))), 2)</f>
        <v>0</v>
      </c>
      <c r="V125">
        <f>Source!Y51</f>
        <v>0</v>
      </c>
      <c r="W125">
        <f>IF(Source!BI51&lt;=1,H125, 0)</f>
        <v>-287.27999999999997</v>
      </c>
      <c r="X125">
        <f>IF(Source!BI51=2,H125, 0)</f>
        <v>0</v>
      </c>
      <c r="Y125">
        <f>IF(Source!BI51=3,H125, 0)</f>
        <v>0</v>
      </c>
      <c r="Z125">
        <f>IF(Source!BI51=4,H125, 0)</f>
        <v>0</v>
      </c>
    </row>
    <row r="126" spans="1:26" ht="15" x14ac:dyDescent="0.25">
      <c r="G126" s="57">
        <f>H118+H119+H121+H122+H123+SUM(H125:H125)</f>
        <v>117.97000000000003</v>
      </c>
      <c r="H126" s="57"/>
      <c r="J126" s="57">
        <f>K118+K119+K121+K122+K123+SUM(K125:K125)</f>
        <v>5129.8900000000003</v>
      </c>
      <c r="K126" s="57"/>
      <c r="L126" s="39">
        <f>Source!U50</f>
        <v>5.0301</v>
      </c>
      <c r="O126" s="28">
        <f>G126</f>
        <v>117.97000000000003</v>
      </c>
      <c r="P126" s="28">
        <f>J126</f>
        <v>5129.8900000000003</v>
      </c>
      <c r="Q126" s="28">
        <f>L126</f>
        <v>5.0301</v>
      </c>
      <c r="W126">
        <f>IF(Source!BI50&lt;=1,H118+H119+H121+H122+H123, 0)</f>
        <v>405.25</v>
      </c>
      <c r="X126">
        <f>IF(Source!BI50=2,H118+H119+H121+H122+H123, 0)</f>
        <v>0</v>
      </c>
      <c r="Y126">
        <f>IF(Source!BI50=3,H118+H119+H121+H122+H123, 0)</f>
        <v>0</v>
      </c>
      <c r="Z126">
        <f>IF(Source!BI50=4,H118+H119+H121+H122+H123, 0)</f>
        <v>0</v>
      </c>
    </row>
    <row r="127" spans="1:26" ht="54" x14ac:dyDescent="0.2">
      <c r="A127" s="50">
        <v>23</v>
      </c>
      <c r="B127" s="50" t="str">
        <f>Source!F52</f>
        <v>Цена поставщика</v>
      </c>
      <c r="C127" s="50" t="s">
        <v>589</v>
      </c>
      <c r="D127" s="34" t="str">
        <f>Source!H52</f>
        <v>т</v>
      </c>
      <c r="E127" s="35">
        <f>Source!I52</f>
        <v>3.0200000000000001E-2</v>
      </c>
      <c r="F127" s="36">
        <f>Source!AL52</f>
        <v>12002.95</v>
      </c>
      <c r="G127" s="37" t="str">
        <f>Source!DD52</f>
        <v/>
      </c>
      <c r="H127" s="36">
        <f>ROUND(Source!AC52*Source!I52, 2)</f>
        <v>362.49</v>
      </c>
      <c r="I127" s="37" t="str">
        <f>Source!BO52</f>
        <v/>
      </c>
      <c r="J127" s="37">
        <f>IF(Source!BC52&lt;&gt; 0, Source!BC52, 1)</f>
        <v>8.3800000000000008</v>
      </c>
      <c r="K127" s="36">
        <f>Source!P52</f>
        <v>3037.66</v>
      </c>
      <c r="L127" s="38"/>
      <c r="S127">
        <f>ROUND((Source!FX52/100)*((ROUND(Source!AF52*Source!I52, 2)+ROUND(Source!AE52*Source!I52, 2))), 2)</f>
        <v>0</v>
      </c>
      <c r="T127">
        <f>Source!X52</f>
        <v>0</v>
      </c>
      <c r="U127">
        <f>ROUND((Source!FY52/100)*((ROUND(Source!AF52*Source!I52, 2)+ROUND(Source!AE52*Source!I52, 2))), 2)</f>
        <v>0</v>
      </c>
      <c r="V127">
        <f>Source!Y52</f>
        <v>0</v>
      </c>
    </row>
    <row r="128" spans="1:26" ht="15" x14ac:dyDescent="0.25">
      <c r="G128" s="57">
        <f>H127</f>
        <v>362.49</v>
      </c>
      <c r="H128" s="57"/>
      <c r="J128" s="57">
        <f>K127</f>
        <v>3037.66</v>
      </c>
      <c r="K128" s="57"/>
      <c r="L128" s="39">
        <f>Source!U52</f>
        <v>0</v>
      </c>
      <c r="O128" s="28">
        <f>G128</f>
        <v>362.49</v>
      </c>
      <c r="P128" s="28">
        <f>J128</f>
        <v>3037.66</v>
      </c>
      <c r="Q128" s="28">
        <f>L128</f>
        <v>0</v>
      </c>
      <c r="W128">
        <f>IF(Source!BI52&lt;=1,H127, 0)</f>
        <v>362.49</v>
      </c>
      <c r="X128">
        <f>IF(Source!BI52=2,H127, 0)</f>
        <v>0</v>
      </c>
      <c r="Y128">
        <f>IF(Source!BI52=3,H127, 0)</f>
        <v>0</v>
      </c>
      <c r="Z128">
        <f>IF(Source!BI52=4,H127, 0)</f>
        <v>0</v>
      </c>
    </row>
    <row r="129" spans="1:26" ht="54" x14ac:dyDescent="0.2">
      <c r="A129" s="51">
        <v>24</v>
      </c>
      <c r="B129" s="51" t="str">
        <f>Source!F53</f>
        <v>Цена поставщика</v>
      </c>
      <c r="C129" s="51" t="s">
        <v>578</v>
      </c>
      <c r="D129" s="40" t="str">
        <f>Source!H53</f>
        <v>шт.</v>
      </c>
      <c r="E129" s="24">
        <f>Source!I53</f>
        <v>45</v>
      </c>
      <c r="F129" s="41">
        <f>Source!AL53</f>
        <v>0.54</v>
      </c>
      <c r="G129" s="42" t="str">
        <f>Source!DD53</f>
        <v/>
      </c>
      <c r="H129" s="41">
        <f>ROUND(Source!AC53*Source!I53, 2)</f>
        <v>24.3</v>
      </c>
      <c r="I129" s="42" t="str">
        <f>Source!BO53</f>
        <v/>
      </c>
      <c r="J129" s="42">
        <f>IF(Source!BC53&lt;&gt; 0, Source!BC53, 1)</f>
        <v>8.3800000000000008</v>
      </c>
      <c r="K129" s="41">
        <f>Source!P53</f>
        <v>203.63</v>
      </c>
      <c r="L129" s="43"/>
      <c r="S129">
        <f>ROUND((Source!FX53/100)*((ROUND(Source!AF53*Source!I53, 2)+ROUND(Source!AE53*Source!I53, 2))), 2)</f>
        <v>0</v>
      </c>
      <c r="T129">
        <f>Source!X53</f>
        <v>0</v>
      </c>
      <c r="U129">
        <f>ROUND((Source!FY53/100)*((ROUND(Source!AF53*Source!I53, 2)+ROUND(Source!AE53*Source!I53, 2))), 2)</f>
        <v>0</v>
      </c>
      <c r="V129">
        <f>Source!Y53</f>
        <v>0</v>
      </c>
    </row>
    <row r="130" spans="1:26" x14ac:dyDescent="0.2">
      <c r="A130" s="30"/>
      <c r="B130" s="30"/>
      <c r="C130" s="31" t="str">
        <f>"Объем: "&amp;Source!I53&amp;"="&amp;Source!I50&amp;"*"&amp;"1000"</f>
        <v>Объем: 45=0,045*1000</v>
      </c>
      <c r="D130" s="30"/>
      <c r="E130" s="30"/>
      <c r="F130" s="30"/>
      <c r="G130" s="30"/>
      <c r="H130" s="30"/>
      <c r="I130" s="30"/>
      <c r="J130" s="30"/>
      <c r="K130" s="30"/>
      <c r="L130" s="30"/>
    </row>
    <row r="131" spans="1:26" ht="15" x14ac:dyDescent="0.25">
      <c r="G131" s="57">
        <f>H129</f>
        <v>24.3</v>
      </c>
      <c r="H131" s="57"/>
      <c r="J131" s="57">
        <f>K129</f>
        <v>203.63</v>
      </c>
      <c r="K131" s="57"/>
      <c r="L131" s="39">
        <f>Source!U53</f>
        <v>0</v>
      </c>
      <c r="O131" s="28">
        <f>G131</f>
        <v>24.3</v>
      </c>
      <c r="P131" s="28">
        <f>J131</f>
        <v>203.63</v>
      </c>
      <c r="Q131" s="28">
        <f>L131</f>
        <v>0</v>
      </c>
      <c r="W131">
        <f>IF(Source!BI53&lt;=1,H129, 0)</f>
        <v>24.3</v>
      </c>
      <c r="X131">
        <f>IF(Source!BI53=2,H129, 0)</f>
        <v>0</v>
      </c>
      <c r="Y131">
        <f>IF(Source!BI53=3,H129, 0)</f>
        <v>0</v>
      </c>
      <c r="Z131">
        <f>IF(Source!BI53=4,H129, 0)</f>
        <v>0</v>
      </c>
    </row>
    <row r="132" spans="1:26" ht="28.5" x14ac:dyDescent="0.2">
      <c r="A132" s="51">
        <v>25</v>
      </c>
      <c r="B132" s="51" t="str">
        <f>Source!F54</f>
        <v>58-18-5</v>
      </c>
      <c r="C132" s="51" t="str">
        <f>Source!G54</f>
        <v>Смена обрешетки сплошным настилом из досок толщиной: до 50 мм</v>
      </c>
      <c r="D132" s="40" t="str">
        <f>Source!H54</f>
        <v>100 м2</v>
      </c>
      <c r="E132" s="24">
        <f>Source!I54</f>
        <v>1</v>
      </c>
      <c r="F132" s="41">
        <f>Source!AL54+Source!AM54+Source!AO54</f>
        <v>1187.8399999999999</v>
      </c>
      <c r="G132" s="42"/>
      <c r="H132" s="41"/>
      <c r="I132" s="42" t="str">
        <f>Source!BO54</f>
        <v/>
      </c>
      <c r="J132" s="42"/>
      <c r="K132" s="41"/>
      <c r="L132" s="43"/>
      <c r="S132">
        <f>ROUND((Source!FX54/100)*((ROUND(Source!AF54*Source!I54, 2)+ROUND(Source!AE54*Source!I54, 2))), 2)</f>
        <v>1001.34</v>
      </c>
      <c r="T132">
        <f>Source!X54</f>
        <v>45771.25</v>
      </c>
      <c r="U132">
        <f>ROUND((Source!FY54/100)*((ROUND(Source!AF54*Source!I54, 2)+ROUND(Source!AE54*Source!I54, 2))), 2)</f>
        <v>511.8</v>
      </c>
      <c r="V132">
        <f>Source!Y54</f>
        <v>23394.19</v>
      </c>
    </row>
    <row r="133" spans="1:26" x14ac:dyDescent="0.2">
      <c r="C133" s="29" t="str">
        <f>"Объем: "&amp;Source!I54&amp;"=100/"&amp;"100"</f>
        <v>Объем: 1=100/100</v>
      </c>
    </row>
    <row r="134" spans="1:26" ht="14.25" x14ac:dyDescent="0.2">
      <c r="A134" s="51"/>
      <c r="B134" s="51"/>
      <c r="C134" s="51" t="s">
        <v>570</v>
      </c>
      <c r="D134" s="40"/>
      <c r="E134" s="24"/>
      <c r="F134" s="41">
        <f>Source!AO54</f>
        <v>1099.6099999999999</v>
      </c>
      <c r="G134" s="42" t="str">
        <f>Source!DG54</f>
        <v/>
      </c>
      <c r="H134" s="41">
        <f>ROUND(Source!AF54*Source!I54, 2)</f>
        <v>1099.6099999999999</v>
      </c>
      <c r="I134" s="42"/>
      <c r="J134" s="42">
        <f>IF(Source!BA54&lt;&gt; 0, Source!BA54, 1)</f>
        <v>45.71</v>
      </c>
      <c r="K134" s="41">
        <f>Source!S54</f>
        <v>50263.17</v>
      </c>
      <c r="L134" s="43"/>
      <c r="R134">
        <f>H134</f>
        <v>1099.6099999999999</v>
      </c>
    </row>
    <row r="135" spans="1:26" ht="14.25" x14ac:dyDescent="0.2">
      <c r="A135" s="51"/>
      <c r="B135" s="51"/>
      <c r="C135" s="51" t="s">
        <v>205</v>
      </c>
      <c r="D135" s="40"/>
      <c r="E135" s="24"/>
      <c r="F135" s="41">
        <f>Source!AM54</f>
        <v>76.25</v>
      </c>
      <c r="G135" s="42" t="str">
        <f>Source!DE54</f>
        <v/>
      </c>
      <c r="H135" s="41">
        <f>ROUND((((Source!ET54)-(Source!EU54))+Source!AE54)*Source!I54, 2)</f>
        <v>76.25</v>
      </c>
      <c r="I135" s="42"/>
      <c r="J135" s="42">
        <f>IF(Source!BB54&lt;&gt; 0, Source!BB54, 1)</f>
        <v>13.41</v>
      </c>
      <c r="K135" s="41">
        <f>Source!Q54</f>
        <v>1022.51</v>
      </c>
      <c r="L135" s="43"/>
    </row>
    <row r="136" spans="1:26" ht="14.25" x14ac:dyDescent="0.2">
      <c r="A136" s="51"/>
      <c r="B136" s="51"/>
      <c r="C136" s="51" t="s">
        <v>576</v>
      </c>
      <c r="D136" s="40"/>
      <c r="E136" s="24"/>
      <c r="F136" s="41">
        <f>Source!AN54</f>
        <v>12.99</v>
      </c>
      <c r="G136" s="42" t="str">
        <f>Source!DF54</f>
        <v/>
      </c>
      <c r="H136" s="46">
        <f>ROUND(Source!AE54*Source!I54, 2)</f>
        <v>12.99</v>
      </c>
      <c r="I136" s="42"/>
      <c r="J136" s="42">
        <f>IF(Source!BS54&lt;&gt; 0, Source!BS54, 1)</f>
        <v>45.71</v>
      </c>
      <c r="K136" s="46">
        <f>Source!R54</f>
        <v>593.77</v>
      </c>
      <c r="L136" s="43"/>
      <c r="R136">
        <f>H136</f>
        <v>12.99</v>
      </c>
    </row>
    <row r="137" spans="1:26" ht="14.25" x14ac:dyDescent="0.2">
      <c r="A137" s="51"/>
      <c r="B137" s="51"/>
      <c r="C137" s="51" t="s">
        <v>577</v>
      </c>
      <c r="D137" s="40"/>
      <c r="E137" s="24"/>
      <c r="F137" s="41">
        <f>Source!AL54</f>
        <v>11.98</v>
      </c>
      <c r="G137" s="42" t="str">
        <f>Source!DD54</f>
        <v/>
      </c>
      <c r="H137" s="41">
        <f>ROUND(Source!AC54*Source!I54, 2)</f>
        <v>11.98</v>
      </c>
      <c r="I137" s="42"/>
      <c r="J137" s="42">
        <f>IF(Source!BC54&lt;&gt; 0, Source!BC54, 1)</f>
        <v>8.3800000000000008</v>
      </c>
      <c r="K137" s="41">
        <f>Source!P54</f>
        <v>100.39</v>
      </c>
      <c r="L137" s="43"/>
    </row>
    <row r="138" spans="1:26" ht="14.25" x14ac:dyDescent="0.2">
      <c r="A138" s="51"/>
      <c r="B138" s="51"/>
      <c r="C138" s="51" t="s">
        <v>571</v>
      </c>
      <c r="D138" s="40" t="s">
        <v>572</v>
      </c>
      <c r="E138" s="24">
        <f>Source!BZ54</f>
        <v>90</v>
      </c>
      <c r="F138" s="52"/>
      <c r="G138" s="42"/>
      <c r="H138" s="41">
        <f>SUM(S132:S140)</f>
        <v>1001.34</v>
      </c>
      <c r="I138" s="44"/>
      <c r="J138" s="33">
        <f>Source!AT54</f>
        <v>90</v>
      </c>
      <c r="K138" s="41">
        <f>SUM(T132:T140)</f>
        <v>45771.25</v>
      </c>
      <c r="L138" s="43"/>
    </row>
    <row r="139" spans="1:26" ht="14.25" x14ac:dyDescent="0.2">
      <c r="A139" s="51"/>
      <c r="B139" s="51"/>
      <c r="C139" s="51" t="s">
        <v>573</v>
      </c>
      <c r="D139" s="40" t="s">
        <v>572</v>
      </c>
      <c r="E139" s="24">
        <f>Source!CA54</f>
        <v>46</v>
      </c>
      <c r="F139" s="52"/>
      <c r="G139" s="42"/>
      <c r="H139" s="41">
        <f>SUM(U132:U140)</f>
        <v>511.8</v>
      </c>
      <c r="I139" s="44"/>
      <c r="J139" s="33">
        <f>Source!AU54</f>
        <v>46</v>
      </c>
      <c r="K139" s="41">
        <f>SUM(V132:V140)</f>
        <v>23394.19</v>
      </c>
      <c r="L139" s="43"/>
    </row>
    <row r="140" spans="1:26" ht="14.25" x14ac:dyDescent="0.2">
      <c r="A140" s="50"/>
      <c r="B140" s="50"/>
      <c r="C140" s="50" t="s">
        <v>574</v>
      </c>
      <c r="D140" s="34" t="s">
        <v>575</v>
      </c>
      <c r="E140" s="35">
        <f>Source!AQ54</f>
        <v>138.49</v>
      </c>
      <c r="F140" s="36"/>
      <c r="G140" s="37" t="str">
        <f>Source!DI54</f>
        <v/>
      </c>
      <c r="H140" s="36"/>
      <c r="I140" s="37"/>
      <c r="J140" s="37"/>
      <c r="K140" s="36"/>
      <c r="L140" s="45">
        <f>Source!U54</f>
        <v>138.49</v>
      </c>
    </row>
    <row r="141" spans="1:26" ht="15" x14ac:dyDescent="0.25">
      <c r="G141" s="57">
        <f>H134+H135+H137+H138+H139</f>
        <v>2700.98</v>
      </c>
      <c r="H141" s="57"/>
      <c r="J141" s="57">
        <f>K134+K135+K137+K138+K139</f>
        <v>120551.51000000001</v>
      </c>
      <c r="K141" s="57"/>
      <c r="L141" s="39">
        <f>Source!U54</f>
        <v>138.49</v>
      </c>
      <c r="O141" s="28">
        <f>G141</f>
        <v>2700.98</v>
      </c>
      <c r="P141" s="28">
        <f>J141</f>
        <v>120551.51000000001</v>
      </c>
      <c r="Q141" s="28">
        <f>L141</f>
        <v>138.49</v>
      </c>
      <c r="W141">
        <f>IF(Source!BI54&lt;=1,H134+H135+H137+H138+H139, 0)</f>
        <v>2700.98</v>
      </c>
      <c r="X141">
        <f>IF(Source!BI54=2,H134+H135+H137+H138+H139, 0)</f>
        <v>0</v>
      </c>
      <c r="Y141">
        <f>IF(Source!BI54=3,H134+H135+H137+H138+H139, 0)</f>
        <v>0</v>
      </c>
      <c r="Z141">
        <f>IF(Source!BI54=4,H134+H135+H137+H138+H139, 0)</f>
        <v>0</v>
      </c>
    </row>
    <row r="142" spans="1:26" ht="42.75" x14ac:dyDescent="0.2">
      <c r="A142" s="50">
        <v>26</v>
      </c>
      <c r="B142" s="50" t="str">
        <f>Source!F55</f>
        <v>Цена поставщика</v>
      </c>
      <c r="C142" s="50" t="s">
        <v>590</v>
      </c>
      <c r="D142" s="34" t="str">
        <f>Source!H55</f>
        <v>м3</v>
      </c>
      <c r="E142" s="35">
        <f>Source!I55</f>
        <v>5</v>
      </c>
      <c r="F142" s="36">
        <f>Source!AL55</f>
        <v>1384.5500000000002</v>
      </c>
      <c r="G142" s="37" t="str">
        <f>Source!DD55</f>
        <v/>
      </c>
      <c r="H142" s="36">
        <f>ROUND(Source!AC55*Source!I55, 2)</f>
        <v>6922.75</v>
      </c>
      <c r="I142" s="37" t="str">
        <f>Source!BO55</f>
        <v/>
      </c>
      <c r="J142" s="37">
        <f>IF(Source!BC55&lt;&gt; 0, Source!BC55, 1)</f>
        <v>8.3800000000000008</v>
      </c>
      <c r="K142" s="36">
        <f>Source!P55</f>
        <v>58012.65</v>
      </c>
      <c r="L142" s="38"/>
      <c r="S142">
        <f>ROUND((Source!FX55/100)*((ROUND(Source!AF55*Source!I55, 2)+ROUND(Source!AE55*Source!I55, 2))), 2)</f>
        <v>0</v>
      </c>
      <c r="T142">
        <f>Source!X55</f>
        <v>0</v>
      </c>
      <c r="U142">
        <f>ROUND((Source!FY55/100)*((ROUND(Source!AF55*Source!I55, 2)+ROUND(Source!AE55*Source!I55, 2))), 2)</f>
        <v>0</v>
      </c>
      <c r="V142">
        <f>Source!Y55</f>
        <v>0</v>
      </c>
    </row>
    <row r="143" spans="1:26" ht="15" x14ac:dyDescent="0.25">
      <c r="G143" s="57">
        <f>H142</f>
        <v>6922.75</v>
      </c>
      <c r="H143" s="57"/>
      <c r="J143" s="57">
        <f>K142</f>
        <v>58012.65</v>
      </c>
      <c r="K143" s="57"/>
      <c r="L143" s="39">
        <f>Source!U55</f>
        <v>0</v>
      </c>
      <c r="O143" s="28">
        <f>G143</f>
        <v>6922.75</v>
      </c>
      <c r="P143" s="28">
        <f>J143</f>
        <v>58012.65</v>
      </c>
      <c r="Q143" s="28">
        <f>L143</f>
        <v>0</v>
      </c>
      <c r="W143">
        <f>IF(Source!BI55&lt;=1,H142, 0)</f>
        <v>6922.75</v>
      </c>
      <c r="X143">
        <f>IF(Source!BI55=2,H142, 0)</f>
        <v>0</v>
      </c>
      <c r="Y143">
        <f>IF(Source!BI55=3,H142, 0)</f>
        <v>0</v>
      </c>
      <c r="Z143">
        <f>IF(Source!BI55=4,H142, 0)</f>
        <v>0</v>
      </c>
    </row>
    <row r="144" spans="1:26" ht="28.5" x14ac:dyDescent="0.2">
      <c r="A144" s="51">
        <v>27</v>
      </c>
      <c r="B144" s="51" t="str">
        <f>Source!F56</f>
        <v>10-01-089-03</v>
      </c>
      <c r="C144" s="51" t="str">
        <f>Source!G56</f>
        <v>Антисептирование водными растворами: покрытий по фермам</v>
      </c>
      <c r="D144" s="40" t="str">
        <f>Source!H56</f>
        <v>100 м2</v>
      </c>
      <c r="E144" s="24">
        <f>Source!I56</f>
        <v>3.09</v>
      </c>
      <c r="F144" s="41">
        <f>Source!AL56+Source!AM56+Source!AO56</f>
        <v>215.73999999999998</v>
      </c>
      <c r="G144" s="42"/>
      <c r="H144" s="41"/>
      <c r="I144" s="42" t="str">
        <f>Source!BO56</f>
        <v/>
      </c>
      <c r="J144" s="42"/>
      <c r="K144" s="41"/>
      <c r="L144" s="43"/>
      <c r="S144">
        <f>ROUND((Source!FX56/100)*((ROUND(Source!AF56*Source!I56, 2)+ROUND(Source!AE56*Source!I56, 2))), 2)</f>
        <v>138.19999999999999</v>
      </c>
      <c r="T144">
        <f>Source!X56</f>
        <v>6316.82</v>
      </c>
      <c r="U144">
        <f>ROUND((Source!FY56/100)*((ROUND(Source!AF56*Source!I56, 2)+ROUND(Source!AE56*Source!I56, 2))), 2)</f>
        <v>59.82</v>
      </c>
      <c r="V144">
        <f>Source!Y56</f>
        <v>2734.37</v>
      </c>
    </row>
    <row r="145" spans="1:26" x14ac:dyDescent="0.2">
      <c r="C145" s="29" t="str">
        <f>"Объем: "&amp;Source!I56&amp;"=309/"&amp;"100"</f>
        <v>Объем: 3,09=309/100</v>
      </c>
    </row>
    <row r="146" spans="1:26" ht="14.25" x14ac:dyDescent="0.2">
      <c r="A146" s="51"/>
      <c r="B146" s="51"/>
      <c r="C146" s="51" t="s">
        <v>570</v>
      </c>
      <c r="D146" s="40"/>
      <c r="E146" s="24"/>
      <c r="F146" s="41">
        <f>Source!AO56</f>
        <v>35.22</v>
      </c>
      <c r="G146" s="42" t="str">
        <f>Source!DG56</f>
        <v>)*1,15</v>
      </c>
      <c r="H146" s="41">
        <f>ROUND(Source!AF56*Source!I56, 2)</f>
        <v>125.15</v>
      </c>
      <c r="I146" s="42"/>
      <c r="J146" s="42">
        <f>IF(Source!BA56&lt;&gt; 0, Source!BA56, 1)</f>
        <v>45.71</v>
      </c>
      <c r="K146" s="41">
        <f>Source!S56</f>
        <v>5720.38</v>
      </c>
      <c r="L146" s="43"/>
      <c r="R146">
        <f>H146</f>
        <v>125.15</v>
      </c>
    </row>
    <row r="147" spans="1:26" ht="14.25" x14ac:dyDescent="0.2">
      <c r="A147" s="51"/>
      <c r="B147" s="51"/>
      <c r="C147" s="51" t="s">
        <v>205</v>
      </c>
      <c r="D147" s="40"/>
      <c r="E147" s="24"/>
      <c r="F147" s="41">
        <f>Source!AM56</f>
        <v>8.23</v>
      </c>
      <c r="G147" s="42" t="str">
        <f>Source!DE56</f>
        <v>)*1,25</v>
      </c>
      <c r="H147" s="41">
        <f>ROUND(((((Source!ET56*1.25))-((Source!EU56*1.25)))+Source!AE56)*Source!I56, 2)</f>
        <v>31.78</v>
      </c>
      <c r="I147" s="42"/>
      <c r="J147" s="42">
        <f>IF(Source!BB56&lt;&gt; 0, Source!BB56, 1)</f>
        <v>13.41</v>
      </c>
      <c r="K147" s="41">
        <f>Source!Q56</f>
        <v>425.93</v>
      </c>
      <c r="L147" s="43"/>
    </row>
    <row r="148" spans="1:26" ht="14.25" x14ac:dyDescent="0.2">
      <c r="A148" s="51"/>
      <c r="B148" s="51"/>
      <c r="C148" s="51" t="s">
        <v>576</v>
      </c>
      <c r="D148" s="40"/>
      <c r="E148" s="24"/>
      <c r="F148" s="41">
        <f>Source!AN56</f>
        <v>0.73</v>
      </c>
      <c r="G148" s="42" t="str">
        <f>Source!DF56</f>
        <v>)*1,25</v>
      </c>
      <c r="H148" s="46">
        <f>ROUND(Source!AE56*Source!I56, 2)</f>
        <v>2.81</v>
      </c>
      <c r="I148" s="42"/>
      <c r="J148" s="42">
        <f>IF(Source!BS56&lt;&gt; 0, Source!BS56, 1)</f>
        <v>45.71</v>
      </c>
      <c r="K148" s="46">
        <f>Source!R56</f>
        <v>128.53</v>
      </c>
      <c r="L148" s="43"/>
      <c r="R148">
        <f>H148</f>
        <v>2.81</v>
      </c>
    </row>
    <row r="149" spans="1:26" ht="14.25" x14ac:dyDescent="0.2">
      <c r="A149" s="51"/>
      <c r="B149" s="51"/>
      <c r="C149" s="51" t="s">
        <v>577</v>
      </c>
      <c r="D149" s="40"/>
      <c r="E149" s="24"/>
      <c r="F149" s="41">
        <f>Source!AL56</f>
        <v>172.29</v>
      </c>
      <c r="G149" s="42" t="str">
        <f>Source!DD56</f>
        <v/>
      </c>
      <c r="H149" s="41">
        <f>ROUND(Source!AC56*Source!I56, 2)</f>
        <v>532.38</v>
      </c>
      <c r="I149" s="42"/>
      <c r="J149" s="42">
        <f>IF(Source!BC56&lt;&gt; 0, Source!BC56, 1)</f>
        <v>8.3800000000000008</v>
      </c>
      <c r="K149" s="41">
        <f>Source!P56</f>
        <v>4461.3100000000004</v>
      </c>
      <c r="L149" s="43"/>
    </row>
    <row r="150" spans="1:26" ht="14.25" x14ac:dyDescent="0.2">
      <c r="A150" s="51"/>
      <c r="B150" s="51"/>
      <c r="C150" s="51" t="s">
        <v>571</v>
      </c>
      <c r="D150" s="40" t="s">
        <v>572</v>
      </c>
      <c r="E150" s="24">
        <f>Source!BZ56</f>
        <v>108</v>
      </c>
      <c r="F150" s="52"/>
      <c r="G150" s="42"/>
      <c r="H150" s="41">
        <f>SUM(S144:S153)</f>
        <v>138.19999999999999</v>
      </c>
      <c r="I150" s="44"/>
      <c r="J150" s="33">
        <f>Source!AT56</f>
        <v>108</v>
      </c>
      <c r="K150" s="41">
        <f>SUM(T144:T153)</f>
        <v>6316.82</v>
      </c>
      <c r="L150" s="43"/>
    </row>
    <row r="151" spans="1:26" ht="14.25" x14ac:dyDescent="0.2">
      <c r="A151" s="51"/>
      <c r="B151" s="51"/>
      <c r="C151" s="51" t="s">
        <v>573</v>
      </c>
      <c r="D151" s="40" t="s">
        <v>572</v>
      </c>
      <c r="E151" s="24">
        <f>Source!CA56</f>
        <v>55</v>
      </c>
      <c r="F151" s="60" t="str">
        <f>CONCATENATE(" )", Source!DM56, Source!FU56, "=", Source!FY56)</f>
        <v xml:space="preserve"> ))*0,85=46,75</v>
      </c>
      <c r="G151" s="61"/>
      <c r="H151" s="41">
        <f>SUM(U144:U153)</f>
        <v>59.82</v>
      </c>
      <c r="I151" s="44"/>
      <c r="J151" s="33">
        <f>Source!AU56</f>
        <v>46.75</v>
      </c>
      <c r="K151" s="41">
        <f>SUM(V144:V153)</f>
        <v>2734.37</v>
      </c>
      <c r="L151" s="43"/>
    </row>
    <row r="152" spans="1:26" ht="14.25" x14ac:dyDescent="0.2">
      <c r="A152" s="51"/>
      <c r="B152" s="51"/>
      <c r="C152" s="51" t="s">
        <v>574</v>
      </c>
      <c r="D152" s="40" t="s">
        <v>575</v>
      </c>
      <c r="E152" s="24">
        <f>Source!AQ56</f>
        <v>4.03</v>
      </c>
      <c r="F152" s="41"/>
      <c r="G152" s="42" t="str">
        <f>Source!DI56</f>
        <v>)*1,15</v>
      </c>
      <c r="H152" s="41"/>
      <c r="I152" s="42"/>
      <c r="J152" s="42"/>
      <c r="K152" s="41"/>
      <c r="L152" s="47">
        <f>Source!U56</f>
        <v>14.320604999999999</v>
      </c>
    </row>
    <row r="153" spans="1:26" ht="28.5" x14ac:dyDescent="0.2">
      <c r="A153" s="50">
        <v>27.1</v>
      </c>
      <c r="B153" s="50" t="str">
        <f>Source!F57</f>
        <v>01.3.05.23-0129</v>
      </c>
      <c r="C153" s="50" t="str">
        <f>Source!G57</f>
        <v>Натрий фтористый технический, марка А, сорт I</v>
      </c>
      <c r="D153" s="34" t="str">
        <f>Source!H57</f>
        <v>т</v>
      </c>
      <c r="E153" s="35">
        <f>Source!I57</f>
        <v>-2.7810000000000001E-2</v>
      </c>
      <c r="F153" s="36">
        <f>Source!AL57+Source!AM57+Source!AO57</f>
        <v>19100</v>
      </c>
      <c r="G153" s="48" t="s">
        <v>3</v>
      </c>
      <c r="H153" s="36">
        <f>ROUND(Source!AC57*Source!I57, 2)+ROUND((((Source!ET57)-(Source!EU57))+Source!AE57)*Source!I57, 2)+ROUND(Source!AF57*Source!I57, 2)</f>
        <v>-531.16999999999996</v>
      </c>
      <c r="I153" s="37"/>
      <c r="J153" s="37">
        <f>IF(Source!BC57&lt;&gt; 0, Source!BC57, 1)</f>
        <v>8.3800000000000008</v>
      </c>
      <c r="K153" s="36">
        <f>Source!O57</f>
        <v>-4451.21</v>
      </c>
      <c r="L153" s="38"/>
      <c r="S153">
        <f>ROUND((Source!FX57/100)*((ROUND(Source!AF57*Source!I57, 2)+ROUND(Source!AE57*Source!I57, 2))), 2)</f>
        <v>0</v>
      </c>
      <c r="T153">
        <f>Source!X57</f>
        <v>0</v>
      </c>
      <c r="U153">
        <f>ROUND((Source!FY57/100)*((ROUND(Source!AF57*Source!I57, 2)+ROUND(Source!AE57*Source!I57, 2))), 2)</f>
        <v>0</v>
      </c>
      <c r="V153">
        <f>Source!Y57</f>
        <v>0</v>
      </c>
      <c r="W153">
        <f>IF(Source!BI57&lt;=1,H153, 0)</f>
        <v>-531.16999999999996</v>
      </c>
      <c r="X153">
        <f>IF(Source!BI57=2,H153, 0)</f>
        <v>0</v>
      </c>
      <c r="Y153">
        <f>IF(Source!BI57=3,H153, 0)</f>
        <v>0</v>
      </c>
      <c r="Z153">
        <f>IF(Source!BI57=4,H153, 0)</f>
        <v>0</v>
      </c>
    </row>
    <row r="154" spans="1:26" ht="15" x14ac:dyDescent="0.25">
      <c r="G154" s="57">
        <f>H146+H147+H149+H150+H151+SUM(H153:H153)</f>
        <v>356.16000000000008</v>
      </c>
      <c r="H154" s="57"/>
      <c r="J154" s="57">
        <f>K146+K147+K149+K150+K151+SUM(K153:K153)</f>
        <v>15207.600000000002</v>
      </c>
      <c r="K154" s="57"/>
      <c r="L154" s="39">
        <f>Source!U56</f>
        <v>14.320604999999999</v>
      </c>
      <c r="O154" s="28">
        <f>G154</f>
        <v>356.16000000000008</v>
      </c>
      <c r="P154" s="28">
        <f>J154</f>
        <v>15207.600000000002</v>
      </c>
      <c r="Q154" s="28">
        <f>L154</f>
        <v>14.320604999999999</v>
      </c>
      <c r="W154">
        <f>IF(Source!BI56&lt;=1,H146+H147+H149+H150+H151, 0)</f>
        <v>887.33</v>
      </c>
      <c r="X154">
        <f>IF(Source!BI56=2,H146+H147+H149+H150+H151, 0)</f>
        <v>0</v>
      </c>
      <c r="Y154">
        <f>IF(Source!BI56=3,H146+H147+H149+H150+H151, 0)</f>
        <v>0</v>
      </c>
      <c r="Z154">
        <f>IF(Source!BI56=4,H146+H147+H149+H150+H151, 0)</f>
        <v>0</v>
      </c>
    </row>
    <row r="155" spans="1:26" ht="54" x14ac:dyDescent="0.2">
      <c r="A155" s="50">
        <v>28</v>
      </c>
      <c r="B155" s="50" t="str">
        <f>Source!F58</f>
        <v>Цена поставщика</v>
      </c>
      <c r="C155" s="50" t="s">
        <v>591</v>
      </c>
      <c r="D155" s="34" t="str">
        <f>Source!H58</f>
        <v>л</v>
      </c>
      <c r="E155" s="35">
        <f>Source!I58</f>
        <v>102.89700000000001</v>
      </c>
      <c r="F155" s="36">
        <f>Source!AL58</f>
        <v>10.57</v>
      </c>
      <c r="G155" s="37" t="str">
        <f>Source!DD58</f>
        <v/>
      </c>
      <c r="H155" s="36">
        <f>ROUND(Source!AC58*Source!I58, 2)</f>
        <v>1087.6199999999999</v>
      </c>
      <c r="I155" s="37" t="str">
        <f>Source!BO58</f>
        <v/>
      </c>
      <c r="J155" s="37">
        <f>IF(Source!BC58&lt;&gt; 0, Source!BC58, 1)</f>
        <v>8.3800000000000008</v>
      </c>
      <c r="K155" s="36">
        <f>Source!P58</f>
        <v>9114.27</v>
      </c>
      <c r="L155" s="38"/>
      <c r="S155">
        <f>ROUND((Source!FX58/100)*((ROUND(Source!AF58*Source!I58, 2)+ROUND(Source!AE58*Source!I58, 2))), 2)</f>
        <v>0</v>
      </c>
      <c r="T155">
        <f>Source!X58</f>
        <v>0</v>
      </c>
      <c r="U155">
        <f>ROUND((Source!FY58/100)*((ROUND(Source!AF58*Source!I58, 2)+ROUND(Source!AE58*Source!I58, 2))), 2)</f>
        <v>0</v>
      </c>
      <c r="V155">
        <f>Source!Y58</f>
        <v>0</v>
      </c>
    </row>
    <row r="156" spans="1:26" ht="15" x14ac:dyDescent="0.25">
      <c r="G156" s="57">
        <f>H155</f>
        <v>1087.6199999999999</v>
      </c>
      <c r="H156" s="57"/>
      <c r="J156" s="57">
        <f>K155</f>
        <v>9114.27</v>
      </c>
      <c r="K156" s="57"/>
      <c r="L156" s="39">
        <f>Source!U58</f>
        <v>0</v>
      </c>
      <c r="O156" s="28">
        <f>G156</f>
        <v>1087.6199999999999</v>
      </c>
      <c r="P156" s="28">
        <f>J156</f>
        <v>9114.27</v>
      </c>
      <c r="Q156" s="28">
        <f>L156</f>
        <v>0</v>
      </c>
      <c r="W156">
        <f>IF(Source!BI58&lt;=1,H155, 0)</f>
        <v>1087.6199999999999</v>
      </c>
      <c r="X156">
        <f>IF(Source!BI58=2,H155, 0)</f>
        <v>0</v>
      </c>
      <c r="Y156">
        <f>IF(Source!BI58=3,H155, 0)</f>
        <v>0</v>
      </c>
      <c r="Z156">
        <f>IF(Source!BI58=4,H155, 0)</f>
        <v>0</v>
      </c>
    </row>
    <row r="157" spans="1:26" ht="57" x14ac:dyDescent="0.2">
      <c r="A157" s="51">
        <v>29</v>
      </c>
      <c r="B157" s="51" t="str">
        <f>Source!F59</f>
        <v>58-20-3</v>
      </c>
      <c r="C157" s="51" t="str">
        <f>Source!G59</f>
        <v>Смена обделок из листовой стали (брандмауэров и парапетов без обделки боковых стенок) шириной: до 1 м</v>
      </c>
      <c r="D157" s="40" t="str">
        <f>Source!H59</f>
        <v>100 м</v>
      </c>
      <c r="E157" s="24">
        <f>Source!I59</f>
        <v>0.28749999999999998</v>
      </c>
      <c r="F157" s="41">
        <f>Source!AL59+Source!AM59+Source!AO59</f>
        <v>753.65</v>
      </c>
      <c r="G157" s="42"/>
      <c r="H157" s="41"/>
      <c r="I157" s="42" t="str">
        <f>Source!BO59</f>
        <v/>
      </c>
      <c r="J157" s="42"/>
      <c r="K157" s="41"/>
      <c r="L157" s="43"/>
      <c r="S157">
        <f>ROUND((Source!FX59/100)*((ROUND(Source!AF59*Source!I59, 2)+ROUND(Source!AE59*Source!I59, 2))), 2)</f>
        <v>155.88999999999999</v>
      </c>
      <c r="T157">
        <f>Source!X59</f>
        <v>7125.7</v>
      </c>
      <c r="U157">
        <f>ROUND((Source!FY59/100)*((ROUND(Source!AF59*Source!I59, 2)+ROUND(Source!AE59*Source!I59, 2))), 2)</f>
        <v>79.680000000000007</v>
      </c>
      <c r="V157">
        <f>Source!Y59</f>
        <v>3642.02</v>
      </c>
    </row>
    <row r="158" spans="1:26" ht="14.25" x14ac:dyDescent="0.2">
      <c r="A158" s="51"/>
      <c r="B158" s="51"/>
      <c r="C158" s="51" t="s">
        <v>570</v>
      </c>
      <c r="D158" s="40"/>
      <c r="E158" s="24"/>
      <c r="F158" s="41">
        <f>Source!AO59</f>
        <v>599.23</v>
      </c>
      <c r="G158" s="42" t="str">
        <f>Source!DG59</f>
        <v/>
      </c>
      <c r="H158" s="41">
        <f>ROUND(Source!AF59*Source!I59, 2)</f>
        <v>172.28</v>
      </c>
      <c r="I158" s="42"/>
      <c r="J158" s="42">
        <f>IF(Source!BA59&lt;&gt; 0, Source!BA59, 1)</f>
        <v>45.71</v>
      </c>
      <c r="K158" s="41">
        <f>Source!S59</f>
        <v>7874.86</v>
      </c>
      <c r="L158" s="43"/>
      <c r="R158">
        <f>H158</f>
        <v>172.28</v>
      </c>
    </row>
    <row r="159" spans="1:26" ht="14.25" x14ac:dyDescent="0.2">
      <c r="A159" s="51"/>
      <c r="B159" s="51"/>
      <c r="C159" s="51" t="s">
        <v>205</v>
      </c>
      <c r="D159" s="40"/>
      <c r="E159" s="24"/>
      <c r="F159" s="41">
        <f>Source!AM59</f>
        <v>10.23</v>
      </c>
      <c r="G159" s="42" t="str">
        <f>Source!DE59</f>
        <v/>
      </c>
      <c r="H159" s="41">
        <f>ROUND((((Source!ET59)-(Source!EU59))+Source!AE59)*Source!I59, 2)</f>
        <v>2.94</v>
      </c>
      <c r="I159" s="42"/>
      <c r="J159" s="42">
        <f>IF(Source!BB59&lt;&gt; 0, Source!BB59, 1)</f>
        <v>13.41</v>
      </c>
      <c r="K159" s="41">
        <f>Source!Q59</f>
        <v>39.44</v>
      </c>
      <c r="L159" s="43"/>
    </row>
    <row r="160" spans="1:26" ht="14.25" x14ac:dyDescent="0.2">
      <c r="A160" s="51"/>
      <c r="B160" s="51"/>
      <c r="C160" s="51" t="s">
        <v>576</v>
      </c>
      <c r="D160" s="40"/>
      <c r="E160" s="24"/>
      <c r="F160" s="41">
        <f>Source!AN59</f>
        <v>3.24</v>
      </c>
      <c r="G160" s="42" t="str">
        <f>Source!DF59</f>
        <v/>
      </c>
      <c r="H160" s="46">
        <f>ROUND(Source!AE59*Source!I59, 2)</f>
        <v>0.93</v>
      </c>
      <c r="I160" s="42"/>
      <c r="J160" s="42">
        <f>IF(Source!BS59&lt;&gt; 0, Source!BS59, 1)</f>
        <v>45.71</v>
      </c>
      <c r="K160" s="46">
        <f>Source!R59</f>
        <v>42.58</v>
      </c>
      <c r="L160" s="43"/>
      <c r="R160">
        <f>H160</f>
        <v>0.93</v>
      </c>
    </row>
    <row r="161" spans="1:26" ht="14.25" x14ac:dyDescent="0.2">
      <c r="A161" s="51"/>
      <c r="B161" s="51"/>
      <c r="C161" s="51" t="s">
        <v>577</v>
      </c>
      <c r="D161" s="40"/>
      <c r="E161" s="24"/>
      <c r="F161" s="41">
        <f>Source!AL59</f>
        <v>144.19</v>
      </c>
      <c r="G161" s="42" t="str">
        <f>Source!DD59</f>
        <v/>
      </c>
      <c r="H161" s="41">
        <f>ROUND(Source!AC59*Source!I59, 2)</f>
        <v>41.45</v>
      </c>
      <c r="I161" s="42"/>
      <c r="J161" s="42">
        <f>IF(Source!BC59&lt;&gt; 0, Source!BC59, 1)</f>
        <v>8.3800000000000008</v>
      </c>
      <c r="K161" s="41">
        <f>Source!P59</f>
        <v>347.39</v>
      </c>
      <c r="L161" s="43"/>
    </row>
    <row r="162" spans="1:26" ht="14.25" x14ac:dyDescent="0.2">
      <c r="A162" s="51"/>
      <c r="B162" s="51"/>
      <c r="C162" s="51" t="s">
        <v>571</v>
      </c>
      <c r="D162" s="40" t="s">
        <v>572</v>
      </c>
      <c r="E162" s="24">
        <f>Source!BZ59</f>
        <v>90</v>
      </c>
      <c r="F162" s="52"/>
      <c r="G162" s="42"/>
      <c r="H162" s="41">
        <f>SUM(S157:S164)</f>
        <v>155.88999999999999</v>
      </c>
      <c r="I162" s="44"/>
      <c r="J162" s="33">
        <f>Source!AT59</f>
        <v>90</v>
      </c>
      <c r="K162" s="41">
        <f>SUM(T157:T164)</f>
        <v>7125.7</v>
      </c>
      <c r="L162" s="43"/>
    </row>
    <row r="163" spans="1:26" ht="14.25" x14ac:dyDescent="0.2">
      <c r="A163" s="51"/>
      <c r="B163" s="51"/>
      <c r="C163" s="51" t="s">
        <v>573</v>
      </c>
      <c r="D163" s="40" t="s">
        <v>572</v>
      </c>
      <c r="E163" s="24">
        <f>Source!CA59</f>
        <v>46</v>
      </c>
      <c r="F163" s="52"/>
      <c r="G163" s="42"/>
      <c r="H163" s="41">
        <f>SUM(U157:U164)</f>
        <v>79.680000000000007</v>
      </c>
      <c r="I163" s="44"/>
      <c r="J163" s="33">
        <f>Source!AU59</f>
        <v>46</v>
      </c>
      <c r="K163" s="41">
        <f>SUM(V157:V164)</f>
        <v>3642.02</v>
      </c>
      <c r="L163" s="43"/>
    </row>
    <row r="164" spans="1:26" ht="14.25" x14ac:dyDescent="0.2">
      <c r="A164" s="50"/>
      <c r="B164" s="50"/>
      <c r="C164" s="50" t="s">
        <v>574</v>
      </c>
      <c r="D164" s="34" t="s">
        <v>575</v>
      </c>
      <c r="E164" s="35">
        <f>Source!AQ59</f>
        <v>70.25</v>
      </c>
      <c r="F164" s="36"/>
      <c r="G164" s="37" t="str">
        <f>Source!DI59</f>
        <v/>
      </c>
      <c r="H164" s="36"/>
      <c r="I164" s="37"/>
      <c r="J164" s="37"/>
      <c r="K164" s="36"/>
      <c r="L164" s="45">
        <f>Source!U59</f>
        <v>20.196874999999999</v>
      </c>
    </row>
    <row r="165" spans="1:26" ht="15" x14ac:dyDescent="0.25">
      <c r="G165" s="57">
        <f>H158+H159+H161+H162+H163</f>
        <v>452.24</v>
      </c>
      <c r="H165" s="57"/>
      <c r="J165" s="57">
        <f>K158+K159+K161+K162+K163</f>
        <v>19029.41</v>
      </c>
      <c r="K165" s="57"/>
      <c r="L165" s="39">
        <f>Source!U59</f>
        <v>20.196874999999999</v>
      </c>
      <c r="O165" s="28">
        <f>G165</f>
        <v>452.24</v>
      </c>
      <c r="P165" s="28">
        <f>J165</f>
        <v>19029.41</v>
      </c>
      <c r="Q165" s="28">
        <f>L165</f>
        <v>20.196874999999999</v>
      </c>
      <c r="W165">
        <f>IF(Source!BI59&lt;=1,H158+H159+H161+H162+H163, 0)</f>
        <v>452.24</v>
      </c>
      <c r="X165">
        <f>IF(Source!BI59=2,H158+H159+H161+H162+H163, 0)</f>
        <v>0</v>
      </c>
      <c r="Y165">
        <f>IF(Source!BI59=3,H158+H159+H161+H162+H163, 0)</f>
        <v>0</v>
      </c>
      <c r="Z165">
        <f>IF(Source!BI59=4,H158+H159+H161+H162+H163, 0)</f>
        <v>0</v>
      </c>
    </row>
    <row r="166" spans="1:26" ht="54" x14ac:dyDescent="0.2">
      <c r="A166" s="50">
        <v>30</v>
      </c>
      <c r="B166" s="50" t="str">
        <f>Source!F60</f>
        <v>Цена поставщика</v>
      </c>
      <c r="C166" s="50" t="s">
        <v>589</v>
      </c>
      <c r="D166" s="34" t="str">
        <f>Source!H60</f>
        <v>т</v>
      </c>
      <c r="E166" s="35">
        <f>Source!I60</f>
        <v>0.15429999999999999</v>
      </c>
      <c r="F166" s="36">
        <f>Source!AL60</f>
        <v>12002.95</v>
      </c>
      <c r="G166" s="37" t="str">
        <f>Source!DD60</f>
        <v/>
      </c>
      <c r="H166" s="36">
        <f>ROUND(Source!AC60*Source!I60, 2)</f>
        <v>1852.06</v>
      </c>
      <c r="I166" s="37" t="str">
        <f>Source!BO60</f>
        <v/>
      </c>
      <c r="J166" s="37">
        <f>IF(Source!BC60&lt;&gt; 0, Source!BC60, 1)</f>
        <v>8.3800000000000008</v>
      </c>
      <c r="K166" s="36">
        <f>Source!P60</f>
        <v>15520.22</v>
      </c>
      <c r="L166" s="38"/>
      <c r="S166">
        <f>ROUND((Source!FX60/100)*((ROUND(Source!AF60*Source!I60, 2)+ROUND(Source!AE60*Source!I60, 2))), 2)</f>
        <v>0</v>
      </c>
      <c r="T166">
        <f>Source!X60</f>
        <v>0</v>
      </c>
      <c r="U166">
        <f>ROUND((Source!FY60/100)*((ROUND(Source!AF60*Source!I60, 2)+ROUND(Source!AE60*Source!I60, 2))), 2)</f>
        <v>0</v>
      </c>
      <c r="V166">
        <f>Source!Y60</f>
        <v>0</v>
      </c>
    </row>
    <row r="167" spans="1:26" ht="15" x14ac:dyDescent="0.25">
      <c r="G167" s="57">
        <f>H166</f>
        <v>1852.06</v>
      </c>
      <c r="H167" s="57"/>
      <c r="J167" s="57">
        <f>K166</f>
        <v>15520.22</v>
      </c>
      <c r="K167" s="57"/>
      <c r="L167" s="39">
        <f>Source!U60</f>
        <v>0</v>
      </c>
      <c r="O167" s="28">
        <f>G167</f>
        <v>1852.06</v>
      </c>
      <c r="P167" s="28">
        <f>J167</f>
        <v>15520.22</v>
      </c>
      <c r="Q167" s="28">
        <f>L167</f>
        <v>0</v>
      </c>
      <c r="W167">
        <f>IF(Source!BI60&lt;=1,H166, 0)</f>
        <v>1852.06</v>
      </c>
      <c r="X167">
        <f>IF(Source!BI60=2,H166, 0)</f>
        <v>0</v>
      </c>
      <c r="Y167">
        <f>IF(Source!BI60=3,H166, 0)</f>
        <v>0</v>
      </c>
      <c r="Z167">
        <f>IF(Source!BI60=4,H166, 0)</f>
        <v>0</v>
      </c>
    </row>
    <row r="168" spans="1:26" ht="54" x14ac:dyDescent="0.2">
      <c r="A168" s="51">
        <v>31</v>
      </c>
      <c r="B168" s="51" t="str">
        <f>Source!F61</f>
        <v>Цена поставщика</v>
      </c>
      <c r="C168" s="51" t="s">
        <v>578</v>
      </c>
      <c r="D168" s="40" t="str">
        <f>Source!H61</f>
        <v>шт.</v>
      </c>
      <c r="E168" s="24">
        <f>Source!I61</f>
        <v>143.75</v>
      </c>
      <c r="F168" s="41">
        <f>Source!AL61</f>
        <v>0.54</v>
      </c>
      <c r="G168" s="42" t="str">
        <f>Source!DD61</f>
        <v/>
      </c>
      <c r="H168" s="41">
        <f>ROUND(Source!AC61*Source!I61, 2)</f>
        <v>77.63</v>
      </c>
      <c r="I168" s="42" t="str">
        <f>Source!BO61</f>
        <v/>
      </c>
      <c r="J168" s="42">
        <f>IF(Source!BC61&lt;&gt; 0, Source!BC61, 1)</f>
        <v>8.3800000000000008</v>
      </c>
      <c r="K168" s="41">
        <f>Source!P61</f>
        <v>650.5</v>
      </c>
      <c r="L168" s="43"/>
      <c r="S168">
        <f>ROUND((Source!FX61/100)*((ROUND(Source!AF61*Source!I61, 2)+ROUND(Source!AE61*Source!I61, 2))), 2)</f>
        <v>0</v>
      </c>
      <c r="T168">
        <f>Source!X61</f>
        <v>0</v>
      </c>
      <c r="U168">
        <f>ROUND((Source!FY61/100)*((ROUND(Source!AF61*Source!I61, 2)+ROUND(Source!AE61*Source!I61, 2))), 2)</f>
        <v>0</v>
      </c>
      <c r="V168">
        <f>Source!Y61</f>
        <v>0</v>
      </c>
    </row>
    <row r="169" spans="1:26" x14ac:dyDescent="0.2">
      <c r="A169" s="30"/>
      <c r="B169" s="30"/>
      <c r="C169" s="31" t="str">
        <f>"Объем: "&amp;Source!I61&amp;"="&amp;Source!I59&amp;"*"&amp;"500"</f>
        <v>Объем: 143,75=0,2875*500</v>
      </c>
      <c r="D169" s="30"/>
      <c r="E169" s="30"/>
      <c r="F169" s="30"/>
      <c r="G169" s="30"/>
      <c r="H169" s="30"/>
      <c r="I169" s="30"/>
      <c r="J169" s="30"/>
      <c r="K169" s="30"/>
      <c r="L169" s="30"/>
    </row>
    <row r="170" spans="1:26" ht="15" x14ac:dyDescent="0.25">
      <c r="G170" s="57">
        <f>H168</f>
        <v>77.63</v>
      </c>
      <c r="H170" s="57"/>
      <c r="J170" s="57">
        <f>K168</f>
        <v>650.5</v>
      </c>
      <c r="K170" s="57"/>
      <c r="L170" s="39">
        <f>Source!U61</f>
        <v>0</v>
      </c>
      <c r="O170" s="28">
        <f>G170</f>
        <v>77.63</v>
      </c>
      <c r="P170" s="28">
        <f>J170</f>
        <v>650.5</v>
      </c>
      <c r="Q170" s="28">
        <f>L170</f>
        <v>0</v>
      </c>
      <c r="W170">
        <f>IF(Source!BI61&lt;=1,H168, 0)</f>
        <v>77.63</v>
      </c>
      <c r="X170">
        <f>IF(Source!BI61=2,H168, 0)</f>
        <v>0</v>
      </c>
      <c r="Y170">
        <f>IF(Source!BI61=3,H168, 0)</f>
        <v>0</v>
      </c>
      <c r="Z170">
        <f>IF(Source!BI61=4,H168, 0)</f>
        <v>0</v>
      </c>
    </row>
    <row r="171" spans="1:26" ht="42.75" x14ac:dyDescent="0.2">
      <c r="A171" s="50">
        <v>32</v>
      </c>
      <c r="B171" s="50" t="str">
        <f>Source!F62</f>
        <v>т01-01-01-041</v>
      </c>
      <c r="C171" s="50" t="str">
        <f>Source!G62</f>
        <v>Погрузка при автомобильных перевозках мусора строительного с погрузкой вручную</v>
      </c>
      <c r="D171" s="34" t="str">
        <f>Source!H62</f>
        <v>1 т груза</v>
      </c>
      <c r="E171" s="35">
        <f>Source!I62</f>
        <v>0.61699999999999999</v>
      </c>
      <c r="F171" s="36">
        <f>Source!AK62</f>
        <v>42.98</v>
      </c>
      <c r="G171" s="37" t="str">
        <f>Source!DC62</f>
        <v/>
      </c>
      <c r="H171" s="36">
        <f>ROUND(Source!AB62*Source!I62, 2)</f>
        <v>26.52</v>
      </c>
      <c r="I171" s="37" t="str">
        <f>Source!BO62</f>
        <v/>
      </c>
      <c r="J171" s="37">
        <f>Source!AZ62</f>
        <v>14.68</v>
      </c>
      <c r="K171" s="36">
        <f>Source!GM62</f>
        <v>389.29</v>
      </c>
      <c r="L171" s="38"/>
      <c r="S171">
        <f>ROUND((Source!FX62/100)*((ROUND(0*Source!I62, 2)+ROUND(0*Source!I62, 2))), 2)</f>
        <v>0</v>
      </c>
      <c r="T171">
        <f>Source!X62</f>
        <v>0</v>
      </c>
      <c r="U171">
        <f>ROUND((Source!FY62/100)*((ROUND(0*Source!I62, 2)+ROUND(0*Source!I62, 2))), 2)</f>
        <v>0</v>
      </c>
      <c r="V171">
        <f>Source!Y62</f>
        <v>0</v>
      </c>
    </row>
    <row r="172" spans="1:26" ht="15" x14ac:dyDescent="0.25">
      <c r="G172" s="57">
        <f>H171</f>
        <v>26.52</v>
      </c>
      <c r="H172" s="57"/>
      <c r="J172" s="57">
        <f>K171</f>
        <v>389.29</v>
      </c>
      <c r="K172" s="57"/>
      <c r="L172" s="39">
        <f>Source!U62</f>
        <v>0</v>
      </c>
      <c r="O172" s="28">
        <f>G172</f>
        <v>26.52</v>
      </c>
      <c r="P172" s="28">
        <f>J172</f>
        <v>389.29</v>
      </c>
      <c r="Q172" s="28">
        <f>L172</f>
        <v>0</v>
      </c>
      <c r="W172">
        <f>IF(Source!BI62&lt;=1,H171, 0)</f>
        <v>26.52</v>
      </c>
      <c r="X172">
        <f>IF(Source!BI62=2,H171, 0)</f>
        <v>0</v>
      </c>
      <c r="Y172">
        <f>IF(Source!BI62=3,H171, 0)</f>
        <v>0</v>
      </c>
      <c r="Z172">
        <f>IF(Source!BI62=4,H171, 0)</f>
        <v>0</v>
      </c>
    </row>
    <row r="173" spans="1:26" ht="57" x14ac:dyDescent="0.2">
      <c r="A173" s="50">
        <v>33</v>
      </c>
      <c r="B173" s="50" t="str">
        <f>Source!F63</f>
        <v>т01-01-01-043</v>
      </c>
      <c r="C173" s="50" t="str">
        <f>Source!G63</f>
        <v>Погрузка при автомобильных перевозках мусора строительного с погрузкой экскаваторами емкостью ковша до 0,5 м3</v>
      </c>
      <c r="D173" s="34" t="str">
        <f>Source!H63</f>
        <v>1 т груза</v>
      </c>
      <c r="E173" s="35">
        <f>Source!I63</f>
        <v>5.5529999999999999</v>
      </c>
      <c r="F173" s="36">
        <f>Source!AK63</f>
        <v>3.28</v>
      </c>
      <c r="G173" s="37" t="str">
        <f>Source!DC63</f>
        <v/>
      </c>
      <c r="H173" s="36">
        <f>ROUND(Source!AB63*Source!I63, 2)</f>
        <v>18.21</v>
      </c>
      <c r="I173" s="37" t="str">
        <f>Source!BO63</f>
        <v/>
      </c>
      <c r="J173" s="37">
        <f>Source!AZ63</f>
        <v>14.68</v>
      </c>
      <c r="K173" s="36">
        <f>Source!GM63</f>
        <v>267.38</v>
      </c>
      <c r="L173" s="38"/>
      <c r="S173">
        <f>ROUND((Source!FX63/100)*((ROUND(0*Source!I63, 2)+ROUND(0*Source!I63, 2))), 2)</f>
        <v>0</v>
      </c>
      <c r="T173">
        <f>Source!X63</f>
        <v>0</v>
      </c>
      <c r="U173">
        <f>ROUND((Source!FY63/100)*((ROUND(0*Source!I63, 2)+ROUND(0*Source!I63, 2))), 2)</f>
        <v>0</v>
      </c>
      <c r="V173">
        <f>Source!Y63</f>
        <v>0</v>
      </c>
    </row>
    <row r="174" spans="1:26" ht="15" x14ac:dyDescent="0.25">
      <c r="G174" s="57">
        <f>H173</f>
        <v>18.21</v>
      </c>
      <c r="H174" s="57"/>
      <c r="J174" s="57">
        <f>K173</f>
        <v>267.38</v>
      </c>
      <c r="K174" s="57"/>
      <c r="L174" s="39">
        <f>Source!U63</f>
        <v>0</v>
      </c>
      <c r="O174" s="28">
        <f>G174</f>
        <v>18.21</v>
      </c>
      <c r="P174" s="28">
        <f>J174</f>
        <v>267.38</v>
      </c>
      <c r="Q174" s="28">
        <f>L174</f>
        <v>0</v>
      </c>
      <c r="W174">
        <f>IF(Source!BI63&lt;=1,H173, 0)</f>
        <v>18.21</v>
      </c>
      <c r="X174">
        <f>IF(Source!BI63=2,H173, 0)</f>
        <v>0</v>
      </c>
      <c r="Y174">
        <f>IF(Source!BI63=3,H173, 0)</f>
        <v>0</v>
      </c>
      <c r="Z174">
        <f>IF(Source!BI63=4,H173, 0)</f>
        <v>0</v>
      </c>
    </row>
    <row r="175" spans="1:26" ht="57" x14ac:dyDescent="0.2">
      <c r="A175" s="51">
        <v>34</v>
      </c>
      <c r="B175" s="51" t="str">
        <f>Source!F64</f>
        <v>т03-21-01-002</v>
      </c>
      <c r="C175" s="51" t="str">
        <f>Source!G64</f>
        <v>Перевозка грузов I класса автомобилями-самосвалами грузоподъемностью 10 т работающих вне карьера на расстояние до 2 км</v>
      </c>
      <c r="D175" s="40" t="str">
        <f>Source!H64</f>
        <v>1 т груза</v>
      </c>
      <c r="E175" s="24">
        <f>Source!I64</f>
        <v>6.17</v>
      </c>
      <c r="F175" s="41">
        <f>Source!AK64</f>
        <v>3.86</v>
      </c>
      <c r="G175" s="42" t="str">
        <f>Source!DC64</f>
        <v/>
      </c>
      <c r="H175" s="41">
        <f>ROUND(Source!AB64*Source!I64, 2)</f>
        <v>23.82</v>
      </c>
      <c r="I175" s="42" t="str">
        <f>Source!BO64</f>
        <v/>
      </c>
      <c r="J175" s="42">
        <f>Source!AZ64</f>
        <v>14.68</v>
      </c>
      <c r="K175" s="41">
        <f>Source!GM64</f>
        <v>349.62</v>
      </c>
      <c r="L175" s="43"/>
      <c r="S175">
        <f>ROUND((Source!FX64/100)*((ROUND(0*Source!I64, 2)+ROUND(0*Source!I64, 2))), 2)</f>
        <v>0</v>
      </c>
      <c r="T175">
        <f>Source!X64</f>
        <v>0</v>
      </c>
      <c r="U175">
        <f>ROUND((Source!FY64/100)*((ROUND(0*Source!I64, 2)+ROUND(0*Source!I64, 2))), 2)</f>
        <v>0</v>
      </c>
      <c r="V175">
        <f>Source!Y64</f>
        <v>0</v>
      </c>
    </row>
    <row r="176" spans="1:26" x14ac:dyDescent="0.2">
      <c r="A176" s="30"/>
      <c r="B176" s="30"/>
      <c r="C176" s="31" t="str">
        <f>"Объем: "&amp;Source!I64&amp;"="&amp;Source!I63&amp;"+"&amp;""&amp;Source!I62&amp;""</f>
        <v>Объем: 6,17=5,553+0,617</v>
      </c>
      <c r="D176" s="30"/>
      <c r="E176" s="30"/>
      <c r="F176" s="30"/>
      <c r="G176" s="30"/>
      <c r="H176" s="30"/>
      <c r="I176" s="30"/>
      <c r="J176" s="30"/>
      <c r="K176" s="30"/>
      <c r="L176" s="30"/>
    </row>
    <row r="177" spans="1:32" ht="15" x14ac:dyDescent="0.25">
      <c r="G177" s="57">
        <f>H175</f>
        <v>23.82</v>
      </c>
      <c r="H177" s="57"/>
      <c r="J177" s="57">
        <f>K175</f>
        <v>349.62</v>
      </c>
      <c r="K177" s="57"/>
      <c r="L177" s="39">
        <f>Source!U64</f>
        <v>0</v>
      </c>
      <c r="O177" s="28">
        <f>G177</f>
        <v>23.82</v>
      </c>
      <c r="P177" s="28">
        <f>J177</f>
        <v>349.62</v>
      </c>
      <c r="Q177" s="28">
        <f>L177</f>
        <v>0</v>
      </c>
      <c r="W177">
        <f>IF(Source!BI64&lt;=1,H175, 0)</f>
        <v>23.82</v>
      </c>
      <c r="X177">
        <f>IF(Source!BI64=2,H175, 0)</f>
        <v>0</v>
      </c>
      <c r="Y177">
        <f>IF(Source!BI64=3,H175, 0)</f>
        <v>0</v>
      </c>
      <c r="Z177">
        <f>IF(Source!BI64=4,H175, 0)</f>
        <v>0</v>
      </c>
    </row>
    <row r="179" spans="1:32" ht="15" x14ac:dyDescent="0.25">
      <c r="A179" s="59" t="str">
        <f>CONCATENATE("Итого по разделу: ",IF(Source!G66&lt;&gt;"Новый раздел", Source!G66, ""))</f>
        <v>Итого по разделу: Ремонт кровли электроцеха на отм. +9,300 - + 11,500</v>
      </c>
      <c r="B179" s="59"/>
      <c r="C179" s="59"/>
      <c r="D179" s="59"/>
      <c r="E179" s="59"/>
      <c r="F179" s="59"/>
      <c r="G179" s="58">
        <f>SUM(O30:O178)</f>
        <v>54522.95</v>
      </c>
      <c r="H179" s="58"/>
      <c r="I179" s="32"/>
      <c r="J179" s="58">
        <f>SUM(P30:P178)</f>
        <v>795454.96000000008</v>
      </c>
      <c r="K179" s="58"/>
      <c r="L179" s="39">
        <f>SUM(Q30:Q178)</f>
        <v>415.95730000000003</v>
      </c>
      <c r="AF179" s="53" t="str">
        <f>CONCATENATE("Итого по разделу: ",IF(Source!G66&lt;&gt;"Новый раздел", Source!G66, ""))</f>
        <v>Итого по разделу: Ремонт кровли электроцеха на отм. +9,300 - + 11,500</v>
      </c>
    </row>
    <row r="183" spans="1:32" ht="16.5" x14ac:dyDescent="0.25">
      <c r="A183" s="62" t="str">
        <f>CONCATENATE("Раздел: ",IF(Source!G96&lt;&gt;"Новый раздел", Source!G96, ""))</f>
        <v>Раздел: Ремонт кровли пристроя на отм. +7,400 - +8,900</v>
      </c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</row>
    <row r="184" spans="1:32" ht="84" x14ac:dyDescent="0.2">
      <c r="A184" s="50">
        <v>35</v>
      </c>
      <c r="B184" s="50" t="str">
        <f>Source!F100</f>
        <v>Договорная цена</v>
      </c>
      <c r="C184" s="50" t="s">
        <v>569</v>
      </c>
      <c r="D184" s="34" t="str">
        <f>Source!H100</f>
        <v>т</v>
      </c>
      <c r="E184" s="35">
        <f>Source!I100</f>
        <v>86.2</v>
      </c>
      <c r="F184" s="36">
        <f>Source!AL100</f>
        <v>216.35</v>
      </c>
      <c r="G184" s="37" t="str">
        <f>Source!DD100</f>
        <v/>
      </c>
      <c r="H184" s="36">
        <f>ROUND(Source!AC100*Source!I100, 2)</f>
        <v>18649.37</v>
      </c>
      <c r="I184" s="37" t="str">
        <f>Source!BO100</f>
        <v/>
      </c>
      <c r="J184" s="37">
        <f>IF(Source!BC100&lt;&gt; 0, Source!BC100, 1)</f>
        <v>8.3800000000000008</v>
      </c>
      <c r="K184" s="36">
        <f>Source!P100</f>
        <v>156281.72</v>
      </c>
      <c r="L184" s="38"/>
      <c r="S184">
        <f>ROUND((Source!FX100/100)*((ROUND(Source!AF100*Source!I100, 2)+ROUND(Source!AE100*Source!I100, 2))), 2)</f>
        <v>0</v>
      </c>
      <c r="T184">
        <f>Source!X100</f>
        <v>0</v>
      </c>
      <c r="U184">
        <f>ROUND((Source!FY100/100)*((ROUND(Source!AF100*Source!I100, 2)+ROUND(Source!AE100*Source!I100, 2))), 2)</f>
        <v>0</v>
      </c>
      <c r="V184">
        <f>Source!Y100</f>
        <v>0</v>
      </c>
    </row>
    <row r="185" spans="1:32" ht="15" x14ac:dyDescent="0.25">
      <c r="G185" s="57">
        <f>H184</f>
        <v>18649.37</v>
      </c>
      <c r="H185" s="57"/>
      <c r="J185" s="57">
        <f>K184</f>
        <v>156281.72</v>
      </c>
      <c r="K185" s="57"/>
      <c r="L185" s="39">
        <f>Source!U100</f>
        <v>0</v>
      </c>
      <c r="O185" s="28">
        <f>G185</f>
        <v>18649.37</v>
      </c>
      <c r="P185" s="28">
        <f>J185</f>
        <v>156281.72</v>
      </c>
      <c r="Q185" s="28">
        <f>L185</f>
        <v>0</v>
      </c>
      <c r="W185">
        <f>IF(Source!BI100&lt;=1,H184, 0)</f>
        <v>18649.37</v>
      </c>
      <c r="X185">
        <f>IF(Source!BI100=2,H184, 0)</f>
        <v>0</v>
      </c>
      <c r="Y185">
        <f>IF(Source!BI100=3,H184, 0)</f>
        <v>0</v>
      </c>
      <c r="Z185">
        <f>IF(Source!BI100=4,H184, 0)</f>
        <v>0</v>
      </c>
    </row>
    <row r="186" spans="1:32" ht="42.75" x14ac:dyDescent="0.2">
      <c r="A186" s="51">
        <v>36</v>
      </c>
      <c r="B186" s="51" t="str">
        <f>Source!F101</f>
        <v>46-04-008-04</v>
      </c>
      <c r="C186" s="51" t="str">
        <f>Source!G101</f>
        <v>Разборка покрытий кровель: из волнистых и полуволнистых хризотилцементных листов</v>
      </c>
      <c r="D186" s="40" t="str">
        <f>Source!H101</f>
        <v>100 м2</v>
      </c>
      <c r="E186" s="24">
        <f>Source!I101</f>
        <v>4.3099999999999996</v>
      </c>
      <c r="F186" s="41">
        <f>Source!AL101+Source!AM101+Source!AO101</f>
        <v>154.66</v>
      </c>
      <c r="G186" s="42"/>
      <c r="H186" s="41"/>
      <c r="I186" s="42" t="str">
        <f>Source!BO101</f>
        <v/>
      </c>
      <c r="J186" s="42"/>
      <c r="K186" s="41"/>
      <c r="L186" s="43"/>
      <c r="S186">
        <f>ROUND((Source!FX101/100)*((ROUND(Source!AF101*Source!I101, 2)+ROUND(Source!AE101*Source!I101, 2))), 2)</f>
        <v>486.42</v>
      </c>
      <c r="T186">
        <f>Source!X101</f>
        <v>22234.2</v>
      </c>
      <c r="U186">
        <f>ROUND((Source!FY101/100)*((ROUND(Source!AF101*Source!I101, 2)+ROUND(Source!AE101*Source!I101, 2))), 2)</f>
        <v>277.95999999999998</v>
      </c>
      <c r="V186">
        <f>Source!Y101</f>
        <v>12705.26</v>
      </c>
    </row>
    <row r="187" spans="1:32" x14ac:dyDescent="0.2">
      <c r="C187" s="29" t="str">
        <f>"Объем: "&amp;Source!I101&amp;"=431/"&amp;"100"</f>
        <v>Объем: 4,31=431/100</v>
      </c>
    </row>
    <row r="188" spans="1:32" ht="14.25" x14ac:dyDescent="0.2">
      <c r="A188" s="51"/>
      <c r="B188" s="51"/>
      <c r="C188" s="51" t="s">
        <v>570</v>
      </c>
      <c r="D188" s="40"/>
      <c r="E188" s="24"/>
      <c r="F188" s="41">
        <f>Source!AO101</f>
        <v>124.02</v>
      </c>
      <c r="G188" s="42" t="str">
        <f>Source!DG101</f>
        <v/>
      </c>
      <c r="H188" s="41">
        <f>ROUND(Source!AF101*Source!I101, 2)</f>
        <v>534.53</v>
      </c>
      <c r="I188" s="42"/>
      <c r="J188" s="42">
        <f>IF(Source!BA101&lt;&gt; 0, Source!BA101, 1)</f>
        <v>45.71</v>
      </c>
      <c r="K188" s="41">
        <f>Source!S101</f>
        <v>24433.19</v>
      </c>
      <c r="L188" s="43"/>
      <c r="R188">
        <f>H188</f>
        <v>534.53</v>
      </c>
    </row>
    <row r="189" spans="1:32" ht="14.25" x14ac:dyDescent="0.2">
      <c r="A189" s="51"/>
      <c r="B189" s="51"/>
      <c r="C189" s="51" t="s">
        <v>205</v>
      </c>
      <c r="D189" s="40"/>
      <c r="E189" s="24"/>
      <c r="F189" s="41">
        <f>Source!AM101</f>
        <v>30.64</v>
      </c>
      <c r="G189" s="42" t="str">
        <f>Source!DE101</f>
        <v/>
      </c>
      <c r="H189" s="41">
        <f>ROUND((((Source!ET101)-(Source!EU101))+Source!AE101)*Source!I101, 2)</f>
        <v>132.06</v>
      </c>
      <c r="I189" s="42"/>
      <c r="J189" s="42">
        <f>IF(Source!BB101&lt;&gt; 0, Source!BB101, 1)</f>
        <v>13.41</v>
      </c>
      <c r="K189" s="41">
        <f>Source!Q101</f>
        <v>1770.9</v>
      </c>
      <c r="L189" s="43"/>
    </row>
    <row r="190" spans="1:32" ht="14.25" x14ac:dyDescent="0.2">
      <c r="A190" s="51"/>
      <c r="B190" s="51"/>
      <c r="C190" s="51" t="s">
        <v>571</v>
      </c>
      <c r="D190" s="40" t="s">
        <v>572</v>
      </c>
      <c r="E190" s="24">
        <f>Source!BZ101</f>
        <v>91</v>
      </c>
      <c r="F190" s="52"/>
      <c r="G190" s="42"/>
      <c r="H190" s="41">
        <f>SUM(S186:S192)</f>
        <v>486.42</v>
      </c>
      <c r="I190" s="44"/>
      <c r="J190" s="33">
        <f>Source!AT101</f>
        <v>91</v>
      </c>
      <c r="K190" s="41">
        <f>SUM(T186:T192)</f>
        <v>22234.2</v>
      </c>
      <c r="L190" s="43"/>
    </row>
    <row r="191" spans="1:32" ht="14.25" x14ac:dyDescent="0.2">
      <c r="A191" s="51"/>
      <c r="B191" s="51"/>
      <c r="C191" s="51" t="s">
        <v>573</v>
      </c>
      <c r="D191" s="40" t="s">
        <v>572</v>
      </c>
      <c r="E191" s="24">
        <f>Source!CA101</f>
        <v>52</v>
      </c>
      <c r="F191" s="52"/>
      <c r="G191" s="42"/>
      <c r="H191" s="41">
        <f>SUM(U186:U192)</f>
        <v>277.95999999999998</v>
      </c>
      <c r="I191" s="44"/>
      <c r="J191" s="33">
        <f>Source!AU101</f>
        <v>52</v>
      </c>
      <c r="K191" s="41">
        <f>SUM(V186:V192)</f>
        <v>12705.26</v>
      </c>
      <c r="L191" s="43"/>
    </row>
    <row r="192" spans="1:32" ht="14.25" x14ac:dyDescent="0.2">
      <c r="A192" s="50"/>
      <c r="B192" s="50"/>
      <c r="C192" s="50" t="s">
        <v>574</v>
      </c>
      <c r="D192" s="34" t="s">
        <v>575</v>
      </c>
      <c r="E192" s="35">
        <f>Source!AQ101</f>
        <v>15.9</v>
      </c>
      <c r="F192" s="36"/>
      <c r="G192" s="37" t="str">
        <f>Source!DI101</f>
        <v/>
      </c>
      <c r="H192" s="36"/>
      <c r="I192" s="37"/>
      <c r="J192" s="37"/>
      <c r="K192" s="36"/>
      <c r="L192" s="45">
        <f>Source!U101</f>
        <v>68.528999999999996</v>
      </c>
    </row>
    <row r="193" spans="1:26" ht="15" x14ac:dyDescent="0.25">
      <c r="G193" s="57">
        <f>H188+H189+H190+H191</f>
        <v>1430.97</v>
      </c>
      <c r="H193" s="57"/>
      <c r="J193" s="57">
        <f>K188+K189+K190+K191</f>
        <v>61143.55</v>
      </c>
      <c r="K193" s="57"/>
      <c r="L193" s="39">
        <f>Source!U101</f>
        <v>68.528999999999996</v>
      </c>
      <c r="O193" s="28">
        <f>G193</f>
        <v>1430.97</v>
      </c>
      <c r="P193" s="28">
        <f>J193</f>
        <v>61143.55</v>
      </c>
      <c r="Q193" s="28">
        <f>L193</f>
        <v>68.528999999999996</v>
      </c>
      <c r="W193">
        <f>IF(Source!BI101&lt;=1,H188+H189+H190+H191, 0)</f>
        <v>1430.97</v>
      </c>
      <c r="X193">
        <f>IF(Source!BI101=2,H188+H189+H190+H191, 0)</f>
        <v>0</v>
      </c>
      <c r="Y193">
        <f>IF(Source!BI101=3,H188+H189+H190+H191, 0)</f>
        <v>0</v>
      </c>
      <c r="Z193">
        <f>IF(Source!BI101=4,H188+H189+H190+H191, 0)</f>
        <v>0</v>
      </c>
    </row>
    <row r="194" spans="1:26" ht="42.75" x14ac:dyDescent="0.2">
      <c r="A194" s="51">
        <v>37</v>
      </c>
      <c r="B194" s="51" t="str">
        <f>Source!F102</f>
        <v>09-04-002-01</v>
      </c>
      <c r="C194" s="51" t="str">
        <f>Source!G102</f>
        <v>Монтаж кровельного покрытия: из профилированного листа при высоте здания до 25 м</v>
      </c>
      <c r="D194" s="40" t="str">
        <f>Source!H102</f>
        <v>100 м2</v>
      </c>
      <c r="E194" s="24">
        <f>Source!I102</f>
        <v>4.3099999999999996</v>
      </c>
      <c r="F194" s="41">
        <f>Source!AL102+Source!AM102+Source!AO102</f>
        <v>900.19</v>
      </c>
      <c r="G194" s="42"/>
      <c r="H194" s="41"/>
      <c r="I194" s="42" t="str">
        <f>Source!BO102</f>
        <v/>
      </c>
      <c r="J194" s="42"/>
      <c r="K194" s="41"/>
      <c r="L194" s="43"/>
      <c r="S194">
        <f>ROUND((Source!FX102/100)*((ROUND(Source!AF102*Source!I102, 2)+ROUND(Source!AE102*Source!I102, 2))), 2)</f>
        <v>1483.31</v>
      </c>
      <c r="T194">
        <f>Source!X102</f>
        <v>67802.17</v>
      </c>
      <c r="U194">
        <f>ROUND((Source!FY102/100)*((ROUND(Source!AF102*Source!I102, 2)+ROUND(Source!AE102*Source!I102, 2))), 2)</f>
        <v>840.54</v>
      </c>
      <c r="V194">
        <f>Source!Y102</f>
        <v>38421.230000000003</v>
      </c>
    </row>
    <row r="195" spans="1:26" x14ac:dyDescent="0.2">
      <c r="C195" s="29" t="str">
        <f>"Объем: "&amp;Source!I102&amp;"=431/"&amp;"100"</f>
        <v>Объем: 4,31=431/100</v>
      </c>
    </row>
    <row r="196" spans="1:26" ht="14.25" x14ac:dyDescent="0.2">
      <c r="A196" s="51"/>
      <c r="B196" s="51"/>
      <c r="C196" s="51" t="s">
        <v>570</v>
      </c>
      <c r="D196" s="40"/>
      <c r="E196" s="24"/>
      <c r="F196" s="41">
        <f>Source!AO102</f>
        <v>277.06</v>
      </c>
      <c r="G196" s="42" t="str">
        <f>Source!DG102</f>
        <v>)*1,15</v>
      </c>
      <c r="H196" s="41">
        <f>ROUND(Source!AF102*Source!I102, 2)</f>
        <v>1373.25</v>
      </c>
      <c r="I196" s="42"/>
      <c r="J196" s="42">
        <f>IF(Source!BA102&lt;&gt; 0, Source!BA102, 1)</f>
        <v>45.71</v>
      </c>
      <c r="K196" s="41">
        <f>Source!S102</f>
        <v>62771.360000000001</v>
      </c>
      <c r="L196" s="43"/>
      <c r="R196">
        <f>H196</f>
        <v>1373.25</v>
      </c>
    </row>
    <row r="197" spans="1:26" ht="14.25" x14ac:dyDescent="0.2">
      <c r="A197" s="51"/>
      <c r="B197" s="51"/>
      <c r="C197" s="51" t="s">
        <v>205</v>
      </c>
      <c r="D197" s="40"/>
      <c r="E197" s="24"/>
      <c r="F197" s="41">
        <f>Source!AM102</f>
        <v>469.17</v>
      </c>
      <c r="G197" s="42" t="str">
        <f>Source!DE102</f>
        <v>)*1,25</v>
      </c>
      <c r="H197" s="41">
        <f>ROUND(((((Source!ET102*1.25))-((Source!EU102*1.25)))+Source!AE102)*Source!I102, 2)</f>
        <v>2527.66</v>
      </c>
      <c r="I197" s="42"/>
      <c r="J197" s="42">
        <f>IF(Source!BB102&lt;&gt; 0, Source!BB102, 1)</f>
        <v>13.41</v>
      </c>
      <c r="K197" s="41">
        <f>Source!Q102</f>
        <v>33896.32</v>
      </c>
      <c r="L197" s="43"/>
    </row>
    <row r="198" spans="1:26" ht="14.25" x14ac:dyDescent="0.2">
      <c r="A198" s="51"/>
      <c r="B198" s="51"/>
      <c r="C198" s="51" t="s">
        <v>576</v>
      </c>
      <c r="D198" s="40"/>
      <c r="E198" s="24"/>
      <c r="F198" s="41">
        <f>Source!AN102</f>
        <v>41.15</v>
      </c>
      <c r="G198" s="42" t="str">
        <f>Source!DF102</f>
        <v>)*1,25</v>
      </c>
      <c r="H198" s="46">
        <f>ROUND(Source!AE102*Source!I102, 2)</f>
        <v>221.71</v>
      </c>
      <c r="I198" s="42"/>
      <c r="J198" s="42">
        <f>IF(Source!BS102&lt;&gt; 0, Source!BS102, 1)</f>
        <v>45.71</v>
      </c>
      <c r="K198" s="46">
        <f>Source!R102</f>
        <v>10134.200000000001</v>
      </c>
      <c r="L198" s="43"/>
      <c r="R198">
        <f>H198</f>
        <v>221.71</v>
      </c>
    </row>
    <row r="199" spans="1:26" ht="14.25" x14ac:dyDescent="0.2">
      <c r="A199" s="51"/>
      <c r="B199" s="51"/>
      <c r="C199" s="51" t="s">
        <v>577</v>
      </c>
      <c r="D199" s="40"/>
      <c r="E199" s="24"/>
      <c r="F199" s="41">
        <f>Source!AL102</f>
        <v>153.96</v>
      </c>
      <c r="G199" s="42" t="str">
        <f>Source!DD102</f>
        <v/>
      </c>
      <c r="H199" s="41">
        <f>ROUND(Source!AC102*Source!I102, 2)</f>
        <v>663.57</v>
      </c>
      <c r="I199" s="42"/>
      <c r="J199" s="42">
        <f>IF(Source!BC102&lt;&gt; 0, Source!BC102, 1)</f>
        <v>8.3800000000000008</v>
      </c>
      <c r="K199" s="41">
        <f>Source!P102</f>
        <v>5560.7</v>
      </c>
      <c r="L199" s="43"/>
    </row>
    <row r="200" spans="1:26" ht="14.25" x14ac:dyDescent="0.2">
      <c r="A200" s="51"/>
      <c r="B200" s="51"/>
      <c r="C200" s="51" t="s">
        <v>571</v>
      </c>
      <c r="D200" s="40" t="s">
        <v>572</v>
      </c>
      <c r="E200" s="24">
        <f>Source!BZ102</f>
        <v>93</v>
      </c>
      <c r="F200" s="52"/>
      <c r="G200" s="42"/>
      <c r="H200" s="41">
        <f>SUM(S194:S202)</f>
        <v>1483.31</v>
      </c>
      <c r="I200" s="44"/>
      <c r="J200" s="33">
        <f>Source!AT102</f>
        <v>93</v>
      </c>
      <c r="K200" s="41">
        <f>SUM(T194:T202)</f>
        <v>67802.17</v>
      </c>
      <c r="L200" s="43"/>
    </row>
    <row r="201" spans="1:26" ht="14.25" x14ac:dyDescent="0.2">
      <c r="A201" s="51"/>
      <c r="B201" s="51"/>
      <c r="C201" s="51" t="s">
        <v>573</v>
      </c>
      <c r="D201" s="40" t="s">
        <v>572</v>
      </c>
      <c r="E201" s="24">
        <f>Source!CA102</f>
        <v>62</v>
      </c>
      <c r="F201" s="60" t="str">
        <f>CONCATENATE(" )", Source!DM102, Source!FU102, "=", Source!FY102)</f>
        <v xml:space="preserve"> ))*0,85=52,7</v>
      </c>
      <c r="G201" s="61"/>
      <c r="H201" s="41">
        <f>SUM(U194:U202)</f>
        <v>840.54</v>
      </c>
      <c r="I201" s="44"/>
      <c r="J201" s="33">
        <f>Source!AU102</f>
        <v>52.7</v>
      </c>
      <c r="K201" s="41">
        <f>SUM(V194:V202)</f>
        <v>38421.230000000003</v>
      </c>
      <c r="L201" s="43"/>
    </row>
    <row r="202" spans="1:26" ht="14.25" x14ac:dyDescent="0.2">
      <c r="A202" s="50"/>
      <c r="B202" s="50"/>
      <c r="C202" s="50" t="s">
        <v>574</v>
      </c>
      <c r="D202" s="34" t="s">
        <v>575</v>
      </c>
      <c r="E202" s="35">
        <f>Source!AQ102</f>
        <v>31.7</v>
      </c>
      <c r="F202" s="36"/>
      <c r="G202" s="37" t="str">
        <f>Source!DI102</f>
        <v>)*1,15</v>
      </c>
      <c r="H202" s="36"/>
      <c r="I202" s="37"/>
      <c r="J202" s="37"/>
      <c r="K202" s="36"/>
      <c r="L202" s="45">
        <f>Source!U102</f>
        <v>157.12104999999997</v>
      </c>
    </row>
    <row r="203" spans="1:26" ht="15" x14ac:dyDescent="0.25">
      <c r="G203" s="57">
        <f>H196+H197+H199+H200+H201</f>
        <v>6888.329999999999</v>
      </c>
      <c r="H203" s="57"/>
      <c r="J203" s="57">
        <f>K196+K197+K199+K200+K201</f>
        <v>208451.78</v>
      </c>
      <c r="K203" s="57"/>
      <c r="L203" s="39">
        <f>Source!U102</f>
        <v>157.12104999999997</v>
      </c>
      <c r="O203" s="28">
        <f>G203</f>
        <v>6888.329999999999</v>
      </c>
      <c r="P203" s="28">
        <f>J203</f>
        <v>208451.78</v>
      </c>
      <c r="Q203" s="28">
        <f>L203</f>
        <v>157.12104999999997</v>
      </c>
      <c r="W203">
        <f>IF(Source!BI102&lt;=1,H196+H197+H199+H200+H201, 0)</f>
        <v>6888.329999999999</v>
      </c>
      <c r="X203">
        <f>IF(Source!BI102=2,H196+H197+H199+H200+H201, 0)</f>
        <v>0</v>
      </c>
      <c r="Y203">
        <f>IF(Source!BI102=3,H196+H197+H199+H200+H201, 0)</f>
        <v>0</v>
      </c>
      <c r="Z203">
        <f>IF(Source!BI102=4,H196+H197+H199+H200+H201, 0)</f>
        <v>0</v>
      </c>
    </row>
    <row r="204" spans="1:26" ht="28.5" x14ac:dyDescent="0.2">
      <c r="A204" s="51">
        <v>38</v>
      </c>
      <c r="B204" s="54" t="str">
        <f>Source!F103</f>
        <v>Материал Заказчика</v>
      </c>
      <c r="C204" s="54" t="str">
        <f>Source!G103</f>
        <v>Профнастил оцинкованный Н60 0,9 845/902</v>
      </c>
      <c r="D204" s="55" t="str">
        <f>Source!H103</f>
        <v>м2</v>
      </c>
      <c r="E204" s="56">
        <f>Source!I103</f>
        <v>474.1</v>
      </c>
      <c r="F204" s="41">
        <f>Source!AL103+Source!AM103+Source!AO103</f>
        <v>0</v>
      </c>
      <c r="G204" s="42"/>
      <c r="H204" s="41"/>
      <c r="I204" s="42" t="str">
        <f>Source!BO103</f>
        <v/>
      </c>
      <c r="J204" s="42"/>
      <c r="K204" s="41"/>
      <c r="L204" s="43"/>
      <c r="S204">
        <f>ROUND((Source!FX103/100)*((ROUND(Source!AF103*Source!I103, 2)+ROUND(Source!AE103*Source!I103, 2))), 2)</f>
        <v>0</v>
      </c>
      <c r="T204">
        <f>Source!X103</f>
        <v>0</v>
      </c>
      <c r="U204">
        <f>ROUND((Source!FY103/100)*((ROUND(Source!AF103*Source!I103, 2)+ROUND(Source!AE103*Source!I103, 2))), 2)</f>
        <v>0</v>
      </c>
      <c r="V204">
        <f>Source!Y103</f>
        <v>0</v>
      </c>
    </row>
    <row r="205" spans="1:26" x14ac:dyDescent="0.2">
      <c r="A205" s="30"/>
      <c r="B205" s="30"/>
      <c r="C205" s="31" t="str">
        <f>"Объем: "&amp;Source!I103&amp;"="&amp;Source!I102&amp;"*"&amp;"110"</f>
        <v>Объем: 474,1=4,31*110</v>
      </c>
      <c r="D205" s="30"/>
      <c r="E205" s="30"/>
      <c r="F205" s="30"/>
      <c r="G205" s="30"/>
      <c r="H205" s="30"/>
      <c r="I205" s="30"/>
      <c r="J205" s="30"/>
      <c r="K205" s="30"/>
      <c r="L205" s="30"/>
    </row>
    <row r="206" spans="1:26" ht="15" x14ac:dyDescent="0.25">
      <c r="G206" s="57">
        <f>H204</f>
        <v>0</v>
      </c>
      <c r="H206" s="57"/>
      <c r="J206" s="57">
        <f>K204</f>
        <v>0</v>
      </c>
      <c r="K206" s="57"/>
      <c r="L206" s="39">
        <f>Source!U103</f>
        <v>0</v>
      </c>
      <c r="O206" s="28">
        <f>G206</f>
        <v>0</v>
      </c>
      <c r="P206" s="28">
        <f>J206</f>
        <v>0</v>
      </c>
      <c r="Q206" s="28">
        <f>L206</f>
        <v>0</v>
      </c>
      <c r="W206">
        <f>IF(Source!BI103&lt;=1,H204, 0)</f>
        <v>0</v>
      </c>
      <c r="X206">
        <f>IF(Source!BI103=2,H204, 0)</f>
        <v>0</v>
      </c>
      <c r="Y206">
        <f>IF(Source!BI103=3,H204, 0)</f>
        <v>0</v>
      </c>
      <c r="Z206">
        <f>IF(Source!BI103=4,H204, 0)</f>
        <v>0</v>
      </c>
    </row>
    <row r="207" spans="1:26" ht="54" x14ac:dyDescent="0.2">
      <c r="A207" s="51">
        <v>39</v>
      </c>
      <c r="B207" s="51" t="str">
        <f>Source!F104</f>
        <v>Цена поставщика</v>
      </c>
      <c r="C207" s="51" t="s">
        <v>578</v>
      </c>
      <c r="D207" s="40" t="str">
        <f>Source!H104</f>
        <v>шт.</v>
      </c>
      <c r="E207" s="24">
        <f>Source!I104</f>
        <v>4310</v>
      </c>
      <c r="F207" s="41">
        <f>Source!AL104</f>
        <v>0.54</v>
      </c>
      <c r="G207" s="42" t="str">
        <f>Source!DD104</f>
        <v/>
      </c>
      <c r="H207" s="41">
        <f>ROUND(Source!AC104*Source!I104, 2)</f>
        <v>2327.4</v>
      </c>
      <c r="I207" s="42" t="str">
        <f>Source!BO104</f>
        <v/>
      </c>
      <c r="J207" s="42">
        <f>IF(Source!BC104&lt;&gt; 0, Source!BC104, 1)</f>
        <v>8.3800000000000008</v>
      </c>
      <c r="K207" s="41">
        <f>Source!P104</f>
        <v>19503.61</v>
      </c>
      <c r="L207" s="43"/>
      <c r="S207">
        <f>ROUND((Source!FX104/100)*((ROUND(Source!AF104*Source!I104, 2)+ROUND(Source!AE104*Source!I104, 2))), 2)</f>
        <v>0</v>
      </c>
      <c r="T207">
        <f>Source!X104</f>
        <v>0</v>
      </c>
      <c r="U207">
        <f>ROUND((Source!FY104/100)*((ROUND(Source!AF104*Source!I104, 2)+ROUND(Source!AE104*Source!I104, 2))), 2)</f>
        <v>0</v>
      </c>
      <c r="V207">
        <f>Source!Y104</f>
        <v>0</v>
      </c>
    </row>
    <row r="208" spans="1:26" x14ac:dyDescent="0.2">
      <c r="A208" s="30"/>
      <c r="B208" s="30"/>
      <c r="C208" s="31" t="str">
        <f>"Объем: "&amp;Source!I104&amp;"="&amp;Source!I102&amp;"*"&amp;"1000"</f>
        <v>Объем: 4310=4,31*1000</v>
      </c>
      <c r="D208" s="30"/>
      <c r="E208" s="30"/>
      <c r="F208" s="30"/>
      <c r="G208" s="30"/>
      <c r="H208" s="30"/>
      <c r="I208" s="30"/>
      <c r="J208" s="30"/>
      <c r="K208" s="30"/>
      <c r="L208" s="30"/>
    </row>
    <row r="209" spans="1:26" ht="15" x14ac:dyDescent="0.25">
      <c r="G209" s="57">
        <f>H207</f>
        <v>2327.4</v>
      </c>
      <c r="H209" s="57"/>
      <c r="J209" s="57">
        <f>K207</f>
        <v>19503.61</v>
      </c>
      <c r="K209" s="57"/>
      <c r="L209" s="39">
        <f>Source!U104</f>
        <v>0</v>
      </c>
      <c r="O209" s="28">
        <f>G209</f>
        <v>2327.4</v>
      </c>
      <c r="P209" s="28">
        <f>J209</f>
        <v>19503.61</v>
      </c>
      <c r="Q209" s="28">
        <f>L209</f>
        <v>0</v>
      </c>
      <c r="W209">
        <f>IF(Source!BI104&lt;=1,H207, 0)</f>
        <v>2327.4</v>
      </c>
      <c r="X209">
        <f>IF(Source!BI104=2,H207, 0)</f>
        <v>0</v>
      </c>
      <c r="Y209">
        <f>IF(Source!BI104=3,H207, 0)</f>
        <v>0</v>
      </c>
      <c r="Z209">
        <f>IF(Source!BI104=4,H207, 0)</f>
        <v>0</v>
      </c>
    </row>
    <row r="210" spans="1:26" ht="42.75" x14ac:dyDescent="0.2">
      <c r="A210" s="51">
        <v>40</v>
      </c>
      <c r="B210" s="51" t="str">
        <f>Source!F105</f>
        <v>12-01-010-01</v>
      </c>
      <c r="C210" s="51" t="str">
        <f>Source!G105</f>
        <v>Устройство мелких покрытий (брандмауэры, парапеты, свесы и т.п.) из листовой оцинкованной стали</v>
      </c>
      <c r="D210" s="40" t="str">
        <f>Source!H105</f>
        <v>100 м2</v>
      </c>
      <c r="E210" s="24">
        <f>Source!I105</f>
        <v>0.20799999999999999</v>
      </c>
      <c r="F210" s="41">
        <f>Source!AL105+Source!AM105+Source!AO105</f>
        <v>7367.18</v>
      </c>
      <c r="G210" s="42"/>
      <c r="H210" s="41"/>
      <c r="I210" s="42" t="str">
        <f>Source!BO105</f>
        <v/>
      </c>
      <c r="J210" s="42"/>
      <c r="K210" s="41"/>
      <c r="L210" s="43"/>
      <c r="S210">
        <f>ROUND((Source!FX105/100)*((ROUND(Source!AF105*Source!I105, 2)+ROUND(Source!AE105*Source!I105, 2))), 2)</f>
        <v>217.17</v>
      </c>
      <c r="T210">
        <f>Source!X105</f>
        <v>9926.8700000000008</v>
      </c>
      <c r="U210">
        <f>ROUND((Source!FY105/100)*((ROUND(Source!AF105*Source!I105, 2)+ROUND(Source!AE105*Source!I105, 2))), 2)</f>
        <v>96.53</v>
      </c>
      <c r="V210">
        <f>Source!Y105</f>
        <v>4412.45</v>
      </c>
    </row>
    <row r="211" spans="1:26" ht="14.25" x14ac:dyDescent="0.2">
      <c r="A211" s="51"/>
      <c r="B211" s="51"/>
      <c r="C211" s="51" t="s">
        <v>570</v>
      </c>
      <c r="D211" s="40"/>
      <c r="E211" s="24"/>
      <c r="F211" s="41">
        <f>Source!AO105</f>
        <v>829.12</v>
      </c>
      <c r="G211" s="42" t="str">
        <f>Source!DG105</f>
        <v>)*1,15</v>
      </c>
      <c r="H211" s="41">
        <f>ROUND(Source!AF105*Source!I105, 2)</f>
        <v>198.33</v>
      </c>
      <c r="I211" s="42"/>
      <c r="J211" s="42">
        <f>IF(Source!BA105&lt;&gt; 0, Source!BA105, 1)</f>
        <v>45.71</v>
      </c>
      <c r="K211" s="41">
        <f>Source!S105</f>
        <v>9065.48</v>
      </c>
      <c r="L211" s="43"/>
      <c r="R211">
        <f>H211</f>
        <v>198.33</v>
      </c>
    </row>
    <row r="212" spans="1:26" ht="14.25" x14ac:dyDescent="0.2">
      <c r="A212" s="51"/>
      <c r="B212" s="51"/>
      <c r="C212" s="51" t="s">
        <v>205</v>
      </c>
      <c r="D212" s="40"/>
      <c r="E212" s="24"/>
      <c r="F212" s="41">
        <f>Source!AM105</f>
        <v>21.88</v>
      </c>
      <c r="G212" s="42" t="str">
        <f>Source!DE105</f>
        <v>)*1,25</v>
      </c>
      <c r="H212" s="41">
        <f>ROUND(((((Source!ET105*1.25))-((Source!EU105*1.25)))+Source!AE105)*Source!I105, 2)</f>
        <v>5.69</v>
      </c>
      <c r="I212" s="42"/>
      <c r="J212" s="42">
        <f>IF(Source!BB105&lt;&gt; 0, Source!BB105, 1)</f>
        <v>13.41</v>
      </c>
      <c r="K212" s="41">
        <f>Source!Q105</f>
        <v>76.31</v>
      </c>
      <c r="L212" s="43"/>
    </row>
    <row r="213" spans="1:26" ht="14.25" x14ac:dyDescent="0.2">
      <c r="A213" s="51"/>
      <c r="B213" s="51"/>
      <c r="C213" s="51" t="s">
        <v>576</v>
      </c>
      <c r="D213" s="40"/>
      <c r="E213" s="24"/>
      <c r="F213" s="41">
        <f>Source!AN105</f>
        <v>3.51</v>
      </c>
      <c r="G213" s="42" t="str">
        <f>Source!DF105</f>
        <v>)*1,25</v>
      </c>
      <c r="H213" s="46">
        <f>ROUND(Source!AE105*Source!I105, 2)</f>
        <v>0.91</v>
      </c>
      <c r="I213" s="42"/>
      <c r="J213" s="42">
        <f>IF(Source!BS105&lt;&gt; 0, Source!BS105, 1)</f>
        <v>45.71</v>
      </c>
      <c r="K213" s="46">
        <f>Source!R105</f>
        <v>41.74</v>
      </c>
      <c r="L213" s="43"/>
      <c r="R213">
        <f>H213</f>
        <v>0.91</v>
      </c>
    </row>
    <row r="214" spans="1:26" ht="14.25" x14ac:dyDescent="0.2">
      <c r="A214" s="51"/>
      <c r="B214" s="51"/>
      <c r="C214" s="51" t="s">
        <v>571</v>
      </c>
      <c r="D214" s="40" t="s">
        <v>572</v>
      </c>
      <c r="E214" s="24">
        <f>Source!BZ105</f>
        <v>109</v>
      </c>
      <c r="F214" s="52"/>
      <c r="G214" s="42"/>
      <c r="H214" s="41">
        <f>SUM(S210:S216)</f>
        <v>217.17</v>
      </c>
      <c r="I214" s="44"/>
      <c r="J214" s="33">
        <f>Source!AT105</f>
        <v>109</v>
      </c>
      <c r="K214" s="41">
        <f>SUM(T210:T216)</f>
        <v>9926.8700000000008</v>
      </c>
      <c r="L214" s="43"/>
    </row>
    <row r="215" spans="1:26" ht="14.25" x14ac:dyDescent="0.2">
      <c r="A215" s="51"/>
      <c r="B215" s="51"/>
      <c r="C215" s="51" t="s">
        <v>573</v>
      </c>
      <c r="D215" s="40" t="s">
        <v>572</v>
      </c>
      <c r="E215" s="24">
        <f>Source!CA105</f>
        <v>57</v>
      </c>
      <c r="F215" s="60" t="str">
        <f>CONCATENATE(" )", Source!DM105, Source!FU105, "=", Source!FY105)</f>
        <v xml:space="preserve"> ))*0,85=48,45</v>
      </c>
      <c r="G215" s="61"/>
      <c r="H215" s="41">
        <f>SUM(U210:U216)</f>
        <v>96.53</v>
      </c>
      <c r="I215" s="44"/>
      <c r="J215" s="33">
        <f>Source!AU105</f>
        <v>48.45</v>
      </c>
      <c r="K215" s="41">
        <f>SUM(V210:V216)</f>
        <v>4412.45</v>
      </c>
      <c r="L215" s="43"/>
    </row>
    <row r="216" spans="1:26" ht="14.25" x14ac:dyDescent="0.2">
      <c r="A216" s="50"/>
      <c r="B216" s="50"/>
      <c r="C216" s="50" t="s">
        <v>574</v>
      </c>
      <c r="D216" s="34" t="s">
        <v>575</v>
      </c>
      <c r="E216" s="35">
        <f>Source!AQ105</f>
        <v>97.2</v>
      </c>
      <c r="F216" s="36"/>
      <c r="G216" s="37" t="str">
        <f>Source!DI105</f>
        <v>)*1,15</v>
      </c>
      <c r="H216" s="36"/>
      <c r="I216" s="37"/>
      <c r="J216" s="37"/>
      <c r="K216" s="36"/>
      <c r="L216" s="45">
        <f>Source!U105</f>
        <v>23.250239999999998</v>
      </c>
    </row>
    <row r="217" spans="1:26" ht="15" x14ac:dyDescent="0.25">
      <c r="G217" s="57">
        <f>H211+H212+H214+H215</f>
        <v>517.72</v>
      </c>
      <c r="H217" s="57"/>
      <c r="J217" s="57">
        <f>K211+K212+K214+K215</f>
        <v>23481.11</v>
      </c>
      <c r="K217" s="57"/>
      <c r="L217" s="39">
        <f>Source!U105</f>
        <v>23.250239999999998</v>
      </c>
      <c r="O217" s="28">
        <f>G217</f>
        <v>517.72</v>
      </c>
      <c r="P217" s="28">
        <f>J217</f>
        <v>23481.11</v>
      </c>
      <c r="Q217" s="28">
        <f>L217</f>
        <v>23.250239999999998</v>
      </c>
      <c r="W217">
        <f>IF(Source!BI105&lt;=1,H211+H212+H214+H215, 0)</f>
        <v>517.72</v>
      </c>
      <c r="X217">
        <f>IF(Source!BI105=2,H211+H212+H214+H215, 0)</f>
        <v>0</v>
      </c>
      <c r="Y217">
        <f>IF(Source!BI105=3,H211+H212+H214+H215, 0)</f>
        <v>0</v>
      </c>
      <c r="Z217">
        <f>IF(Source!BI105=4,H211+H212+H214+H215, 0)</f>
        <v>0</v>
      </c>
    </row>
    <row r="218" spans="1:26" ht="39.75" x14ac:dyDescent="0.2">
      <c r="A218" s="50">
        <v>41</v>
      </c>
      <c r="B218" s="50" t="str">
        <f>Source!F106</f>
        <v>Цена постащика</v>
      </c>
      <c r="C218" s="50" t="s">
        <v>579</v>
      </c>
      <c r="D218" s="34" t="str">
        <f>Source!H106</f>
        <v>м</v>
      </c>
      <c r="E218" s="35">
        <f>Source!I106</f>
        <v>41</v>
      </c>
      <c r="F218" s="36">
        <f>Source!AL106</f>
        <v>31.949999999999996</v>
      </c>
      <c r="G218" s="37" t="str">
        <f>Source!DD106</f>
        <v/>
      </c>
      <c r="H218" s="36">
        <f>ROUND(Source!AC106*Source!I106, 2)</f>
        <v>1309.95</v>
      </c>
      <c r="I218" s="37" t="str">
        <f>Source!BO106</f>
        <v/>
      </c>
      <c r="J218" s="37">
        <f>IF(Source!BC106&lt;&gt; 0, Source!BC106, 1)</f>
        <v>8.3800000000000008</v>
      </c>
      <c r="K218" s="36">
        <f>Source!P106</f>
        <v>10977.38</v>
      </c>
      <c r="L218" s="38"/>
      <c r="S218">
        <f>ROUND((Source!FX106/100)*((ROUND(Source!AF106*Source!I106, 2)+ROUND(Source!AE106*Source!I106, 2))), 2)</f>
        <v>0</v>
      </c>
      <c r="T218">
        <f>Source!X106</f>
        <v>0</v>
      </c>
      <c r="U218">
        <f>ROUND((Source!FY106/100)*((ROUND(Source!AF106*Source!I106, 2)+ROUND(Source!AE106*Source!I106, 2))), 2)</f>
        <v>0</v>
      </c>
      <c r="V218">
        <f>Source!Y106</f>
        <v>0</v>
      </c>
    </row>
    <row r="219" spans="1:26" ht="15" x14ac:dyDescent="0.25">
      <c r="G219" s="57">
        <f>H218</f>
        <v>1309.95</v>
      </c>
      <c r="H219" s="57"/>
      <c r="J219" s="57">
        <f>K218</f>
        <v>10977.38</v>
      </c>
      <c r="K219" s="57"/>
      <c r="L219" s="39">
        <f>Source!U106</f>
        <v>0</v>
      </c>
      <c r="O219" s="28">
        <f>G219</f>
        <v>1309.95</v>
      </c>
      <c r="P219" s="28">
        <f>J219</f>
        <v>10977.38</v>
      </c>
      <c r="Q219" s="28">
        <f>L219</f>
        <v>0</v>
      </c>
      <c r="W219">
        <f>IF(Source!BI106&lt;=1,H218, 0)</f>
        <v>1309.95</v>
      </c>
      <c r="X219">
        <f>IF(Source!BI106=2,H218, 0)</f>
        <v>0</v>
      </c>
      <c r="Y219">
        <f>IF(Source!BI106=3,H218, 0)</f>
        <v>0</v>
      </c>
      <c r="Z219">
        <f>IF(Source!BI106=4,H218, 0)</f>
        <v>0</v>
      </c>
    </row>
    <row r="220" spans="1:26" ht="39.75" x14ac:dyDescent="0.2">
      <c r="A220" s="50">
        <v>42</v>
      </c>
      <c r="B220" s="50" t="str">
        <f>Source!F107</f>
        <v>Цена постащика</v>
      </c>
      <c r="C220" s="50" t="s">
        <v>580</v>
      </c>
      <c r="D220" s="34" t="str">
        <f>Source!H107</f>
        <v>м</v>
      </c>
      <c r="E220" s="35">
        <f>Source!I107</f>
        <v>21</v>
      </c>
      <c r="F220" s="36">
        <f>Source!AL107</f>
        <v>39.93</v>
      </c>
      <c r="G220" s="37" t="str">
        <f>Source!DD107</f>
        <v/>
      </c>
      <c r="H220" s="36">
        <f>ROUND(Source!AC107*Source!I107, 2)</f>
        <v>838.53</v>
      </c>
      <c r="I220" s="37" t="str">
        <f>Source!BO107</f>
        <v/>
      </c>
      <c r="J220" s="37">
        <f>IF(Source!BC107&lt;&gt; 0, Source!BC107, 1)</f>
        <v>8.3800000000000008</v>
      </c>
      <c r="K220" s="36">
        <f>Source!P107</f>
        <v>7026.88</v>
      </c>
      <c r="L220" s="38"/>
      <c r="S220">
        <f>ROUND((Source!FX107/100)*((ROUND(Source!AF107*Source!I107, 2)+ROUND(Source!AE107*Source!I107, 2))), 2)</f>
        <v>0</v>
      </c>
      <c r="T220">
        <f>Source!X107</f>
        <v>0</v>
      </c>
      <c r="U220">
        <f>ROUND((Source!FY107/100)*((ROUND(Source!AF107*Source!I107, 2)+ROUND(Source!AE107*Source!I107, 2))), 2)</f>
        <v>0</v>
      </c>
      <c r="V220">
        <f>Source!Y107</f>
        <v>0</v>
      </c>
    </row>
    <row r="221" spans="1:26" ht="15" x14ac:dyDescent="0.25">
      <c r="G221" s="57">
        <f>H220</f>
        <v>838.53</v>
      </c>
      <c r="H221" s="57"/>
      <c r="J221" s="57">
        <f>K220</f>
        <v>7026.88</v>
      </c>
      <c r="K221" s="57"/>
      <c r="L221" s="39">
        <f>Source!U107</f>
        <v>0</v>
      </c>
      <c r="O221" s="28">
        <f>G221</f>
        <v>838.53</v>
      </c>
      <c r="P221" s="28">
        <f>J221</f>
        <v>7026.88</v>
      </c>
      <c r="Q221" s="28">
        <f>L221</f>
        <v>0</v>
      </c>
      <c r="W221">
        <f>IF(Source!BI107&lt;=1,H220, 0)</f>
        <v>838.53</v>
      </c>
      <c r="X221">
        <f>IF(Source!BI107=2,H220, 0)</f>
        <v>0</v>
      </c>
      <c r="Y221">
        <f>IF(Source!BI107=3,H220, 0)</f>
        <v>0</v>
      </c>
      <c r="Z221">
        <f>IF(Source!BI107=4,H220, 0)</f>
        <v>0</v>
      </c>
    </row>
    <row r="222" spans="1:26" ht="54" x14ac:dyDescent="0.2">
      <c r="A222" s="50">
        <v>43</v>
      </c>
      <c r="B222" s="50" t="str">
        <f>Source!F108</f>
        <v>Цена поставщика</v>
      </c>
      <c r="C222" s="50" t="s">
        <v>578</v>
      </c>
      <c r="D222" s="34" t="str">
        <f>Source!H108</f>
        <v>шт.</v>
      </c>
      <c r="E222" s="35">
        <f>Source!I108</f>
        <v>248</v>
      </c>
      <c r="F222" s="36">
        <f>Source!AL108</f>
        <v>0.54</v>
      </c>
      <c r="G222" s="37" t="str">
        <f>Source!DD108</f>
        <v/>
      </c>
      <c r="H222" s="36">
        <f>ROUND(Source!AC108*Source!I108, 2)</f>
        <v>133.91999999999999</v>
      </c>
      <c r="I222" s="37" t="str">
        <f>Source!BO108</f>
        <v/>
      </c>
      <c r="J222" s="37">
        <f>IF(Source!BC108&lt;&gt; 0, Source!BC108, 1)</f>
        <v>8.3800000000000008</v>
      </c>
      <c r="K222" s="36">
        <f>Source!P108</f>
        <v>1122.25</v>
      </c>
      <c r="L222" s="38"/>
      <c r="S222">
        <f>ROUND((Source!FX108/100)*((ROUND(Source!AF108*Source!I108, 2)+ROUND(Source!AE108*Source!I108, 2))), 2)</f>
        <v>0</v>
      </c>
      <c r="T222">
        <f>Source!X108</f>
        <v>0</v>
      </c>
      <c r="U222">
        <f>ROUND((Source!FY108/100)*((ROUND(Source!AF108*Source!I108, 2)+ROUND(Source!AE108*Source!I108, 2))), 2)</f>
        <v>0</v>
      </c>
      <c r="V222">
        <f>Source!Y108</f>
        <v>0</v>
      </c>
    </row>
    <row r="223" spans="1:26" ht="15" x14ac:dyDescent="0.25">
      <c r="G223" s="57">
        <f>H222</f>
        <v>133.91999999999999</v>
      </c>
      <c r="H223" s="57"/>
      <c r="J223" s="57">
        <f>K222</f>
        <v>1122.25</v>
      </c>
      <c r="K223" s="57"/>
      <c r="L223" s="39">
        <f>Source!U108</f>
        <v>0</v>
      </c>
      <c r="O223" s="28">
        <f>G223</f>
        <v>133.91999999999999</v>
      </c>
      <c r="P223" s="28">
        <f>J223</f>
        <v>1122.25</v>
      </c>
      <c r="Q223" s="28">
        <f>L223</f>
        <v>0</v>
      </c>
      <c r="W223">
        <f>IF(Source!BI108&lt;=1,H222, 0)</f>
        <v>133.91999999999999</v>
      </c>
      <c r="X223">
        <f>IF(Source!BI108=2,H222, 0)</f>
        <v>0</v>
      </c>
      <c r="Y223">
        <f>IF(Source!BI108=3,H222, 0)</f>
        <v>0</v>
      </c>
      <c r="Z223">
        <f>IF(Source!BI108=4,H222, 0)</f>
        <v>0</v>
      </c>
    </row>
    <row r="224" spans="1:26" ht="28.5" x14ac:dyDescent="0.2">
      <c r="A224" s="51">
        <v>44</v>
      </c>
      <c r="B224" s="51" t="str">
        <f>Source!F109</f>
        <v>12-01-009-02</v>
      </c>
      <c r="C224" s="51" t="str">
        <f>Source!G109</f>
        <v>Устройство желобов: подвесных</v>
      </c>
      <c r="D224" s="40" t="str">
        <f>Source!H109</f>
        <v>100 м</v>
      </c>
      <c r="E224" s="24">
        <f>Source!I109</f>
        <v>0.41</v>
      </c>
      <c r="F224" s="41">
        <f>Source!AL109+Source!AM109+Source!AO109</f>
        <v>5347.9400000000005</v>
      </c>
      <c r="G224" s="42"/>
      <c r="H224" s="41"/>
      <c r="I224" s="42" t="str">
        <f>Source!BO109</f>
        <v/>
      </c>
      <c r="J224" s="42"/>
      <c r="K224" s="41"/>
      <c r="L224" s="43"/>
      <c r="S224">
        <f>ROUND((Source!FX109/100)*((ROUND(Source!AF109*Source!I109, 2)+ROUND(Source!AE109*Source!I109, 2))), 2)</f>
        <v>123.66</v>
      </c>
      <c r="T224">
        <f>Source!X109</f>
        <v>5652.58</v>
      </c>
      <c r="U224">
        <f>ROUND((Source!FY109/100)*((ROUND(Source!AF109*Source!I109, 2)+ROUND(Source!AE109*Source!I109, 2))), 2)</f>
        <v>54.97</v>
      </c>
      <c r="V224">
        <f>Source!Y109</f>
        <v>2512.54</v>
      </c>
    </row>
    <row r="225" spans="1:26" x14ac:dyDescent="0.2">
      <c r="C225" s="29" t="str">
        <f>"Объем: "&amp;Source!I109&amp;"=41/"&amp;"100"</f>
        <v>Объем: 0,41=41/100</v>
      </c>
    </row>
    <row r="226" spans="1:26" ht="14.25" x14ac:dyDescent="0.2">
      <c r="A226" s="51"/>
      <c r="B226" s="51"/>
      <c r="C226" s="51" t="s">
        <v>570</v>
      </c>
      <c r="D226" s="40"/>
      <c r="E226" s="24"/>
      <c r="F226" s="41">
        <f>Source!AO109</f>
        <v>237.13</v>
      </c>
      <c r="G226" s="42" t="str">
        <f>Source!DG109</f>
        <v>)*1,15</v>
      </c>
      <c r="H226" s="41">
        <f>ROUND(Source!AF109*Source!I109, 2)</f>
        <v>111.81</v>
      </c>
      <c r="I226" s="42"/>
      <c r="J226" s="42">
        <f>IF(Source!BA109&lt;&gt; 0, Source!BA109, 1)</f>
        <v>45.71</v>
      </c>
      <c r="K226" s="41">
        <f>Source!S109</f>
        <v>5110.7</v>
      </c>
      <c r="L226" s="43"/>
      <c r="R226">
        <f>H226</f>
        <v>111.81</v>
      </c>
    </row>
    <row r="227" spans="1:26" ht="14.25" x14ac:dyDescent="0.2">
      <c r="A227" s="51"/>
      <c r="B227" s="51"/>
      <c r="C227" s="51" t="s">
        <v>205</v>
      </c>
      <c r="D227" s="40"/>
      <c r="E227" s="24"/>
      <c r="F227" s="41">
        <f>Source!AM109</f>
        <v>21.18</v>
      </c>
      <c r="G227" s="42" t="str">
        <f>Source!DE109</f>
        <v>)*1,25</v>
      </c>
      <c r="H227" s="41">
        <f>ROUND(((((Source!ET109*1.25))-((Source!EU109*1.25)))+Source!AE109)*Source!I109, 2)</f>
        <v>10.85</v>
      </c>
      <c r="I227" s="42"/>
      <c r="J227" s="42">
        <f>IF(Source!BB109&lt;&gt; 0, Source!BB109, 1)</f>
        <v>13.41</v>
      </c>
      <c r="K227" s="41">
        <f>Source!Q109</f>
        <v>145.52000000000001</v>
      </c>
      <c r="L227" s="43"/>
    </row>
    <row r="228" spans="1:26" ht="14.25" x14ac:dyDescent="0.2">
      <c r="A228" s="51"/>
      <c r="B228" s="51"/>
      <c r="C228" s="51" t="s">
        <v>576</v>
      </c>
      <c r="D228" s="40"/>
      <c r="E228" s="24"/>
      <c r="F228" s="41">
        <f>Source!AN109</f>
        <v>3.21</v>
      </c>
      <c r="G228" s="42" t="str">
        <f>Source!DF109</f>
        <v>)*1,25</v>
      </c>
      <c r="H228" s="46">
        <f>ROUND(Source!AE109*Source!I109, 2)</f>
        <v>1.64</v>
      </c>
      <c r="I228" s="42"/>
      <c r="J228" s="42">
        <f>IF(Source!BS109&lt;&gt; 0, Source!BS109, 1)</f>
        <v>45.71</v>
      </c>
      <c r="K228" s="46">
        <f>Source!R109</f>
        <v>75.150000000000006</v>
      </c>
      <c r="L228" s="43"/>
      <c r="R228">
        <f>H228</f>
        <v>1.64</v>
      </c>
    </row>
    <row r="229" spans="1:26" ht="14.25" x14ac:dyDescent="0.2">
      <c r="A229" s="51"/>
      <c r="B229" s="51"/>
      <c r="C229" s="51" t="s">
        <v>577</v>
      </c>
      <c r="D229" s="40"/>
      <c r="E229" s="24"/>
      <c r="F229" s="41">
        <f>Source!AL109</f>
        <v>5089.63</v>
      </c>
      <c r="G229" s="42" t="str">
        <f>Source!DD109</f>
        <v/>
      </c>
      <c r="H229" s="41">
        <f>ROUND(Source!AC109*Source!I109, 2)</f>
        <v>2086.75</v>
      </c>
      <c r="I229" s="42"/>
      <c r="J229" s="42">
        <f>IF(Source!BC109&lt;&gt; 0, Source!BC109, 1)</f>
        <v>8.3800000000000008</v>
      </c>
      <c r="K229" s="41">
        <f>Source!P109</f>
        <v>17486.95</v>
      </c>
      <c r="L229" s="43"/>
    </row>
    <row r="230" spans="1:26" ht="14.25" x14ac:dyDescent="0.2">
      <c r="A230" s="51"/>
      <c r="B230" s="51"/>
      <c r="C230" s="51" t="s">
        <v>571</v>
      </c>
      <c r="D230" s="40" t="s">
        <v>572</v>
      </c>
      <c r="E230" s="24">
        <f>Source!BZ109</f>
        <v>109</v>
      </c>
      <c r="F230" s="52"/>
      <c r="G230" s="42"/>
      <c r="H230" s="41">
        <f>SUM(S224:S233)</f>
        <v>123.66</v>
      </c>
      <c r="I230" s="44"/>
      <c r="J230" s="33">
        <f>Source!AT109</f>
        <v>109</v>
      </c>
      <c r="K230" s="41">
        <f>SUM(T224:T233)</f>
        <v>5652.58</v>
      </c>
      <c r="L230" s="43"/>
    </row>
    <row r="231" spans="1:26" ht="14.25" x14ac:dyDescent="0.2">
      <c r="A231" s="51"/>
      <c r="B231" s="51"/>
      <c r="C231" s="51" t="s">
        <v>573</v>
      </c>
      <c r="D231" s="40" t="s">
        <v>572</v>
      </c>
      <c r="E231" s="24">
        <f>Source!CA109</f>
        <v>57</v>
      </c>
      <c r="F231" s="60" t="str">
        <f>CONCATENATE(" )", Source!DM109, Source!FU109, "=", Source!FY109)</f>
        <v xml:space="preserve"> ))*0,85=48,45</v>
      </c>
      <c r="G231" s="61"/>
      <c r="H231" s="41">
        <f>SUM(U224:U233)</f>
        <v>54.97</v>
      </c>
      <c r="I231" s="44"/>
      <c r="J231" s="33">
        <f>Source!AU109</f>
        <v>48.45</v>
      </c>
      <c r="K231" s="41">
        <f>SUM(V224:V233)</f>
        <v>2512.54</v>
      </c>
      <c r="L231" s="43"/>
    </row>
    <row r="232" spans="1:26" ht="14.25" x14ac:dyDescent="0.2">
      <c r="A232" s="51"/>
      <c r="B232" s="51"/>
      <c r="C232" s="51" t="s">
        <v>574</v>
      </c>
      <c r="D232" s="40" t="s">
        <v>575</v>
      </c>
      <c r="E232" s="24">
        <f>Source!AQ109</f>
        <v>27.8</v>
      </c>
      <c r="F232" s="41"/>
      <c r="G232" s="42" t="str">
        <f>Source!DI109</f>
        <v>)*1,15</v>
      </c>
      <c r="H232" s="41"/>
      <c r="I232" s="42"/>
      <c r="J232" s="42"/>
      <c r="K232" s="41"/>
      <c r="L232" s="47">
        <f>Source!U109</f>
        <v>13.107699999999999</v>
      </c>
    </row>
    <row r="233" spans="1:26" ht="28.5" x14ac:dyDescent="0.2">
      <c r="A233" s="50">
        <v>44.1</v>
      </c>
      <c r="B233" s="50" t="str">
        <f>Source!F110</f>
        <v>08.3.05.05-0051</v>
      </c>
      <c r="C233" s="50" t="str">
        <f>Source!G110</f>
        <v>Сталь листовая оцинкованная, толщина 0,5 мм</v>
      </c>
      <c r="D233" s="34" t="str">
        <f>Source!H110</f>
        <v>т</v>
      </c>
      <c r="E233" s="35">
        <f>Source!I110</f>
        <v>-0.1353</v>
      </c>
      <c r="F233" s="36">
        <f>Source!AL110+Source!AM110+Source!AO110</f>
        <v>11200</v>
      </c>
      <c r="G233" s="48" t="s">
        <v>3</v>
      </c>
      <c r="H233" s="36">
        <f>ROUND(Source!AC110*Source!I110, 2)+ROUND((((Source!ET110)-(Source!EU110))+Source!AE110)*Source!I110, 2)+ROUND(Source!AF110*Source!I110, 2)</f>
        <v>-1515.36</v>
      </c>
      <c r="I233" s="37"/>
      <c r="J233" s="37">
        <f>IF(Source!BC110&lt;&gt; 0, Source!BC110, 1)</f>
        <v>8.3800000000000008</v>
      </c>
      <c r="K233" s="36">
        <f>Source!O110</f>
        <v>-12698.72</v>
      </c>
      <c r="L233" s="38"/>
      <c r="S233">
        <f>ROUND((Source!FX110/100)*((ROUND(Source!AF110*Source!I110, 2)+ROUND(Source!AE110*Source!I110, 2))), 2)</f>
        <v>0</v>
      </c>
      <c r="T233">
        <f>Source!X110</f>
        <v>0</v>
      </c>
      <c r="U233">
        <f>ROUND((Source!FY110/100)*((ROUND(Source!AF110*Source!I110, 2)+ROUND(Source!AE110*Source!I110, 2))), 2)</f>
        <v>0</v>
      </c>
      <c r="V233">
        <f>Source!Y110</f>
        <v>0</v>
      </c>
      <c r="W233">
        <f>IF(Source!BI110&lt;=1,H233, 0)</f>
        <v>-1515.36</v>
      </c>
      <c r="X233">
        <f>IF(Source!BI110=2,H233, 0)</f>
        <v>0</v>
      </c>
      <c r="Y233">
        <f>IF(Source!BI110=3,H233, 0)</f>
        <v>0</v>
      </c>
      <c r="Z233">
        <f>IF(Source!BI110=4,H233, 0)</f>
        <v>0</v>
      </c>
    </row>
    <row r="234" spans="1:26" ht="15" x14ac:dyDescent="0.25">
      <c r="G234" s="57">
        <f>H226+H227+H229+H230+H231+SUM(H233:H233)</f>
        <v>872.67999999999961</v>
      </c>
      <c r="H234" s="57"/>
      <c r="J234" s="57">
        <f>K226+K227+K229+K230+K231+SUM(K233:K233)</f>
        <v>18209.57</v>
      </c>
      <c r="K234" s="57"/>
      <c r="L234" s="39">
        <f>Source!U109</f>
        <v>13.107699999999999</v>
      </c>
      <c r="O234" s="28">
        <f>G234</f>
        <v>872.67999999999961</v>
      </c>
      <c r="P234" s="28">
        <f>J234</f>
        <v>18209.57</v>
      </c>
      <c r="Q234" s="28">
        <f>L234</f>
        <v>13.107699999999999</v>
      </c>
      <c r="W234">
        <f>IF(Source!BI109&lt;=1,H226+H227+H229+H230+H231, 0)</f>
        <v>2388.0399999999995</v>
      </c>
      <c r="X234">
        <f>IF(Source!BI109=2,H226+H227+H229+H230+H231, 0)</f>
        <v>0</v>
      </c>
      <c r="Y234">
        <f>IF(Source!BI109=3,H226+H227+H229+H230+H231, 0)</f>
        <v>0</v>
      </c>
      <c r="Z234">
        <f>IF(Source!BI109=4,H226+H227+H229+H230+H231, 0)</f>
        <v>0</v>
      </c>
    </row>
    <row r="235" spans="1:26" ht="54" x14ac:dyDescent="0.2">
      <c r="A235" s="50">
        <v>45</v>
      </c>
      <c r="B235" s="50" t="str">
        <f>Source!F111</f>
        <v>Цена поставщика</v>
      </c>
      <c r="C235" s="50" t="s">
        <v>581</v>
      </c>
      <c r="D235" s="34" t="str">
        <f>Source!H111</f>
        <v>шт.</v>
      </c>
      <c r="E235" s="35">
        <f>Source!I111</f>
        <v>21</v>
      </c>
      <c r="F235" s="36">
        <f>Source!AL111</f>
        <v>179.24</v>
      </c>
      <c r="G235" s="37" t="str">
        <f>Source!DD111</f>
        <v/>
      </c>
      <c r="H235" s="36">
        <f>ROUND(Source!AC111*Source!I111, 2)</f>
        <v>3764.04</v>
      </c>
      <c r="I235" s="37" t="str">
        <f>Source!BO111</f>
        <v/>
      </c>
      <c r="J235" s="37">
        <f>IF(Source!BC111&lt;&gt; 0, Source!BC111, 1)</f>
        <v>8.3800000000000008</v>
      </c>
      <c r="K235" s="36">
        <f>Source!P111</f>
        <v>31542.66</v>
      </c>
      <c r="L235" s="38"/>
      <c r="S235">
        <f>ROUND((Source!FX111/100)*((ROUND(Source!AF111*Source!I111, 2)+ROUND(Source!AE111*Source!I111, 2))), 2)</f>
        <v>0</v>
      </c>
      <c r="T235">
        <f>Source!X111</f>
        <v>0</v>
      </c>
      <c r="U235">
        <f>ROUND((Source!FY111/100)*((ROUND(Source!AF111*Source!I111, 2)+ROUND(Source!AE111*Source!I111, 2))), 2)</f>
        <v>0</v>
      </c>
      <c r="V235">
        <f>Source!Y111</f>
        <v>0</v>
      </c>
    </row>
    <row r="236" spans="1:26" ht="15" x14ac:dyDescent="0.25">
      <c r="G236" s="57">
        <f>H235</f>
        <v>3764.04</v>
      </c>
      <c r="H236" s="57"/>
      <c r="J236" s="57">
        <f>K235</f>
        <v>31542.66</v>
      </c>
      <c r="K236" s="57"/>
      <c r="L236" s="39">
        <f>Source!U111</f>
        <v>0</v>
      </c>
      <c r="O236" s="28">
        <f>G236</f>
        <v>3764.04</v>
      </c>
      <c r="P236" s="28">
        <f>J236</f>
        <v>31542.66</v>
      </c>
      <c r="Q236" s="28">
        <f>L236</f>
        <v>0</v>
      </c>
      <c r="W236">
        <f>IF(Source!BI111&lt;=1,H235, 0)</f>
        <v>3764.04</v>
      </c>
      <c r="X236">
        <f>IF(Source!BI111=2,H235, 0)</f>
        <v>0</v>
      </c>
      <c r="Y236">
        <f>IF(Source!BI111=3,H235, 0)</f>
        <v>0</v>
      </c>
      <c r="Z236">
        <f>IF(Source!BI111=4,H235, 0)</f>
        <v>0</v>
      </c>
    </row>
    <row r="237" spans="1:26" ht="54" x14ac:dyDescent="0.2">
      <c r="A237" s="50">
        <v>46</v>
      </c>
      <c r="B237" s="50" t="str">
        <f>Source!F112</f>
        <v>Цена поставщика</v>
      </c>
      <c r="C237" s="50" t="s">
        <v>582</v>
      </c>
      <c r="D237" s="34" t="str">
        <f>Source!H112</f>
        <v>шт.</v>
      </c>
      <c r="E237" s="35">
        <f>Source!I112</f>
        <v>68</v>
      </c>
      <c r="F237" s="36">
        <f>Source!AL112</f>
        <v>34.290000000000006</v>
      </c>
      <c r="G237" s="37" t="str">
        <f>Source!DD112</f>
        <v/>
      </c>
      <c r="H237" s="36">
        <f>ROUND(Source!AC112*Source!I112, 2)</f>
        <v>2331.7199999999998</v>
      </c>
      <c r="I237" s="37" t="str">
        <f>Source!BO112</f>
        <v/>
      </c>
      <c r="J237" s="37">
        <f>IF(Source!BC112&lt;&gt; 0, Source!BC112, 1)</f>
        <v>8.3800000000000008</v>
      </c>
      <c r="K237" s="36">
        <f>Source!P112</f>
        <v>19539.810000000001</v>
      </c>
      <c r="L237" s="38"/>
      <c r="S237">
        <f>ROUND((Source!FX112/100)*((ROUND(Source!AF112*Source!I112, 2)+ROUND(Source!AE112*Source!I112, 2))), 2)</f>
        <v>0</v>
      </c>
      <c r="T237">
        <f>Source!X112</f>
        <v>0</v>
      </c>
      <c r="U237">
        <f>ROUND((Source!FY112/100)*((ROUND(Source!AF112*Source!I112, 2)+ROUND(Source!AE112*Source!I112, 2))), 2)</f>
        <v>0</v>
      </c>
      <c r="V237">
        <f>Source!Y112</f>
        <v>0</v>
      </c>
    </row>
    <row r="238" spans="1:26" ht="15" x14ac:dyDescent="0.25">
      <c r="G238" s="57">
        <f>H237</f>
        <v>2331.7199999999998</v>
      </c>
      <c r="H238" s="57"/>
      <c r="J238" s="57">
        <f>K237</f>
        <v>19539.810000000001</v>
      </c>
      <c r="K238" s="57"/>
      <c r="L238" s="39">
        <f>Source!U112</f>
        <v>0</v>
      </c>
      <c r="O238" s="28">
        <f>G238</f>
        <v>2331.7199999999998</v>
      </c>
      <c r="P238" s="28">
        <f>J238</f>
        <v>19539.810000000001</v>
      </c>
      <c r="Q238" s="28">
        <f>L238</f>
        <v>0</v>
      </c>
      <c r="W238">
        <f>IF(Source!BI112&lt;=1,H237, 0)</f>
        <v>2331.7199999999998</v>
      </c>
      <c r="X238">
        <f>IF(Source!BI112=2,H237, 0)</f>
        <v>0</v>
      </c>
      <c r="Y238">
        <f>IF(Source!BI112=3,H237, 0)</f>
        <v>0</v>
      </c>
      <c r="Z238">
        <f>IF(Source!BI112=4,H237, 0)</f>
        <v>0</v>
      </c>
    </row>
    <row r="239" spans="1:26" ht="42.75" x14ac:dyDescent="0.2">
      <c r="A239" s="50">
        <v>47</v>
      </c>
      <c r="B239" s="50" t="str">
        <f>Source!F113</f>
        <v>Цена поставщика</v>
      </c>
      <c r="C239" s="50" t="s">
        <v>583</v>
      </c>
      <c r="D239" s="34" t="str">
        <f>Source!H113</f>
        <v>шт.</v>
      </c>
      <c r="E239" s="35">
        <f>Source!I113</f>
        <v>4</v>
      </c>
      <c r="F239" s="36">
        <f>Source!AL113</f>
        <v>21.41</v>
      </c>
      <c r="G239" s="37" t="str">
        <f>Source!DD113</f>
        <v/>
      </c>
      <c r="H239" s="36">
        <f>ROUND(Source!AC113*Source!I113, 2)</f>
        <v>85.64</v>
      </c>
      <c r="I239" s="37" t="str">
        <f>Source!BO113</f>
        <v/>
      </c>
      <c r="J239" s="37">
        <f>IF(Source!BC113&lt;&gt; 0, Source!BC113, 1)</f>
        <v>8.3800000000000008</v>
      </c>
      <c r="K239" s="36">
        <f>Source!P113</f>
        <v>717.66</v>
      </c>
      <c r="L239" s="38"/>
      <c r="S239">
        <f>ROUND((Source!FX113/100)*((ROUND(Source!AF113*Source!I113, 2)+ROUND(Source!AE113*Source!I113, 2))), 2)</f>
        <v>0</v>
      </c>
      <c r="T239">
        <f>Source!X113</f>
        <v>0</v>
      </c>
      <c r="U239">
        <f>ROUND((Source!FY113/100)*((ROUND(Source!AF113*Source!I113, 2)+ROUND(Source!AE113*Source!I113, 2))), 2)</f>
        <v>0</v>
      </c>
      <c r="V239">
        <f>Source!Y113</f>
        <v>0</v>
      </c>
    </row>
    <row r="240" spans="1:26" ht="15" x14ac:dyDescent="0.25">
      <c r="G240" s="57">
        <f>H239</f>
        <v>85.64</v>
      </c>
      <c r="H240" s="57"/>
      <c r="J240" s="57">
        <f>K239</f>
        <v>717.66</v>
      </c>
      <c r="K240" s="57"/>
      <c r="L240" s="39">
        <f>Source!U113</f>
        <v>0</v>
      </c>
      <c r="O240" s="28">
        <f>G240</f>
        <v>85.64</v>
      </c>
      <c r="P240" s="28">
        <f>J240</f>
        <v>717.66</v>
      </c>
      <c r="Q240" s="28">
        <f>L240</f>
        <v>0</v>
      </c>
      <c r="W240">
        <f>IF(Source!BI113&lt;=1,H239, 0)</f>
        <v>85.64</v>
      </c>
      <c r="X240">
        <f>IF(Source!BI113=2,H239, 0)</f>
        <v>0</v>
      </c>
      <c r="Y240">
        <f>IF(Source!BI113=3,H239, 0)</f>
        <v>0</v>
      </c>
      <c r="Z240">
        <f>IF(Source!BI113=4,H239, 0)</f>
        <v>0</v>
      </c>
    </row>
    <row r="241" spans="1:26" ht="42.75" x14ac:dyDescent="0.2">
      <c r="A241" s="51">
        <v>48</v>
      </c>
      <c r="B241" s="51" t="str">
        <f>Source!F114</f>
        <v>12-01-035-03</v>
      </c>
      <c r="C241" s="51" t="str">
        <f>Source!G114</f>
        <v>Устройство металлической водосточной системы: прямых звеньев труб</v>
      </c>
      <c r="D241" s="40" t="str">
        <f>Source!H114</f>
        <v>м</v>
      </c>
      <c r="E241" s="24">
        <f>Source!I114</f>
        <v>30</v>
      </c>
      <c r="F241" s="41">
        <f>Source!AL114+Source!AM114+Source!AO114</f>
        <v>8.9499999999999993</v>
      </c>
      <c r="G241" s="42"/>
      <c r="H241" s="41"/>
      <c r="I241" s="42" t="str">
        <f>Source!BO114</f>
        <v/>
      </c>
      <c r="J241" s="42"/>
      <c r="K241" s="41"/>
      <c r="L241" s="43"/>
      <c r="S241">
        <f>ROUND((Source!FX114/100)*((ROUND(Source!AF114*Source!I114, 2)+ROUND(Source!AE114*Source!I114, 2))), 2)</f>
        <v>43.16</v>
      </c>
      <c r="T241">
        <f>Source!X114</f>
        <v>1973.03</v>
      </c>
      <c r="U241">
        <f>ROUND((Source!FY114/100)*((ROUND(Source!AF114*Source!I114, 2)+ROUND(Source!AE114*Source!I114, 2))), 2)</f>
        <v>19.190000000000001</v>
      </c>
      <c r="V241">
        <f>Source!Y114</f>
        <v>877</v>
      </c>
    </row>
    <row r="242" spans="1:26" ht="14.25" x14ac:dyDescent="0.2">
      <c r="A242" s="51"/>
      <c r="B242" s="51"/>
      <c r="C242" s="51" t="s">
        <v>570</v>
      </c>
      <c r="D242" s="40"/>
      <c r="E242" s="24"/>
      <c r="F242" s="41">
        <f>Source!AO114</f>
        <v>1.1499999999999999</v>
      </c>
      <c r="G242" s="42" t="str">
        <f>Source!DG114</f>
        <v>)*1,15</v>
      </c>
      <c r="H242" s="41">
        <f>ROUND(Source!AF114*Source!I114, 2)</f>
        <v>39.6</v>
      </c>
      <c r="I242" s="42"/>
      <c r="J242" s="42">
        <f>IF(Source!BA114&lt;&gt; 0, Source!BA114, 1)</f>
        <v>45.71</v>
      </c>
      <c r="K242" s="41">
        <f>Source!S114</f>
        <v>1810.12</v>
      </c>
      <c r="L242" s="43"/>
      <c r="R242">
        <f>H242</f>
        <v>39.6</v>
      </c>
    </row>
    <row r="243" spans="1:26" ht="14.25" x14ac:dyDescent="0.2">
      <c r="A243" s="51"/>
      <c r="B243" s="51"/>
      <c r="C243" s="51" t="s">
        <v>577</v>
      </c>
      <c r="D243" s="40"/>
      <c r="E243" s="24"/>
      <c r="F243" s="41">
        <f>Source!AL114</f>
        <v>7.8</v>
      </c>
      <c r="G243" s="42" t="str">
        <f>Source!DD114</f>
        <v/>
      </c>
      <c r="H243" s="41">
        <f>ROUND(Source!AC114*Source!I114, 2)</f>
        <v>234</v>
      </c>
      <c r="I243" s="42"/>
      <c r="J243" s="42">
        <f>IF(Source!BC114&lt;&gt; 0, Source!BC114, 1)</f>
        <v>8.3800000000000008</v>
      </c>
      <c r="K243" s="41">
        <f>Source!P114</f>
        <v>1960.92</v>
      </c>
      <c r="L243" s="43"/>
    </row>
    <row r="244" spans="1:26" ht="14.25" x14ac:dyDescent="0.2">
      <c r="A244" s="51"/>
      <c r="B244" s="51"/>
      <c r="C244" s="51" t="s">
        <v>571</v>
      </c>
      <c r="D244" s="40" t="s">
        <v>572</v>
      </c>
      <c r="E244" s="24">
        <f>Source!BZ114</f>
        <v>109</v>
      </c>
      <c r="F244" s="52"/>
      <c r="G244" s="42"/>
      <c r="H244" s="41">
        <f>SUM(S241:S246)</f>
        <v>43.16</v>
      </c>
      <c r="I244" s="44"/>
      <c r="J244" s="33">
        <f>Source!AT114</f>
        <v>109</v>
      </c>
      <c r="K244" s="41">
        <f>SUM(T241:T246)</f>
        <v>1973.03</v>
      </c>
      <c r="L244" s="43"/>
    </row>
    <row r="245" spans="1:26" ht="14.25" x14ac:dyDescent="0.2">
      <c r="A245" s="51"/>
      <c r="B245" s="51"/>
      <c r="C245" s="51" t="s">
        <v>573</v>
      </c>
      <c r="D245" s="40" t="s">
        <v>572</v>
      </c>
      <c r="E245" s="24">
        <f>Source!CA114</f>
        <v>57</v>
      </c>
      <c r="F245" s="60" t="str">
        <f>CONCATENATE(" )", Source!DM114, Source!FU114, "=", Source!FY114)</f>
        <v xml:space="preserve"> ))*0,85=48,45</v>
      </c>
      <c r="G245" s="61"/>
      <c r="H245" s="41">
        <f>SUM(U241:U246)</f>
        <v>19.190000000000001</v>
      </c>
      <c r="I245" s="44"/>
      <c r="J245" s="33">
        <f>Source!AU114</f>
        <v>48.45</v>
      </c>
      <c r="K245" s="41">
        <f>SUM(V241:V246)</f>
        <v>877</v>
      </c>
      <c r="L245" s="43"/>
    </row>
    <row r="246" spans="1:26" ht="14.25" x14ac:dyDescent="0.2">
      <c r="A246" s="50"/>
      <c r="B246" s="50"/>
      <c r="C246" s="50" t="s">
        <v>574</v>
      </c>
      <c r="D246" s="34" t="s">
        <v>575</v>
      </c>
      <c r="E246" s="35">
        <f>Source!AQ114</f>
        <v>0.12</v>
      </c>
      <c r="F246" s="36"/>
      <c r="G246" s="37" t="str">
        <f>Source!DI114</f>
        <v>)*1,15</v>
      </c>
      <c r="H246" s="36"/>
      <c r="I246" s="37"/>
      <c r="J246" s="37"/>
      <c r="K246" s="36"/>
      <c r="L246" s="45">
        <f>Source!U114</f>
        <v>4.1399999999999997</v>
      </c>
    </row>
    <row r="247" spans="1:26" ht="15" x14ac:dyDescent="0.25">
      <c r="G247" s="57">
        <f>H242+H243+H244+H245</f>
        <v>335.95</v>
      </c>
      <c r="H247" s="57"/>
      <c r="J247" s="57">
        <f>K242+K243+K244+K245</f>
        <v>6621.07</v>
      </c>
      <c r="K247" s="57"/>
      <c r="L247" s="39">
        <f>Source!U114</f>
        <v>4.1399999999999997</v>
      </c>
      <c r="O247" s="28">
        <f>G247</f>
        <v>335.95</v>
      </c>
      <c r="P247" s="28">
        <f>J247</f>
        <v>6621.07</v>
      </c>
      <c r="Q247" s="28">
        <f>L247</f>
        <v>4.1399999999999997</v>
      </c>
      <c r="W247">
        <f>IF(Source!BI114&lt;=1,H242+H243+H244+H245, 0)</f>
        <v>335.95</v>
      </c>
      <c r="X247">
        <f>IF(Source!BI114=2,H242+H243+H244+H245, 0)</f>
        <v>0</v>
      </c>
      <c r="Y247">
        <f>IF(Source!BI114=3,H242+H243+H244+H245, 0)</f>
        <v>0</v>
      </c>
      <c r="Z247">
        <f>IF(Source!BI114=4,H242+H243+H244+H245, 0)</f>
        <v>0</v>
      </c>
    </row>
    <row r="248" spans="1:26" ht="54" x14ac:dyDescent="0.2">
      <c r="A248" s="50">
        <v>49</v>
      </c>
      <c r="B248" s="50" t="str">
        <f>Source!F115</f>
        <v>Цена поставщика</v>
      </c>
      <c r="C248" s="50" t="s">
        <v>584</v>
      </c>
      <c r="D248" s="34" t="str">
        <f>Source!H115</f>
        <v>шт.</v>
      </c>
      <c r="E248" s="35">
        <f>Source!I115</f>
        <v>24</v>
      </c>
      <c r="F248" s="36">
        <f>Source!AL115</f>
        <v>120.88000000000001</v>
      </c>
      <c r="G248" s="37" t="str">
        <f>Source!DD115</f>
        <v/>
      </c>
      <c r="H248" s="36">
        <f>ROUND(Source!AC115*Source!I115, 2)</f>
        <v>2901.12</v>
      </c>
      <c r="I248" s="37" t="str">
        <f>Source!BO115</f>
        <v/>
      </c>
      <c r="J248" s="37">
        <f>IF(Source!BC115&lt;&gt; 0, Source!BC115, 1)</f>
        <v>8.3800000000000008</v>
      </c>
      <c r="K248" s="36">
        <f>Source!P115</f>
        <v>24311.39</v>
      </c>
      <c r="L248" s="38"/>
      <c r="S248">
        <f>ROUND((Source!FX115/100)*((ROUND(Source!AF115*Source!I115, 2)+ROUND(Source!AE115*Source!I115, 2))), 2)</f>
        <v>0</v>
      </c>
      <c r="T248">
        <f>Source!X115</f>
        <v>0</v>
      </c>
      <c r="U248">
        <f>ROUND((Source!FY115/100)*((ROUND(Source!AF115*Source!I115, 2)+ROUND(Source!AE115*Source!I115, 2))), 2)</f>
        <v>0</v>
      </c>
      <c r="V248">
        <f>Source!Y115</f>
        <v>0</v>
      </c>
    </row>
    <row r="249" spans="1:26" ht="15" x14ac:dyDescent="0.25">
      <c r="G249" s="57">
        <f>H248</f>
        <v>2901.12</v>
      </c>
      <c r="H249" s="57"/>
      <c r="J249" s="57">
        <f>K248</f>
        <v>24311.39</v>
      </c>
      <c r="K249" s="57"/>
      <c r="L249" s="39">
        <f>Source!U115</f>
        <v>0</v>
      </c>
      <c r="O249" s="28">
        <f>G249</f>
        <v>2901.12</v>
      </c>
      <c r="P249" s="28">
        <f>J249</f>
        <v>24311.39</v>
      </c>
      <c r="Q249" s="28">
        <f>L249</f>
        <v>0</v>
      </c>
      <c r="W249">
        <f>IF(Source!BI115&lt;=1,H248, 0)</f>
        <v>2901.12</v>
      </c>
      <c r="X249">
        <f>IF(Source!BI115=2,H248, 0)</f>
        <v>0</v>
      </c>
      <c r="Y249">
        <f>IF(Source!BI115=3,H248, 0)</f>
        <v>0</v>
      </c>
      <c r="Z249">
        <f>IF(Source!BI115=4,H248, 0)</f>
        <v>0</v>
      </c>
    </row>
    <row r="250" spans="1:26" ht="42.75" x14ac:dyDescent="0.2">
      <c r="A250" s="50">
        <v>50</v>
      </c>
      <c r="B250" s="50" t="str">
        <f>Source!F116</f>
        <v>Цена поставщика</v>
      </c>
      <c r="C250" s="50" t="s">
        <v>592</v>
      </c>
      <c r="D250" s="34" t="str">
        <f>Source!H116</f>
        <v>шт.</v>
      </c>
      <c r="E250" s="35">
        <f>Source!I116</f>
        <v>4</v>
      </c>
      <c r="F250" s="36">
        <f>Source!AL116</f>
        <v>82.44</v>
      </c>
      <c r="G250" s="37" t="str">
        <f>Source!DD116</f>
        <v/>
      </c>
      <c r="H250" s="36">
        <f>ROUND(Source!AC116*Source!I116, 2)</f>
        <v>329.76</v>
      </c>
      <c r="I250" s="37" t="str">
        <f>Source!BO116</f>
        <v/>
      </c>
      <c r="J250" s="37">
        <f>IF(Source!BC116&lt;&gt; 0, Source!BC116, 1)</f>
        <v>8.3800000000000008</v>
      </c>
      <c r="K250" s="36">
        <f>Source!P116</f>
        <v>2763.39</v>
      </c>
      <c r="L250" s="38"/>
      <c r="S250">
        <f>ROUND((Source!FX116/100)*((ROUND(Source!AF116*Source!I116, 2)+ROUND(Source!AE116*Source!I116, 2))), 2)</f>
        <v>0</v>
      </c>
      <c r="T250">
        <f>Source!X116</f>
        <v>0</v>
      </c>
      <c r="U250">
        <f>ROUND((Source!FY116/100)*((ROUND(Source!AF116*Source!I116, 2)+ROUND(Source!AE116*Source!I116, 2))), 2)</f>
        <v>0</v>
      </c>
      <c r="V250">
        <f>Source!Y116</f>
        <v>0</v>
      </c>
    </row>
    <row r="251" spans="1:26" ht="15" x14ac:dyDescent="0.25">
      <c r="G251" s="57">
        <f>H250</f>
        <v>329.76</v>
      </c>
      <c r="H251" s="57"/>
      <c r="J251" s="57">
        <f>K250</f>
        <v>2763.39</v>
      </c>
      <c r="K251" s="57"/>
      <c r="L251" s="39">
        <f>Source!U116</f>
        <v>0</v>
      </c>
      <c r="O251" s="28">
        <f>G251</f>
        <v>329.76</v>
      </c>
      <c r="P251" s="28">
        <f>J251</f>
        <v>2763.39</v>
      </c>
      <c r="Q251" s="28">
        <f>L251</f>
        <v>0</v>
      </c>
      <c r="W251">
        <f>IF(Source!BI116&lt;=1,H250, 0)</f>
        <v>329.76</v>
      </c>
      <c r="X251">
        <f>IF(Source!BI116=2,H250, 0)</f>
        <v>0</v>
      </c>
      <c r="Y251">
        <f>IF(Source!BI116=3,H250, 0)</f>
        <v>0</v>
      </c>
      <c r="Z251">
        <f>IF(Source!BI116=4,H250, 0)</f>
        <v>0</v>
      </c>
    </row>
    <row r="252" spans="1:26" ht="54" x14ac:dyDescent="0.2">
      <c r="A252" s="50">
        <v>51</v>
      </c>
      <c r="B252" s="50" t="str">
        <f>Source!F117</f>
        <v>Цена поставщика</v>
      </c>
      <c r="C252" s="50" t="s">
        <v>586</v>
      </c>
      <c r="D252" s="34" t="str">
        <f>Source!H117</f>
        <v>шт.</v>
      </c>
      <c r="E252" s="35">
        <f>Source!I117</f>
        <v>24</v>
      </c>
      <c r="F252" s="36">
        <f>Source!AL117</f>
        <v>28.87</v>
      </c>
      <c r="G252" s="37" t="str">
        <f>Source!DD117</f>
        <v/>
      </c>
      <c r="H252" s="36">
        <f>ROUND(Source!AC117*Source!I117, 2)</f>
        <v>692.88</v>
      </c>
      <c r="I252" s="37" t="str">
        <f>Source!BO117</f>
        <v/>
      </c>
      <c r="J252" s="37">
        <f>IF(Source!BC117&lt;&gt; 0, Source!BC117, 1)</f>
        <v>8.3800000000000008</v>
      </c>
      <c r="K252" s="36">
        <f>Source!P117</f>
        <v>5806.33</v>
      </c>
      <c r="L252" s="38"/>
      <c r="S252">
        <f>ROUND((Source!FX117/100)*((ROUND(Source!AF117*Source!I117, 2)+ROUND(Source!AE117*Source!I117, 2))), 2)</f>
        <v>0</v>
      </c>
      <c r="T252">
        <f>Source!X117</f>
        <v>0</v>
      </c>
      <c r="U252">
        <f>ROUND((Source!FY117/100)*((ROUND(Source!AF117*Source!I117, 2)+ROUND(Source!AE117*Source!I117, 2))), 2)</f>
        <v>0</v>
      </c>
      <c r="V252">
        <f>Source!Y117</f>
        <v>0</v>
      </c>
    </row>
    <row r="253" spans="1:26" ht="15" x14ac:dyDescent="0.25">
      <c r="G253" s="57">
        <f>H252</f>
        <v>692.88</v>
      </c>
      <c r="H253" s="57"/>
      <c r="J253" s="57">
        <f>K252</f>
        <v>5806.33</v>
      </c>
      <c r="K253" s="57"/>
      <c r="L253" s="39">
        <f>Source!U117</f>
        <v>0</v>
      </c>
      <c r="O253" s="28">
        <f>G253</f>
        <v>692.88</v>
      </c>
      <c r="P253" s="28">
        <f>J253</f>
        <v>5806.33</v>
      </c>
      <c r="Q253" s="28">
        <f>L253</f>
        <v>0</v>
      </c>
      <c r="W253">
        <f>IF(Source!BI117&lt;=1,H252, 0)</f>
        <v>692.88</v>
      </c>
      <c r="X253">
        <f>IF(Source!BI117=2,H252, 0)</f>
        <v>0</v>
      </c>
      <c r="Y253">
        <f>IF(Source!BI117=3,H252, 0)</f>
        <v>0</v>
      </c>
      <c r="Z253">
        <f>IF(Source!BI117=4,H252, 0)</f>
        <v>0</v>
      </c>
    </row>
    <row r="254" spans="1:26" ht="28.5" x14ac:dyDescent="0.2">
      <c r="A254" s="51">
        <v>52</v>
      </c>
      <c r="B254" s="51" t="str">
        <f>Source!F118</f>
        <v>12-01-035-02</v>
      </c>
      <c r="C254" s="51" t="str">
        <f>Source!G118</f>
        <v>Устройство металлической водосточной системы: воронок</v>
      </c>
      <c r="D254" s="40" t="str">
        <f>Source!H118</f>
        <v>ШТ</v>
      </c>
      <c r="E254" s="24">
        <f>Source!I118</f>
        <v>4</v>
      </c>
      <c r="F254" s="41">
        <f>Source!AL118+Source!AM118+Source!AO118</f>
        <v>1.73</v>
      </c>
      <c r="G254" s="42"/>
      <c r="H254" s="41"/>
      <c r="I254" s="42" t="str">
        <f>Source!BO118</f>
        <v/>
      </c>
      <c r="J254" s="42"/>
      <c r="K254" s="41"/>
      <c r="L254" s="43"/>
      <c r="S254">
        <f>ROUND((Source!FX118/100)*((ROUND(Source!AF118*Source!I118, 2)+ROUND(Source!AE118*Source!I118, 2))), 2)</f>
        <v>8.68</v>
      </c>
      <c r="T254">
        <f>Source!X118</f>
        <v>396.6</v>
      </c>
      <c r="U254">
        <f>ROUND((Source!FY118/100)*((ROUND(Source!AF118*Source!I118, 2)+ROUND(Source!AE118*Source!I118, 2))), 2)</f>
        <v>3.86</v>
      </c>
      <c r="V254">
        <f>Source!Y118</f>
        <v>176.29</v>
      </c>
    </row>
    <row r="255" spans="1:26" ht="14.25" x14ac:dyDescent="0.2">
      <c r="A255" s="51"/>
      <c r="B255" s="51"/>
      <c r="C255" s="51" t="s">
        <v>570</v>
      </c>
      <c r="D255" s="40"/>
      <c r="E255" s="24"/>
      <c r="F255" s="41">
        <f>Source!AO118</f>
        <v>1.73</v>
      </c>
      <c r="G255" s="42" t="str">
        <f>Source!DG118</f>
        <v>)*1,15</v>
      </c>
      <c r="H255" s="41">
        <f>ROUND(Source!AF118*Source!I118, 2)</f>
        <v>7.96</v>
      </c>
      <c r="I255" s="42"/>
      <c r="J255" s="42">
        <f>IF(Source!BA118&lt;&gt; 0, Source!BA118, 1)</f>
        <v>45.71</v>
      </c>
      <c r="K255" s="41">
        <f>Source!S118</f>
        <v>363.85</v>
      </c>
      <c r="L255" s="43"/>
      <c r="R255">
        <f>H255</f>
        <v>7.96</v>
      </c>
    </row>
    <row r="256" spans="1:26" ht="14.25" x14ac:dyDescent="0.2">
      <c r="A256" s="51"/>
      <c r="B256" s="51"/>
      <c r="C256" s="51" t="s">
        <v>571</v>
      </c>
      <c r="D256" s="40" t="s">
        <v>572</v>
      </c>
      <c r="E256" s="24">
        <f>Source!BZ118</f>
        <v>109</v>
      </c>
      <c r="F256" s="52"/>
      <c r="G256" s="42"/>
      <c r="H256" s="41">
        <f>SUM(S254:S258)</f>
        <v>8.68</v>
      </c>
      <c r="I256" s="44"/>
      <c r="J256" s="33">
        <f>Source!AT118</f>
        <v>109</v>
      </c>
      <c r="K256" s="41">
        <f>SUM(T254:T258)</f>
        <v>396.6</v>
      </c>
      <c r="L256" s="43"/>
    </row>
    <row r="257" spans="1:26" ht="14.25" x14ac:dyDescent="0.2">
      <c r="A257" s="51"/>
      <c r="B257" s="51"/>
      <c r="C257" s="51" t="s">
        <v>573</v>
      </c>
      <c r="D257" s="40" t="s">
        <v>572</v>
      </c>
      <c r="E257" s="24">
        <f>Source!CA118</f>
        <v>57</v>
      </c>
      <c r="F257" s="60" t="str">
        <f>CONCATENATE(" )", Source!DM118, Source!FU118, "=", Source!FY118)</f>
        <v xml:space="preserve"> ))*0,85=48,45</v>
      </c>
      <c r="G257" s="61"/>
      <c r="H257" s="41">
        <f>SUM(U254:U258)</f>
        <v>3.86</v>
      </c>
      <c r="I257" s="44"/>
      <c r="J257" s="33">
        <f>Source!AU118</f>
        <v>48.45</v>
      </c>
      <c r="K257" s="41">
        <f>SUM(V254:V258)</f>
        <v>176.29</v>
      </c>
      <c r="L257" s="43"/>
    </row>
    <row r="258" spans="1:26" ht="14.25" x14ac:dyDescent="0.2">
      <c r="A258" s="50"/>
      <c r="B258" s="50"/>
      <c r="C258" s="50" t="s">
        <v>574</v>
      </c>
      <c r="D258" s="34" t="s">
        <v>575</v>
      </c>
      <c r="E258" s="35">
        <f>Source!AQ118</f>
        <v>0.18</v>
      </c>
      <c r="F258" s="36"/>
      <c r="G258" s="37" t="str">
        <f>Source!DI118</f>
        <v>)*1,15</v>
      </c>
      <c r="H258" s="36"/>
      <c r="I258" s="37"/>
      <c r="J258" s="37"/>
      <c r="K258" s="36"/>
      <c r="L258" s="45">
        <f>Source!U118</f>
        <v>0.82799999999999996</v>
      </c>
    </row>
    <row r="259" spans="1:26" ht="15" x14ac:dyDescent="0.25">
      <c r="G259" s="57">
        <f>H255+H256+H257</f>
        <v>20.5</v>
      </c>
      <c r="H259" s="57"/>
      <c r="J259" s="57">
        <f>K255+K256+K257</f>
        <v>936.74</v>
      </c>
      <c r="K259" s="57"/>
      <c r="L259" s="39">
        <f>Source!U118</f>
        <v>0.82799999999999996</v>
      </c>
      <c r="O259" s="28">
        <f>G259</f>
        <v>20.5</v>
      </c>
      <c r="P259" s="28">
        <f>J259</f>
        <v>936.74</v>
      </c>
      <c r="Q259" s="28">
        <f>L259</f>
        <v>0.82799999999999996</v>
      </c>
      <c r="W259">
        <f>IF(Source!BI118&lt;=1,H255+H256+H257, 0)</f>
        <v>20.5</v>
      </c>
      <c r="X259">
        <f>IF(Source!BI118=2,H255+H256+H257, 0)</f>
        <v>0</v>
      </c>
      <c r="Y259">
        <f>IF(Source!BI118=3,H255+H256+H257, 0)</f>
        <v>0</v>
      </c>
      <c r="Z259">
        <f>IF(Source!BI118=4,H255+H256+H257, 0)</f>
        <v>0</v>
      </c>
    </row>
    <row r="260" spans="1:26" ht="54" x14ac:dyDescent="0.2">
      <c r="A260" s="50">
        <v>53</v>
      </c>
      <c r="B260" s="50" t="str">
        <f>Source!F119</f>
        <v>Цена поставщика</v>
      </c>
      <c r="C260" s="50" t="s">
        <v>587</v>
      </c>
      <c r="D260" s="34" t="str">
        <f>Source!H119</f>
        <v>шт.</v>
      </c>
      <c r="E260" s="35">
        <f>Source!I119</f>
        <v>4</v>
      </c>
      <c r="F260" s="36">
        <f>Source!AL119</f>
        <v>153.47999999999999</v>
      </c>
      <c r="G260" s="37" t="str">
        <f>Source!DD119</f>
        <v/>
      </c>
      <c r="H260" s="36">
        <f>ROUND(Source!AC119*Source!I119, 2)</f>
        <v>613.91999999999996</v>
      </c>
      <c r="I260" s="37" t="str">
        <f>Source!BO119</f>
        <v/>
      </c>
      <c r="J260" s="37">
        <f>IF(Source!BC119&lt;&gt; 0, Source!BC119, 1)</f>
        <v>8.3800000000000008</v>
      </c>
      <c r="K260" s="36">
        <f>Source!P119</f>
        <v>5144.6499999999996</v>
      </c>
      <c r="L260" s="38"/>
      <c r="S260">
        <f>ROUND((Source!FX119/100)*((ROUND(Source!AF119*Source!I119, 2)+ROUND(Source!AE119*Source!I119, 2))), 2)</f>
        <v>0</v>
      </c>
      <c r="T260">
        <f>Source!X119</f>
        <v>0</v>
      </c>
      <c r="U260">
        <f>ROUND((Source!FY119/100)*((ROUND(Source!AF119*Source!I119, 2)+ROUND(Source!AE119*Source!I119, 2))), 2)</f>
        <v>0</v>
      </c>
      <c r="V260">
        <f>Source!Y119</f>
        <v>0</v>
      </c>
    </row>
    <row r="261" spans="1:26" ht="15" x14ac:dyDescent="0.25">
      <c r="G261" s="57">
        <f>H260</f>
        <v>613.91999999999996</v>
      </c>
      <c r="H261" s="57"/>
      <c r="J261" s="57">
        <f>K260</f>
        <v>5144.6499999999996</v>
      </c>
      <c r="K261" s="57"/>
      <c r="L261" s="39">
        <f>Source!U119</f>
        <v>0</v>
      </c>
      <c r="O261" s="28">
        <f>G261</f>
        <v>613.91999999999996</v>
      </c>
      <c r="P261" s="28">
        <f>J261</f>
        <v>5144.6499999999996</v>
      </c>
      <c r="Q261" s="28">
        <f>L261</f>
        <v>0</v>
      </c>
      <c r="W261">
        <f>IF(Source!BI119&lt;=1,H260, 0)</f>
        <v>613.91999999999996</v>
      </c>
      <c r="X261">
        <f>IF(Source!BI119=2,H260, 0)</f>
        <v>0</v>
      </c>
      <c r="Y261">
        <f>IF(Source!BI119=3,H260, 0)</f>
        <v>0</v>
      </c>
      <c r="Z261">
        <f>IF(Source!BI119=4,H260, 0)</f>
        <v>0</v>
      </c>
    </row>
    <row r="262" spans="1:26" ht="28.5" x14ac:dyDescent="0.2">
      <c r="A262" s="51">
        <v>54</v>
      </c>
      <c r="B262" s="51" t="str">
        <f>Source!F120</f>
        <v>12-01-035-01</v>
      </c>
      <c r="C262" s="51" t="str">
        <f>Source!G120</f>
        <v>Устройство металлической водосточной системы: колен</v>
      </c>
      <c r="D262" s="40" t="str">
        <f>Source!H120</f>
        <v>ШТ</v>
      </c>
      <c r="E262" s="24">
        <f>Source!I120</f>
        <v>8</v>
      </c>
      <c r="F262" s="41">
        <f>Source!AL120+Source!AM120+Source!AO120</f>
        <v>1.1499999999999999</v>
      </c>
      <c r="G262" s="42"/>
      <c r="H262" s="41"/>
      <c r="I262" s="42" t="str">
        <f>Source!BO120</f>
        <v/>
      </c>
      <c r="J262" s="42"/>
      <c r="K262" s="41"/>
      <c r="L262" s="43"/>
      <c r="S262">
        <f>ROUND((Source!FX120/100)*((ROUND(Source!AF120*Source!I120, 2)+ROUND(Source!AE120*Source!I120, 2))), 2)</f>
        <v>11.51</v>
      </c>
      <c r="T262">
        <f>Source!X120</f>
        <v>526.14</v>
      </c>
      <c r="U262">
        <f>ROUND((Source!FY120/100)*((ROUND(Source!AF120*Source!I120, 2)+ROUND(Source!AE120*Source!I120, 2))), 2)</f>
        <v>5.12</v>
      </c>
      <c r="V262">
        <f>Source!Y120</f>
        <v>233.87</v>
      </c>
    </row>
    <row r="263" spans="1:26" ht="14.25" x14ac:dyDescent="0.2">
      <c r="A263" s="51"/>
      <c r="B263" s="51"/>
      <c r="C263" s="51" t="s">
        <v>570</v>
      </c>
      <c r="D263" s="40"/>
      <c r="E263" s="24"/>
      <c r="F263" s="41">
        <f>Source!AO120</f>
        <v>1.1499999999999999</v>
      </c>
      <c r="G263" s="42" t="str">
        <f>Source!DG120</f>
        <v>)*1,15</v>
      </c>
      <c r="H263" s="41">
        <f>ROUND(Source!AF120*Source!I120, 2)</f>
        <v>10.56</v>
      </c>
      <c r="I263" s="42"/>
      <c r="J263" s="42">
        <f>IF(Source!BA120&lt;&gt; 0, Source!BA120, 1)</f>
        <v>45.71</v>
      </c>
      <c r="K263" s="41">
        <f>Source!S120</f>
        <v>482.7</v>
      </c>
      <c r="L263" s="43"/>
      <c r="R263">
        <f>H263</f>
        <v>10.56</v>
      </c>
    </row>
    <row r="264" spans="1:26" ht="14.25" x14ac:dyDescent="0.2">
      <c r="A264" s="51"/>
      <c r="B264" s="51"/>
      <c r="C264" s="51" t="s">
        <v>571</v>
      </c>
      <c r="D264" s="40" t="s">
        <v>572</v>
      </c>
      <c r="E264" s="24">
        <f>Source!BZ120</f>
        <v>109</v>
      </c>
      <c r="F264" s="52"/>
      <c r="G264" s="42"/>
      <c r="H264" s="41">
        <f>SUM(S262:S266)</f>
        <v>11.51</v>
      </c>
      <c r="I264" s="44"/>
      <c r="J264" s="33">
        <f>Source!AT120</f>
        <v>109</v>
      </c>
      <c r="K264" s="41">
        <f>SUM(T262:T266)</f>
        <v>526.14</v>
      </c>
      <c r="L264" s="43"/>
    </row>
    <row r="265" spans="1:26" ht="14.25" x14ac:dyDescent="0.2">
      <c r="A265" s="51"/>
      <c r="B265" s="51"/>
      <c r="C265" s="51" t="s">
        <v>573</v>
      </c>
      <c r="D265" s="40" t="s">
        <v>572</v>
      </c>
      <c r="E265" s="24">
        <f>Source!CA120</f>
        <v>57</v>
      </c>
      <c r="F265" s="60" t="str">
        <f>CONCATENATE(" )", Source!DM120, Source!FU120, "=", Source!FY120)</f>
        <v xml:space="preserve"> ))*0,85=48,45</v>
      </c>
      <c r="G265" s="61"/>
      <c r="H265" s="41">
        <f>SUM(U262:U266)</f>
        <v>5.12</v>
      </c>
      <c r="I265" s="44"/>
      <c r="J265" s="33">
        <f>Source!AU120</f>
        <v>48.45</v>
      </c>
      <c r="K265" s="41">
        <f>SUM(V262:V266)</f>
        <v>233.87</v>
      </c>
      <c r="L265" s="43"/>
    </row>
    <row r="266" spans="1:26" ht="14.25" x14ac:dyDescent="0.2">
      <c r="A266" s="50"/>
      <c r="B266" s="50"/>
      <c r="C266" s="50" t="s">
        <v>574</v>
      </c>
      <c r="D266" s="34" t="s">
        <v>575</v>
      </c>
      <c r="E266" s="35">
        <f>Source!AQ120</f>
        <v>0.12</v>
      </c>
      <c r="F266" s="36"/>
      <c r="G266" s="37" t="str">
        <f>Source!DI120</f>
        <v>)*1,15</v>
      </c>
      <c r="H266" s="36"/>
      <c r="I266" s="37"/>
      <c r="J266" s="37"/>
      <c r="K266" s="36"/>
      <c r="L266" s="45">
        <f>Source!U120</f>
        <v>1.1039999999999999</v>
      </c>
    </row>
    <row r="267" spans="1:26" ht="15" x14ac:dyDescent="0.25">
      <c r="G267" s="57">
        <f>H263+H264+H265</f>
        <v>27.19</v>
      </c>
      <c r="H267" s="57"/>
      <c r="J267" s="57">
        <f>K263+K264+K265</f>
        <v>1242.71</v>
      </c>
      <c r="K267" s="57"/>
      <c r="L267" s="39">
        <f>Source!U120</f>
        <v>1.1039999999999999</v>
      </c>
      <c r="O267" s="28">
        <f>G267</f>
        <v>27.19</v>
      </c>
      <c r="P267" s="28">
        <f>J267</f>
        <v>1242.71</v>
      </c>
      <c r="Q267" s="28">
        <f>L267</f>
        <v>1.1039999999999999</v>
      </c>
      <c r="W267">
        <f>IF(Source!BI120&lt;=1,H263+H264+H265, 0)</f>
        <v>27.19</v>
      </c>
      <c r="X267">
        <f>IF(Source!BI120=2,H263+H264+H265, 0)</f>
        <v>0</v>
      </c>
      <c r="Y267">
        <f>IF(Source!BI120=3,H263+H264+H265, 0)</f>
        <v>0</v>
      </c>
      <c r="Z267">
        <f>IF(Source!BI120=4,H263+H264+H265, 0)</f>
        <v>0</v>
      </c>
    </row>
    <row r="268" spans="1:26" ht="54" x14ac:dyDescent="0.2">
      <c r="A268" s="50">
        <v>55</v>
      </c>
      <c r="B268" s="50" t="str">
        <f>Source!F121</f>
        <v>Цена поставщика</v>
      </c>
      <c r="C268" s="50" t="s">
        <v>588</v>
      </c>
      <c r="D268" s="34" t="str">
        <f>Source!H121</f>
        <v>шт.</v>
      </c>
      <c r="E268" s="35">
        <f>Source!I121</f>
        <v>8</v>
      </c>
      <c r="F268" s="36">
        <f>Source!AL121</f>
        <v>82.44</v>
      </c>
      <c r="G268" s="37" t="str">
        <f>Source!DD121</f>
        <v/>
      </c>
      <c r="H268" s="36">
        <f>ROUND(Source!AC121*Source!I121, 2)</f>
        <v>659.52</v>
      </c>
      <c r="I268" s="37" t="str">
        <f>Source!BO121</f>
        <v/>
      </c>
      <c r="J268" s="37">
        <f>IF(Source!BC121&lt;&gt; 0, Source!BC121, 1)</f>
        <v>8.3800000000000008</v>
      </c>
      <c r="K268" s="36">
        <f>Source!P121</f>
        <v>5526.78</v>
      </c>
      <c r="L268" s="38"/>
      <c r="S268">
        <f>ROUND((Source!FX121/100)*((ROUND(Source!AF121*Source!I121, 2)+ROUND(Source!AE121*Source!I121, 2))), 2)</f>
        <v>0</v>
      </c>
      <c r="T268">
        <f>Source!X121</f>
        <v>0</v>
      </c>
      <c r="U268">
        <f>ROUND((Source!FY121/100)*((ROUND(Source!AF121*Source!I121, 2)+ROUND(Source!AE121*Source!I121, 2))), 2)</f>
        <v>0</v>
      </c>
      <c r="V268">
        <f>Source!Y121</f>
        <v>0</v>
      </c>
    </row>
    <row r="269" spans="1:26" ht="15" x14ac:dyDescent="0.25">
      <c r="G269" s="57">
        <f>H268</f>
        <v>659.52</v>
      </c>
      <c r="H269" s="57"/>
      <c r="J269" s="57">
        <f>K268</f>
        <v>5526.78</v>
      </c>
      <c r="K269" s="57"/>
      <c r="L269" s="39">
        <f>Source!U121</f>
        <v>0</v>
      </c>
      <c r="O269" s="28">
        <f>G269</f>
        <v>659.52</v>
      </c>
      <c r="P269" s="28">
        <f>J269</f>
        <v>5526.78</v>
      </c>
      <c r="Q269" s="28">
        <f>L269</f>
        <v>0</v>
      </c>
      <c r="W269">
        <f>IF(Source!BI121&lt;=1,H268, 0)</f>
        <v>659.52</v>
      </c>
      <c r="X269">
        <f>IF(Source!BI121=2,H268, 0)</f>
        <v>0</v>
      </c>
      <c r="Y269">
        <f>IF(Source!BI121=3,H268, 0)</f>
        <v>0</v>
      </c>
      <c r="Z269">
        <f>IF(Source!BI121=4,H268, 0)</f>
        <v>0</v>
      </c>
    </row>
    <row r="270" spans="1:26" ht="42.75" x14ac:dyDescent="0.2">
      <c r="A270" s="51">
        <v>56</v>
      </c>
      <c r="B270" s="51" t="str">
        <f>Source!F122</f>
        <v>12-01-010-01</v>
      </c>
      <c r="C270" s="51" t="str">
        <f>Source!G122</f>
        <v>Устройство мелких покрытий (брандмауэры, парапеты, свесы и т.п.) из листовой оцинкованной стали</v>
      </c>
      <c r="D270" s="40" t="str">
        <f>Source!H122</f>
        <v>100 м2</v>
      </c>
      <c r="E270" s="24">
        <f>Source!I122</f>
        <v>0.35199999999999998</v>
      </c>
      <c r="F270" s="41">
        <f>Source!AL122+Source!AM122+Source!AO122</f>
        <v>7367.18</v>
      </c>
      <c r="G270" s="42"/>
      <c r="H270" s="41"/>
      <c r="I270" s="42" t="str">
        <f>Source!BO122</f>
        <v/>
      </c>
      <c r="J270" s="42"/>
      <c r="K270" s="41"/>
      <c r="L270" s="43"/>
      <c r="S270">
        <f>ROUND((Source!FX122/100)*((ROUND(Source!AF122*Source!I122, 2)+ROUND(Source!AE122*Source!I122, 2))), 2)</f>
        <v>367.53</v>
      </c>
      <c r="T270">
        <f>Source!X122</f>
        <v>16799.310000000001</v>
      </c>
      <c r="U270">
        <f>ROUND((Source!FY122/100)*((ROUND(Source!AF122*Source!I122, 2)+ROUND(Source!AE122*Source!I122, 2))), 2)</f>
        <v>163.36000000000001</v>
      </c>
      <c r="V270">
        <f>Source!Y122</f>
        <v>7467.22</v>
      </c>
    </row>
    <row r="271" spans="1:26" ht="14.25" x14ac:dyDescent="0.2">
      <c r="A271" s="51"/>
      <c r="B271" s="51"/>
      <c r="C271" s="51" t="s">
        <v>570</v>
      </c>
      <c r="D271" s="40"/>
      <c r="E271" s="24"/>
      <c r="F271" s="41">
        <f>Source!AO122</f>
        <v>829.12</v>
      </c>
      <c r="G271" s="42" t="str">
        <f>Source!DG122</f>
        <v>)*1,15</v>
      </c>
      <c r="H271" s="41">
        <f>ROUND(Source!AF122*Source!I122, 2)</f>
        <v>335.63</v>
      </c>
      <c r="I271" s="42"/>
      <c r="J271" s="42">
        <f>IF(Source!BA122&lt;&gt; 0, Source!BA122, 1)</f>
        <v>45.71</v>
      </c>
      <c r="K271" s="41">
        <f>Source!S122</f>
        <v>15341.58</v>
      </c>
      <c r="L271" s="43"/>
      <c r="R271">
        <f>H271</f>
        <v>335.63</v>
      </c>
    </row>
    <row r="272" spans="1:26" ht="14.25" x14ac:dyDescent="0.2">
      <c r="A272" s="51"/>
      <c r="B272" s="51"/>
      <c r="C272" s="51" t="s">
        <v>205</v>
      </c>
      <c r="D272" s="40"/>
      <c r="E272" s="24"/>
      <c r="F272" s="41">
        <f>Source!AM122</f>
        <v>21.88</v>
      </c>
      <c r="G272" s="42" t="str">
        <f>Source!DE122</f>
        <v>)*1,25</v>
      </c>
      <c r="H272" s="41">
        <f>ROUND(((((Source!ET122*1.25))-((Source!EU122*1.25)))+Source!AE122)*Source!I122, 2)</f>
        <v>9.6300000000000008</v>
      </c>
      <c r="I272" s="42"/>
      <c r="J272" s="42">
        <f>IF(Source!BB122&lt;&gt; 0, Source!BB122, 1)</f>
        <v>13.41</v>
      </c>
      <c r="K272" s="41">
        <f>Source!Q122</f>
        <v>129.13999999999999</v>
      </c>
      <c r="L272" s="43"/>
    </row>
    <row r="273" spans="1:26" ht="14.25" x14ac:dyDescent="0.2">
      <c r="A273" s="51"/>
      <c r="B273" s="51"/>
      <c r="C273" s="51" t="s">
        <v>576</v>
      </c>
      <c r="D273" s="40"/>
      <c r="E273" s="24"/>
      <c r="F273" s="41">
        <f>Source!AN122</f>
        <v>3.51</v>
      </c>
      <c r="G273" s="42" t="str">
        <f>Source!DF122</f>
        <v>)*1,25</v>
      </c>
      <c r="H273" s="46">
        <f>ROUND(Source!AE122*Source!I122, 2)</f>
        <v>1.55</v>
      </c>
      <c r="I273" s="42"/>
      <c r="J273" s="42">
        <f>IF(Source!BS122&lt;&gt; 0, Source!BS122, 1)</f>
        <v>45.71</v>
      </c>
      <c r="K273" s="46">
        <f>Source!R122</f>
        <v>70.63</v>
      </c>
      <c r="L273" s="43"/>
      <c r="R273">
        <f>H273</f>
        <v>1.55</v>
      </c>
    </row>
    <row r="274" spans="1:26" ht="14.25" x14ac:dyDescent="0.2">
      <c r="A274" s="51"/>
      <c r="B274" s="51"/>
      <c r="C274" s="51" t="s">
        <v>577</v>
      </c>
      <c r="D274" s="40"/>
      <c r="E274" s="24"/>
      <c r="F274" s="41">
        <f>Source!AL122</f>
        <v>6516.18</v>
      </c>
      <c r="G274" s="42" t="str">
        <f>Source!DD122</f>
        <v/>
      </c>
      <c r="H274" s="41">
        <f>ROUND(Source!AC122*Source!I122, 2)</f>
        <v>2293.6999999999998</v>
      </c>
      <c r="I274" s="42"/>
      <c r="J274" s="42">
        <f>IF(Source!BC122&lt;&gt; 0, Source!BC122, 1)</f>
        <v>8.3800000000000008</v>
      </c>
      <c r="K274" s="41">
        <f>Source!P122</f>
        <v>19221.169999999998</v>
      </c>
      <c r="L274" s="43"/>
    </row>
    <row r="275" spans="1:26" ht="14.25" x14ac:dyDescent="0.2">
      <c r="A275" s="51"/>
      <c r="B275" s="51"/>
      <c r="C275" s="51" t="s">
        <v>571</v>
      </c>
      <c r="D275" s="40" t="s">
        <v>572</v>
      </c>
      <c r="E275" s="24">
        <f>Source!BZ122</f>
        <v>109</v>
      </c>
      <c r="F275" s="52"/>
      <c r="G275" s="42"/>
      <c r="H275" s="41">
        <f>SUM(S270:S278)</f>
        <v>367.53</v>
      </c>
      <c r="I275" s="44"/>
      <c r="J275" s="33">
        <f>Source!AT122</f>
        <v>109</v>
      </c>
      <c r="K275" s="41">
        <f>SUM(T270:T278)</f>
        <v>16799.310000000001</v>
      </c>
      <c r="L275" s="43"/>
    </row>
    <row r="276" spans="1:26" ht="14.25" x14ac:dyDescent="0.2">
      <c r="A276" s="51"/>
      <c r="B276" s="51"/>
      <c r="C276" s="51" t="s">
        <v>573</v>
      </c>
      <c r="D276" s="40" t="s">
        <v>572</v>
      </c>
      <c r="E276" s="24">
        <f>Source!CA122</f>
        <v>57</v>
      </c>
      <c r="F276" s="60" t="str">
        <f>CONCATENATE(" )", Source!DM122, Source!FU122, "=", Source!FY122)</f>
        <v xml:space="preserve"> ))*0,85=48,45</v>
      </c>
      <c r="G276" s="61"/>
      <c r="H276" s="41">
        <f>SUM(U270:U278)</f>
        <v>163.36000000000001</v>
      </c>
      <c r="I276" s="44"/>
      <c r="J276" s="33">
        <f>Source!AU122</f>
        <v>48.45</v>
      </c>
      <c r="K276" s="41">
        <f>SUM(V270:V278)</f>
        <v>7467.22</v>
      </c>
      <c r="L276" s="43"/>
    </row>
    <row r="277" spans="1:26" ht="14.25" x14ac:dyDescent="0.2">
      <c r="A277" s="51"/>
      <c r="B277" s="51"/>
      <c r="C277" s="51" t="s">
        <v>574</v>
      </c>
      <c r="D277" s="40" t="s">
        <v>575</v>
      </c>
      <c r="E277" s="24">
        <f>Source!AQ122</f>
        <v>97.2</v>
      </c>
      <c r="F277" s="41"/>
      <c r="G277" s="42" t="str">
        <f>Source!DI122</f>
        <v>)*1,15</v>
      </c>
      <c r="H277" s="41"/>
      <c r="I277" s="42"/>
      <c r="J277" s="42"/>
      <c r="K277" s="41"/>
      <c r="L277" s="47">
        <f>Source!U122</f>
        <v>39.346559999999997</v>
      </c>
    </row>
    <row r="278" spans="1:26" ht="28.5" x14ac:dyDescent="0.2">
      <c r="A278" s="50">
        <v>56.1</v>
      </c>
      <c r="B278" s="50" t="str">
        <f>Source!F123</f>
        <v>08.3.05.05-0051</v>
      </c>
      <c r="C278" s="50" t="str">
        <f>Source!G123</f>
        <v>Сталь листовая оцинкованная, толщина 0,5 мм</v>
      </c>
      <c r="D278" s="34" t="str">
        <f>Source!H123</f>
        <v>т</v>
      </c>
      <c r="E278" s="35">
        <f>Source!I123</f>
        <v>-0.20064000000000001</v>
      </c>
      <c r="F278" s="36">
        <f>Source!AL123+Source!AM123+Source!AO123</f>
        <v>11200</v>
      </c>
      <c r="G278" s="48" t="s">
        <v>3</v>
      </c>
      <c r="H278" s="36">
        <f>ROUND(Source!AC123*Source!I123, 2)+ROUND((((Source!ET123)-(Source!EU123))+Source!AE123)*Source!I123, 2)+ROUND(Source!AF123*Source!I123, 2)</f>
        <v>-2247.17</v>
      </c>
      <c r="I278" s="37"/>
      <c r="J278" s="37">
        <f>IF(Source!BC123&lt;&gt; 0, Source!BC123, 1)</f>
        <v>8.3800000000000008</v>
      </c>
      <c r="K278" s="36">
        <f>Source!O123</f>
        <v>-18831.27</v>
      </c>
      <c r="L278" s="38"/>
      <c r="S278">
        <f>ROUND((Source!FX123/100)*((ROUND(Source!AF123*Source!I123, 2)+ROUND(Source!AE123*Source!I123, 2))), 2)</f>
        <v>0</v>
      </c>
      <c r="T278">
        <f>Source!X123</f>
        <v>0</v>
      </c>
      <c r="U278">
        <f>ROUND((Source!FY123/100)*((ROUND(Source!AF123*Source!I123, 2)+ROUND(Source!AE123*Source!I123, 2))), 2)</f>
        <v>0</v>
      </c>
      <c r="V278">
        <f>Source!Y123</f>
        <v>0</v>
      </c>
      <c r="W278">
        <f>IF(Source!BI123&lt;=1,H278, 0)</f>
        <v>-2247.17</v>
      </c>
      <c r="X278">
        <f>IF(Source!BI123=2,H278, 0)</f>
        <v>0</v>
      </c>
      <c r="Y278">
        <f>IF(Source!BI123=3,H278, 0)</f>
        <v>0</v>
      </c>
      <c r="Z278">
        <f>IF(Source!BI123=4,H278, 0)</f>
        <v>0</v>
      </c>
    </row>
    <row r="279" spans="1:26" ht="15" x14ac:dyDescent="0.25">
      <c r="G279" s="57">
        <f>H271+H272+H274+H275+H276+SUM(H278:H278)</f>
        <v>922.67999999999984</v>
      </c>
      <c r="H279" s="57"/>
      <c r="J279" s="57">
        <f>K271+K272+K274+K275+K276+SUM(K278:K278)</f>
        <v>40127.149999999994</v>
      </c>
      <c r="K279" s="57"/>
      <c r="L279" s="39">
        <f>Source!U122</f>
        <v>39.346559999999997</v>
      </c>
      <c r="O279" s="28">
        <f>G279</f>
        <v>922.67999999999984</v>
      </c>
      <c r="P279" s="28">
        <f>J279</f>
        <v>40127.149999999994</v>
      </c>
      <c r="Q279" s="28">
        <f>L279</f>
        <v>39.346559999999997</v>
      </c>
      <c r="W279">
        <f>IF(Source!BI122&lt;=1,H271+H272+H274+H275+H276, 0)</f>
        <v>3169.85</v>
      </c>
      <c r="X279">
        <f>IF(Source!BI122=2,H271+H272+H274+H275+H276, 0)</f>
        <v>0</v>
      </c>
      <c r="Y279">
        <f>IF(Source!BI122=3,H271+H272+H274+H275+H276, 0)</f>
        <v>0</v>
      </c>
      <c r="Z279">
        <f>IF(Source!BI122=4,H271+H272+H274+H275+H276, 0)</f>
        <v>0</v>
      </c>
    </row>
    <row r="280" spans="1:26" ht="54" x14ac:dyDescent="0.2">
      <c r="A280" s="50">
        <v>57</v>
      </c>
      <c r="B280" s="50" t="str">
        <f>Source!F124</f>
        <v>Цена поставщика</v>
      </c>
      <c r="C280" s="50" t="s">
        <v>589</v>
      </c>
      <c r="D280" s="34" t="str">
        <f>Source!H124</f>
        <v>т</v>
      </c>
      <c r="E280" s="35">
        <f>Source!I124</f>
        <v>0.23619999999999999</v>
      </c>
      <c r="F280" s="36">
        <f>Source!AL124</f>
        <v>12002.95</v>
      </c>
      <c r="G280" s="37" t="str">
        <f>Source!DD124</f>
        <v/>
      </c>
      <c r="H280" s="36">
        <f>ROUND(Source!AC124*Source!I124, 2)</f>
        <v>2835.1</v>
      </c>
      <c r="I280" s="37" t="str">
        <f>Source!BO124</f>
        <v/>
      </c>
      <c r="J280" s="37">
        <f>IF(Source!BC124&lt;&gt; 0, Source!BC124, 1)</f>
        <v>8.3800000000000008</v>
      </c>
      <c r="K280" s="36">
        <f>Source!P124</f>
        <v>23758.11</v>
      </c>
      <c r="L280" s="38"/>
      <c r="S280">
        <f>ROUND((Source!FX124/100)*((ROUND(Source!AF124*Source!I124, 2)+ROUND(Source!AE124*Source!I124, 2))), 2)</f>
        <v>0</v>
      </c>
      <c r="T280">
        <f>Source!X124</f>
        <v>0</v>
      </c>
      <c r="U280">
        <f>ROUND((Source!FY124/100)*((ROUND(Source!AF124*Source!I124, 2)+ROUND(Source!AE124*Source!I124, 2))), 2)</f>
        <v>0</v>
      </c>
      <c r="V280">
        <f>Source!Y124</f>
        <v>0</v>
      </c>
    </row>
    <row r="281" spans="1:26" ht="15" x14ac:dyDescent="0.25">
      <c r="G281" s="57">
        <f>H280</f>
        <v>2835.1</v>
      </c>
      <c r="H281" s="57"/>
      <c r="J281" s="57">
        <f>K280</f>
        <v>23758.11</v>
      </c>
      <c r="K281" s="57"/>
      <c r="L281" s="39">
        <f>Source!U124</f>
        <v>0</v>
      </c>
      <c r="O281" s="28">
        <f>G281</f>
        <v>2835.1</v>
      </c>
      <c r="P281" s="28">
        <f>J281</f>
        <v>23758.11</v>
      </c>
      <c r="Q281" s="28">
        <f>L281</f>
        <v>0</v>
      </c>
      <c r="W281">
        <f>IF(Source!BI124&lt;=1,H280, 0)</f>
        <v>2835.1</v>
      </c>
      <c r="X281">
        <f>IF(Source!BI124=2,H280, 0)</f>
        <v>0</v>
      </c>
      <c r="Y281">
        <f>IF(Source!BI124=3,H280, 0)</f>
        <v>0</v>
      </c>
      <c r="Z281">
        <f>IF(Source!BI124=4,H280, 0)</f>
        <v>0</v>
      </c>
    </row>
    <row r="282" spans="1:26" ht="54" x14ac:dyDescent="0.2">
      <c r="A282" s="51">
        <v>58</v>
      </c>
      <c r="B282" s="51" t="str">
        <f>Source!F125</f>
        <v>Цена поставщика</v>
      </c>
      <c r="C282" s="51" t="s">
        <v>578</v>
      </c>
      <c r="D282" s="40" t="str">
        <f>Source!H125</f>
        <v>шт.</v>
      </c>
      <c r="E282" s="24">
        <f>Source!I125</f>
        <v>352</v>
      </c>
      <c r="F282" s="41">
        <f>Source!AL125</f>
        <v>0.54</v>
      </c>
      <c r="G282" s="42" t="str">
        <f>Source!DD125</f>
        <v/>
      </c>
      <c r="H282" s="41">
        <f>ROUND(Source!AC125*Source!I125, 2)</f>
        <v>190.08</v>
      </c>
      <c r="I282" s="42" t="str">
        <f>Source!BO125</f>
        <v/>
      </c>
      <c r="J282" s="42">
        <f>IF(Source!BC125&lt;&gt; 0, Source!BC125, 1)</f>
        <v>8.3800000000000008</v>
      </c>
      <c r="K282" s="41">
        <f>Source!P125</f>
        <v>1592.87</v>
      </c>
      <c r="L282" s="43"/>
      <c r="S282">
        <f>ROUND((Source!FX125/100)*((ROUND(Source!AF125*Source!I125, 2)+ROUND(Source!AE125*Source!I125, 2))), 2)</f>
        <v>0</v>
      </c>
      <c r="T282">
        <f>Source!X125</f>
        <v>0</v>
      </c>
      <c r="U282">
        <f>ROUND((Source!FY125/100)*((ROUND(Source!AF125*Source!I125, 2)+ROUND(Source!AE125*Source!I125, 2))), 2)</f>
        <v>0</v>
      </c>
      <c r="V282">
        <f>Source!Y125</f>
        <v>0</v>
      </c>
    </row>
    <row r="283" spans="1:26" x14ac:dyDescent="0.2">
      <c r="A283" s="30"/>
      <c r="B283" s="30"/>
      <c r="C283" s="31" t="str">
        <f>"Объем: "&amp;Source!I125&amp;"="&amp;Source!I122&amp;"*"&amp;"1000"</f>
        <v>Объем: 352=0,352*1000</v>
      </c>
      <c r="D283" s="30"/>
      <c r="E283" s="30"/>
      <c r="F283" s="30"/>
      <c r="G283" s="30"/>
      <c r="H283" s="30"/>
      <c r="I283" s="30"/>
      <c r="J283" s="30"/>
      <c r="K283" s="30"/>
      <c r="L283" s="30"/>
    </row>
    <row r="284" spans="1:26" ht="15" x14ac:dyDescent="0.25">
      <c r="G284" s="57">
        <f>H282</f>
        <v>190.08</v>
      </c>
      <c r="H284" s="57"/>
      <c r="J284" s="57">
        <f>K282</f>
        <v>1592.87</v>
      </c>
      <c r="K284" s="57"/>
      <c r="L284" s="39">
        <f>Source!U125</f>
        <v>0</v>
      </c>
      <c r="O284" s="28">
        <f>G284</f>
        <v>190.08</v>
      </c>
      <c r="P284" s="28">
        <f>J284</f>
        <v>1592.87</v>
      </c>
      <c r="Q284" s="28">
        <f>L284</f>
        <v>0</v>
      </c>
      <c r="W284">
        <f>IF(Source!BI125&lt;=1,H282, 0)</f>
        <v>190.08</v>
      </c>
      <c r="X284">
        <f>IF(Source!BI125=2,H282, 0)</f>
        <v>0</v>
      </c>
      <c r="Y284">
        <f>IF(Source!BI125=3,H282, 0)</f>
        <v>0</v>
      </c>
      <c r="Z284">
        <f>IF(Source!BI125=4,H282, 0)</f>
        <v>0</v>
      </c>
    </row>
    <row r="285" spans="1:26" ht="28.5" x14ac:dyDescent="0.2">
      <c r="A285" s="51">
        <v>59</v>
      </c>
      <c r="B285" s="51" t="str">
        <f>Source!F126</f>
        <v>58-18-2</v>
      </c>
      <c r="C285" s="51" t="str">
        <f>Source!G126</f>
        <v>Смена обрешетки с прозорами: из досок толщиной до 50 мм</v>
      </c>
      <c r="D285" s="40" t="str">
        <f>Source!H126</f>
        <v>100 м2</v>
      </c>
      <c r="E285" s="24">
        <f>Source!I126</f>
        <v>2.75</v>
      </c>
      <c r="F285" s="41">
        <f>Source!AL126+Source!AM126+Source!AO126</f>
        <v>584.02</v>
      </c>
      <c r="G285" s="42"/>
      <c r="H285" s="41"/>
      <c r="I285" s="42" t="str">
        <f>Source!BO126</f>
        <v/>
      </c>
      <c r="J285" s="42"/>
      <c r="K285" s="41"/>
      <c r="L285" s="43"/>
      <c r="S285">
        <f>ROUND((Source!FX126/100)*((ROUND(Source!AF126*Source!I126, 2)+ROUND(Source!AE126*Source!I126, 2))), 2)</f>
        <v>1287.75</v>
      </c>
      <c r="T285">
        <f>Source!X126</f>
        <v>58862.71</v>
      </c>
      <c r="U285">
        <f>ROUND((Source!FY126/100)*((ROUND(Source!AF126*Source!I126, 2)+ROUND(Source!AE126*Source!I126, 2))), 2)</f>
        <v>658.18</v>
      </c>
      <c r="V285">
        <f>Source!Y126</f>
        <v>30085.38</v>
      </c>
    </row>
    <row r="286" spans="1:26" x14ac:dyDescent="0.2">
      <c r="C286" s="29" t="str">
        <f>"Объем: "&amp;Source!I126&amp;"=275/"&amp;"100"</f>
        <v>Объем: 2,75=275/100</v>
      </c>
    </row>
    <row r="287" spans="1:26" ht="14.25" x14ac:dyDescent="0.2">
      <c r="A287" s="51"/>
      <c r="B287" s="51"/>
      <c r="C287" s="51" t="s">
        <v>570</v>
      </c>
      <c r="D287" s="40"/>
      <c r="E287" s="24"/>
      <c r="F287" s="41">
        <f>Source!AO126</f>
        <v>517.04999999999995</v>
      </c>
      <c r="G287" s="42" t="str">
        <f>Source!DG126</f>
        <v/>
      </c>
      <c r="H287" s="41">
        <f>ROUND(Source!AF126*Source!I126, 2)</f>
        <v>1421.89</v>
      </c>
      <c r="I287" s="42"/>
      <c r="J287" s="42">
        <f>IF(Source!BA126&lt;&gt; 0, Source!BA126, 1)</f>
        <v>45.71</v>
      </c>
      <c r="K287" s="41">
        <f>Source!S126</f>
        <v>64994.48</v>
      </c>
      <c r="L287" s="43"/>
      <c r="R287">
        <f>H287</f>
        <v>1421.89</v>
      </c>
    </row>
    <row r="288" spans="1:26" ht="14.25" x14ac:dyDescent="0.2">
      <c r="A288" s="51"/>
      <c r="B288" s="51"/>
      <c r="C288" s="51" t="s">
        <v>205</v>
      </c>
      <c r="D288" s="40"/>
      <c r="E288" s="24"/>
      <c r="F288" s="41">
        <f>Source!AM126</f>
        <v>19.059999999999999</v>
      </c>
      <c r="G288" s="42" t="str">
        <f>Source!DE126</f>
        <v/>
      </c>
      <c r="H288" s="41">
        <f>ROUND((((Source!ET126)-(Source!EU126))+Source!AE126)*Source!I126, 2)</f>
        <v>52.42</v>
      </c>
      <c r="I288" s="42"/>
      <c r="J288" s="42">
        <f>IF(Source!BB126&lt;&gt; 0, Source!BB126, 1)</f>
        <v>13.41</v>
      </c>
      <c r="K288" s="41">
        <f>Source!Q126</f>
        <v>702.89</v>
      </c>
      <c r="L288" s="43"/>
    </row>
    <row r="289" spans="1:26" ht="14.25" x14ac:dyDescent="0.2">
      <c r="A289" s="51"/>
      <c r="B289" s="51"/>
      <c r="C289" s="51" t="s">
        <v>576</v>
      </c>
      <c r="D289" s="40"/>
      <c r="E289" s="24"/>
      <c r="F289" s="41">
        <f>Source!AN126</f>
        <v>3.25</v>
      </c>
      <c r="G289" s="42" t="str">
        <f>Source!DF126</f>
        <v/>
      </c>
      <c r="H289" s="46">
        <f>ROUND(Source!AE126*Source!I126, 2)</f>
        <v>8.94</v>
      </c>
      <c r="I289" s="42"/>
      <c r="J289" s="42">
        <f>IF(Source!BS126&lt;&gt; 0, Source!BS126, 1)</f>
        <v>45.71</v>
      </c>
      <c r="K289" s="46">
        <f>Source!R126</f>
        <v>408.53</v>
      </c>
      <c r="L289" s="43"/>
      <c r="R289">
        <f>H289</f>
        <v>8.94</v>
      </c>
    </row>
    <row r="290" spans="1:26" ht="14.25" x14ac:dyDescent="0.2">
      <c r="A290" s="51"/>
      <c r="B290" s="51"/>
      <c r="C290" s="51" t="s">
        <v>577</v>
      </c>
      <c r="D290" s="40"/>
      <c r="E290" s="24"/>
      <c r="F290" s="41">
        <f>Source!AL126</f>
        <v>47.91</v>
      </c>
      <c r="G290" s="42" t="str">
        <f>Source!DD126</f>
        <v/>
      </c>
      <c r="H290" s="41">
        <f>ROUND(Source!AC126*Source!I126, 2)</f>
        <v>131.75</v>
      </c>
      <c r="I290" s="42"/>
      <c r="J290" s="42">
        <f>IF(Source!BC126&lt;&gt; 0, Source!BC126, 1)</f>
        <v>8.3800000000000008</v>
      </c>
      <c r="K290" s="41">
        <f>Source!P126</f>
        <v>1104.0899999999999</v>
      </c>
      <c r="L290" s="43"/>
    </row>
    <row r="291" spans="1:26" ht="14.25" x14ac:dyDescent="0.2">
      <c r="A291" s="51"/>
      <c r="B291" s="51"/>
      <c r="C291" s="51" t="s">
        <v>571</v>
      </c>
      <c r="D291" s="40" t="s">
        <v>572</v>
      </c>
      <c r="E291" s="24">
        <f>Source!BZ126</f>
        <v>90</v>
      </c>
      <c r="F291" s="52"/>
      <c r="G291" s="42"/>
      <c r="H291" s="41">
        <f>SUM(S285:S293)</f>
        <v>1287.75</v>
      </c>
      <c r="I291" s="44"/>
      <c r="J291" s="33">
        <f>Source!AT126</f>
        <v>90</v>
      </c>
      <c r="K291" s="41">
        <f>SUM(T285:T293)</f>
        <v>58862.71</v>
      </c>
      <c r="L291" s="43"/>
    </row>
    <row r="292" spans="1:26" ht="14.25" x14ac:dyDescent="0.2">
      <c r="A292" s="51"/>
      <c r="B292" s="51"/>
      <c r="C292" s="51" t="s">
        <v>573</v>
      </c>
      <c r="D292" s="40" t="s">
        <v>572</v>
      </c>
      <c r="E292" s="24">
        <f>Source!CA126</f>
        <v>46</v>
      </c>
      <c r="F292" s="52"/>
      <c r="G292" s="42"/>
      <c r="H292" s="41">
        <f>SUM(U285:U293)</f>
        <v>658.18</v>
      </c>
      <c r="I292" s="44"/>
      <c r="J292" s="33">
        <f>Source!AU126</f>
        <v>46</v>
      </c>
      <c r="K292" s="41">
        <f>SUM(V285:V293)</f>
        <v>30085.38</v>
      </c>
      <c r="L292" s="43"/>
    </row>
    <row r="293" spans="1:26" ht="14.25" x14ac:dyDescent="0.2">
      <c r="A293" s="50"/>
      <c r="B293" s="50"/>
      <c r="C293" s="50" t="s">
        <v>574</v>
      </c>
      <c r="D293" s="34" t="s">
        <v>575</v>
      </c>
      <c r="E293" s="35">
        <f>Source!AQ126</f>
        <v>65.12</v>
      </c>
      <c r="F293" s="36"/>
      <c r="G293" s="37" t="str">
        <f>Source!DI126</f>
        <v/>
      </c>
      <c r="H293" s="36"/>
      <c r="I293" s="37"/>
      <c r="J293" s="37"/>
      <c r="K293" s="36"/>
      <c r="L293" s="45">
        <f>Source!U126</f>
        <v>179.08</v>
      </c>
    </row>
    <row r="294" spans="1:26" ht="15" x14ac:dyDescent="0.25">
      <c r="G294" s="57">
        <f>H287+H288+H290+H291+H292</f>
        <v>3551.9900000000002</v>
      </c>
      <c r="H294" s="57"/>
      <c r="J294" s="57">
        <f>K287+K288+K290+K291+K292</f>
        <v>155749.55000000002</v>
      </c>
      <c r="K294" s="57"/>
      <c r="L294" s="39">
        <f>Source!U126</f>
        <v>179.08</v>
      </c>
      <c r="O294" s="28">
        <f>G294</f>
        <v>3551.9900000000002</v>
      </c>
      <c r="P294" s="28">
        <f>J294</f>
        <v>155749.55000000002</v>
      </c>
      <c r="Q294" s="28">
        <f>L294</f>
        <v>179.08</v>
      </c>
      <c r="W294">
        <f>IF(Source!BI126&lt;=1,H287+H288+H290+H291+H292, 0)</f>
        <v>3551.9900000000002</v>
      </c>
      <c r="X294">
        <f>IF(Source!BI126=2,H287+H288+H290+H291+H292, 0)</f>
        <v>0</v>
      </c>
      <c r="Y294">
        <f>IF(Source!BI126=3,H287+H288+H290+H291+H292, 0)</f>
        <v>0</v>
      </c>
      <c r="Z294">
        <f>IF(Source!BI126=4,H287+H288+H290+H291+H292, 0)</f>
        <v>0</v>
      </c>
    </row>
    <row r="295" spans="1:26" ht="42.75" x14ac:dyDescent="0.2">
      <c r="A295" s="50">
        <v>60</v>
      </c>
      <c r="B295" s="50" t="str">
        <f>Source!F127</f>
        <v>Цена поставщика</v>
      </c>
      <c r="C295" s="50" t="s">
        <v>593</v>
      </c>
      <c r="D295" s="34" t="str">
        <f>Source!H127</f>
        <v>м3</v>
      </c>
      <c r="E295" s="35">
        <f>Source!I127</f>
        <v>5.5</v>
      </c>
      <c r="F295" s="36">
        <f>Source!AL127</f>
        <v>1384.5500000000002</v>
      </c>
      <c r="G295" s="37" t="str">
        <f>Source!DD127</f>
        <v/>
      </c>
      <c r="H295" s="36">
        <f>ROUND(Source!AC127*Source!I127, 2)</f>
        <v>7615.03</v>
      </c>
      <c r="I295" s="37" t="str">
        <f>Source!BO127</f>
        <v/>
      </c>
      <c r="J295" s="37">
        <f>IF(Source!BC127&lt;&gt; 0, Source!BC127, 1)</f>
        <v>8.3800000000000008</v>
      </c>
      <c r="K295" s="36">
        <f>Source!P127</f>
        <v>63813.91</v>
      </c>
      <c r="L295" s="38"/>
      <c r="S295">
        <f>ROUND((Source!FX127/100)*((ROUND(Source!AF127*Source!I127, 2)+ROUND(Source!AE127*Source!I127, 2))), 2)</f>
        <v>0</v>
      </c>
      <c r="T295">
        <f>Source!X127</f>
        <v>0</v>
      </c>
      <c r="U295">
        <f>ROUND((Source!FY127/100)*((ROUND(Source!AF127*Source!I127, 2)+ROUND(Source!AE127*Source!I127, 2))), 2)</f>
        <v>0</v>
      </c>
      <c r="V295">
        <f>Source!Y127</f>
        <v>0</v>
      </c>
    </row>
    <row r="296" spans="1:26" ht="15" x14ac:dyDescent="0.25">
      <c r="G296" s="57">
        <f>H295</f>
        <v>7615.03</v>
      </c>
      <c r="H296" s="57"/>
      <c r="J296" s="57">
        <f>K295</f>
        <v>63813.91</v>
      </c>
      <c r="K296" s="57"/>
      <c r="L296" s="39">
        <f>Source!U127</f>
        <v>0</v>
      </c>
      <c r="O296" s="28">
        <f>G296</f>
        <v>7615.03</v>
      </c>
      <c r="P296" s="28">
        <f>J296</f>
        <v>63813.91</v>
      </c>
      <c r="Q296" s="28">
        <f>L296</f>
        <v>0</v>
      </c>
      <c r="W296">
        <f>IF(Source!BI127&lt;=1,H295, 0)</f>
        <v>7615.03</v>
      </c>
      <c r="X296">
        <f>IF(Source!BI127=2,H295, 0)</f>
        <v>0</v>
      </c>
      <c r="Y296">
        <f>IF(Source!BI127=3,H295, 0)</f>
        <v>0</v>
      </c>
      <c r="Z296">
        <f>IF(Source!BI127=4,H295, 0)</f>
        <v>0</v>
      </c>
    </row>
    <row r="297" spans="1:26" ht="42.75" x14ac:dyDescent="0.2">
      <c r="A297" s="51">
        <v>61</v>
      </c>
      <c r="B297" s="51" t="str">
        <f>Source!F128</f>
        <v>58-1-2</v>
      </c>
      <c r="C297" s="51" t="str">
        <f>Source!G128</f>
        <v>Разборка деревянных элементов конструкций крыш: стропил со стойками и подкосами из досок</v>
      </c>
      <c r="D297" s="40" t="str">
        <f>Source!H128</f>
        <v>100 м2</v>
      </c>
      <c r="E297" s="24">
        <f>Source!I128</f>
        <v>2.15</v>
      </c>
      <c r="F297" s="41">
        <f>Source!AL128+Source!AM128+Source!AO128</f>
        <v>208.54</v>
      </c>
      <c r="G297" s="42"/>
      <c r="H297" s="41"/>
      <c r="I297" s="42" t="str">
        <f>Source!BO128</f>
        <v/>
      </c>
      <c r="J297" s="42"/>
      <c r="K297" s="41"/>
      <c r="L297" s="43"/>
      <c r="S297">
        <f>ROUND((Source!FX128/100)*((ROUND(Source!AF128*Source!I128, 2)+ROUND(Source!AE128*Source!I128, 2))), 2)</f>
        <v>362.62</v>
      </c>
      <c r="T297">
        <f>Source!X128</f>
        <v>16575.310000000001</v>
      </c>
      <c r="U297">
        <f>ROUND((Source!FY128/100)*((ROUND(Source!AF128*Source!I128, 2)+ROUND(Source!AE128*Source!I128, 2))), 2)</f>
        <v>185.34</v>
      </c>
      <c r="V297">
        <f>Source!Y128</f>
        <v>8471.82</v>
      </c>
    </row>
    <row r="298" spans="1:26" x14ac:dyDescent="0.2">
      <c r="C298" s="29" t="str">
        <f>"Объем: "&amp;Source!I128&amp;"=215/"&amp;"100"</f>
        <v>Объем: 2,15=215/100</v>
      </c>
    </row>
    <row r="299" spans="1:26" ht="14.25" x14ac:dyDescent="0.2">
      <c r="A299" s="51"/>
      <c r="B299" s="51"/>
      <c r="C299" s="51" t="s">
        <v>570</v>
      </c>
      <c r="D299" s="40"/>
      <c r="E299" s="24"/>
      <c r="F299" s="41">
        <f>Source!AO128</f>
        <v>183.48</v>
      </c>
      <c r="G299" s="42" t="str">
        <f>Source!DG128</f>
        <v/>
      </c>
      <c r="H299" s="41">
        <f>ROUND(Source!AF128*Source!I128, 2)</f>
        <v>394.48</v>
      </c>
      <c r="I299" s="42"/>
      <c r="J299" s="42">
        <f>IF(Source!BA128&lt;&gt; 0, Source!BA128, 1)</f>
        <v>45.71</v>
      </c>
      <c r="K299" s="41">
        <f>Source!S128</f>
        <v>18031.77</v>
      </c>
      <c r="L299" s="43"/>
      <c r="R299">
        <f>H299</f>
        <v>394.48</v>
      </c>
    </row>
    <row r="300" spans="1:26" ht="14.25" x14ac:dyDescent="0.2">
      <c r="A300" s="51"/>
      <c r="B300" s="51"/>
      <c r="C300" s="51" t="s">
        <v>205</v>
      </c>
      <c r="D300" s="40"/>
      <c r="E300" s="24"/>
      <c r="F300" s="41">
        <f>Source!AM128</f>
        <v>25.06</v>
      </c>
      <c r="G300" s="42" t="str">
        <f>Source!DE128</f>
        <v/>
      </c>
      <c r="H300" s="41">
        <f>ROUND((((Source!ET128)-(Source!EU128))+Source!AE128)*Source!I128, 2)</f>
        <v>53.88</v>
      </c>
      <c r="I300" s="42"/>
      <c r="J300" s="42">
        <f>IF(Source!BB128&lt;&gt; 0, Source!BB128, 1)</f>
        <v>13.41</v>
      </c>
      <c r="K300" s="41">
        <f>Source!Q128</f>
        <v>722.52</v>
      </c>
      <c r="L300" s="43"/>
    </row>
    <row r="301" spans="1:26" ht="14.25" x14ac:dyDescent="0.2">
      <c r="A301" s="51"/>
      <c r="B301" s="51"/>
      <c r="C301" s="51" t="s">
        <v>576</v>
      </c>
      <c r="D301" s="40"/>
      <c r="E301" s="24"/>
      <c r="F301" s="41">
        <f>Source!AN128</f>
        <v>3.92</v>
      </c>
      <c r="G301" s="42" t="str">
        <f>Source!DF128</f>
        <v/>
      </c>
      <c r="H301" s="46">
        <f>ROUND(Source!AE128*Source!I128, 2)</f>
        <v>8.43</v>
      </c>
      <c r="I301" s="42"/>
      <c r="J301" s="42">
        <f>IF(Source!BS128&lt;&gt; 0, Source!BS128, 1)</f>
        <v>45.71</v>
      </c>
      <c r="K301" s="46">
        <f>Source!R128</f>
        <v>385.24</v>
      </c>
      <c r="L301" s="43"/>
      <c r="R301">
        <f>H301</f>
        <v>8.43</v>
      </c>
    </row>
    <row r="302" spans="1:26" ht="14.25" x14ac:dyDescent="0.2">
      <c r="A302" s="51"/>
      <c r="B302" s="51"/>
      <c r="C302" s="51" t="s">
        <v>571</v>
      </c>
      <c r="D302" s="40" t="s">
        <v>572</v>
      </c>
      <c r="E302" s="24">
        <f>Source!BZ128</f>
        <v>90</v>
      </c>
      <c r="F302" s="52"/>
      <c r="G302" s="42"/>
      <c r="H302" s="41">
        <f>SUM(S297:S304)</f>
        <v>362.62</v>
      </c>
      <c r="I302" s="44"/>
      <c r="J302" s="33">
        <f>Source!AT128</f>
        <v>90</v>
      </c>
      <c r="K302" s="41">
        <f>SUM(T297:T304)</f>
        <v>16575.310000000001</v>
      </c>
      <c r="L302" s="43"/>
    </row>
    <row r="303" spans="1:26" ht="14.25" x14ac:dyDescent="0.2">
      <c r="A303" s="51"/>
      <c r="B303" s="51"/>
      <c r="C303" s="51" t="s">
        <v>573</v>
      </c>
      <c r="D303" s="40" t="s">
        <v>572</v>
      </c>
      <c r="E303" s="24">
        <f>Source!CA128</f>
        <v>46</v>
      </c>
      <c r="F303" s="52"/>
      <c r="G303" s="42"/>
      <c r="H303" s="41">
        <f>SUM(U297:U304)</f>
        <v>185.34</v>
      </c>
      <c r="I303" s="44"/>
      <c r="J303" s="33">
        <f>Source!AU128</f>
        <v>46</v>
      </c>
      <c r="K303" s="41">
        <f>SUM(V297:V304)</f>
        <v>8471.82</v>
      </c>
      <c r="L303" s="43"/>
    </row>
    <row r="304" spans="1:26" ht="14.25" x14ac:dyDescent="0.2">
      <c r="A304" s="50"/>
      <c r="B304" s="50"/>
      <c r="C304" s="50" t="s">
        <v>574</v>
      </c>
      <c r="D304" s="34" t="s">
        <v>575</v>
      </c>
      <c r="E304" s="35">
        <f>Source!AQ128</f>
        <v>22.68</v>
      </c>
      <c r="F304" s="36"/>
      <c r="G304" s="37" t="str">
        <f>Source!DI128</f>
        <v/>
      </c>
      <c r="H304" s="36"/>
      <c r="I304" s="37"/>
      <c r="J304" s="37"/>
      <c r="K304" s="36"/>
      <c r="L304" s="45">
        <f>Source!U128</f>
        <v>48.762</v>
      </c>
    </row>
    <row r="305" spans="1:26" ht="15" x14ac:dyDescent="0.25">
      <c r="G305" s="57">
        <f>H299+H300+H302+H303</f>
        <v>996.32</v>
      </c>
      <c r="H305" s="57"/>
      <c r="J305" s="57">
        <f>K299+K300+K302+K303</f>
        <v>43801.420000000006</v>
      </c>
      <c r="K305" s="57"/>
      <c r="L305" s="39">
        <f>Source!U128</f>
        <v>48.762</v>
      </c>
      <c r="O305" s="28">
        <f>G305</f>
        <v>996.32</v>
      </c>
      <c r="P305" s="28">
        <f>J305</f>
        <v>43801.420000000006</v>
      </c>
      <c r="Q305" s="28">
        <f>L305</f>
        <v>48.762</v>
      </c>
      <c r="W305">
        <f>IF(Source!BI128&lt;=1,H299+H300+H302+H303, 0)</f>
        <v>996.32</v>
      </c>
      <c r="X305">
        <f>IF(Source!BI128=2,H299+H300+H302+H303, 0)</f>
        <v>0</v>
      </c>
      <c r="Y305">
        <f>IF(Source!BI128=3,H299+H300+H302+H303, 0)</f>
        <v>0</v>
      </c>
      <c r="Z305">
        <f>IF(Source!BI128=4,H299+H300+H302+H303, 0)</f>
        <v>0</v>
      </c>
    </row>
    <row r="306" spans="1:26" ht="28.5" x14ac:dyDescent="0.2">
      <c r="A306" s="51">
        <v>62</v>
      </c>
      <c r="B306" s="51" t="str">
        <f>Source!F129</f>
        <v>10-01-002-01</v>
      </c>
      <c r="C306" s="51" t="str">
        <f>Source!G129</f>
        <v>Установка стропил</v>
      </c>
      <c r="D306" s="40" t="str">
        <f>Source!H129</f>
        <v>м3</v>
      </c>
      <c r="E306" s="24">
        <f>Source!I129</f>
        <v>5.71</v>
      </c>
      <c r="F306" s="41">
        <f>Source!AL129+Source!AM129+Source!AO129</f>
        <v>2297.71</v>
      </c>
      <c r="G306" s="42"/>
      <c r="H306" s="41"/>
      <c r="I306" s="42" t="str">
        <f>Source!BO129</f>
        <v/>
      </c>
      <c r="J306" s="42"/>
      <c r="K306" s="41"/>
      <c r="L306" s="43"/>
      <c r="S306">
        <f>ROUND((Source!FX129/100)*((ROUND(Source!AF129*Source!I129, 2)+ROUND(Source!AE129*Source!I129, 2))), 2)</f>
        <v>1437.98</v>
      </c>
      <c r="T306">
        <f>Source!X129</f>
        <v>65729.8</v>
      </c>
      <c r="U306">
        <f>ROUND((Source!FY129/100)*((ROUND(Source!AF129*Source!I129, 2)+ROUND(Source!AE129*Source!I129, 2))), 2)</f>
        <v>622.46</v>
      </c>
      <c r="V306">
        <f>Source!Y129</f>
        <v>28452.48</v>
      </c>
    </row>
    <row r="307" spans="1:26" ht="14.25" x14ac:dyDescent="0.2">
      <c r="A307" s="51"/>
      <c r="B307" s="51"/>
      <c r="C307" s="51" t="s">
        <v>570</v>
      </c>
      <c r="D307" s="40"/>
      <c r="E307" s="24"/>
      <c r="F307" s="41">
        <f>Source!AO129</f>
        <v>197.78</v>
      </c>
      <c r="G307" s="42" t="str">
        <f>Source!DG129</f>
        <v>)*1,15</v>
      </c>
      <c r="H307" s="41">
        <f>ROUND(Source!AF129*Source!I129, 2)</f>
        <v>1298.74</v>
      </c>
      <c r="I307" s="42"/>
      <c r="J307" s="42">
        <f>IF(Source!BA129&lt;&gt; 0, Source!BA129, 1)</f>
        <v>45.71</v>
      </c>
      <c r="K307" s="41">
        <f>Source!S129</f>
        <v>59365.38</v>
      </c>
      <c r="L307" s="43"/>
      <c r="R307">
        <f>H307</f>
        <v>1298.74</v>
      </c>
    </row>
    <row r="308" spans="1:26" ht="14.25" x14ac:dyDescent="0.2">
      <c r="A308" s="51"/>
      <c r="B308" s="51"/>
      <c r="C308" s="51" t="s">
        <v>205</v>
      </c>
      <c r="D308" s="40"/>
      <c r="E308" s="24"/>
      <c r="F308" s="41">
        <f>Source!AM129</f>
        <v>31.77</v>
      </c>
      <c r="G308" s="42" t="str">
        <f>Source!DE129</f>
        <v>)*1,25</v>
      </c>
      <c r="H308" s="41">
        <f>ROUND(((((Source!ET129*1.25))-((Source!EU129*1.25)))+Source!AE129)*Source!I129, 2)</f>
        <v>226.79</v>
      </c>
      <c r="I308" s="42"/>
      <c r="J308" s="42">
        <f>IF(Source!BB129&lt;&gt; 0, Source!BB129, 1)</f>
        <v>13.41</v>
      </c>
      <c r="K308" s="41">
        <f>Source!Q129</f>
        <v>3042.13</v>
      </c>
      <c r="L308" s="43"/>
    </row>
    <row r="309" spans="1:26" ht="14.25" x14ac:dyDescent="0.2">
      <c r="A309" s="51"/>
      <c r="B309" s="51"/>
      <c r="C309" s="51" t="s">
        <v>576</v>
      </c>
      <c r="D309" s="40"/>
      <c r="E309" s="24"/>
      <c r="F309" s="41">
        <f>Source!AN129</f>
        <v>4.58</v>
      </c>
      <c r="G309" s="42" t="str">
        <f>Source!DF129</f>
        <v>)*1,25</v>
      </c>
      <c r="H309" s="46">
        <f>ROUND(Source!AE129*Source!I129, 2)</f>
        <v>32.72</v>
      </c>
      <c r="I309" s="42"/>
      <c r="J309" s="42">
        <f>IF(Source!BS129&lt;&gt; 0, Source!BS129, 1)</f>
        <v>45.71</v>
      </c>
      <c r="K309" s="46">
        <f>Source!R129</f>
        <v>1495.55</v>
      </c>
      <c r="L309" s="43"/>
      <c r="R309">
        <f>H309</f>
        <v>32.72</v>
      </c>
    </row>
    <row r="310" spans="1:26" ht="14.25" x14ac:dyDescent="0.2">
      <c r="A310" s="51"/>
      <c r="B310" s="51"/>
      <c r="C310" s="51" t="s">
        <v>577</v>
      </c>
      <c r="D310" s="40"/>
      <c r="E310" s="24"/>
      <c r="F310" s="41">
        <f>Source!AL129</f>
        <v>2068.16</v>
      </c>
      <c r="G310" s="42" t="str">
        <f>Source!DD129</f>
        <v/>
      </c>
      <c r="H310" s="41">
        <f>ROUND(Source!AC129*Source!I129, 2)</f>
        <v>11809.19</v>
      </c>
      <c r="I310" s="42"/>
      <c r="J310" s="42">
        <f>IF(Source!BC129&lt;&gt; 0, Source!BC129, 1)</f>
        <v>8.3800000000000008</v>
      </c>
      <c r="K310" s="41">
        <f>Source!P129</f>
        <v>98961.04</v>
      </c>
      <c r="L310" s="43"/>
    </row>
    <row r="311" spans="1:26" ht="14.25" x14ac:dyDescent="0.2">
      <c r="A311" s="51"/>
      <c r="B311" s="51"/>
      <c r="C311" s="51" t="s">
        <v>571</v>
      </c>
      <c r="D311" s="40" t="s">
        <v>572</v>
      </c>
      <c r="E311" s="24">
        <f>Source!BZ129</f>
        <v>108</v>
      </c>
      <c r="F311" s="52"/>
      <c r="G311" s="42"/>
      <c r="H311" s="41">
        <f>SUM(S306:S317)</f>
        <v>1437.98</v>
      </c>
      <c r="I311" s="44"/>
      <c r="J311" s="33">
        <f>Source!AT129</f>
        <v>108</v>
      </c>
      <c r="K311" s="41">
        <f>SUM(T306:T317)</f>
        <v>65729.8</v>
      </c>
      <c r="L311" s="43"/>
    </row>
    <row r="312" spans="1:26" ht="14.25" x14ac:dyDescent="0.2">
      <c r="A312" s="51"/>
      <c r="B312" s="51"/>
      <c r="C312" s="51" t="s">
        <v>573</v>
      </c>
      <c r="D312" s="40" t="s">
        <v>572</v>
      </c>
      <c r="E312" s="24">
        <f>Source!CA129</f>
        <v>55</v>
      </c>
      <c r="F312" s="60" t="str">
        <f>CONCATENATE(" )", Source!DM129, Source!FU129, "=", Source!FY129)</f>
        <v xml:space="preserve"> ))*0,85=46,75</v>
      </c>
      <c r="G312" s="61"/>
      <c r="H312" s="41">
        <f>SUM(U306:U317)</f>
        <v>622.46</v>
      </c>
      <c r="I312" s="44"/>
      <c r="J312" s="33">
        <f>Source!AU129</f>
        <v>46.75</v>
      </c>
      <c r="K312" s="41">
        <f>SUM(V306:V317)</f>
        <v>28452.48</v>
      </c>
      <c r="L312" s="43"/>
    </row>
    <row r="313" spans="1:26" ht="14.25" x14ac:dyDescent="0.2">
      <c r="A313" s="51"/>
      <c r="B313" s="51"/>
      <c r="C313" s="51" t="s">
        <v>574</v>
      </c>
      <c r="D313" s="40" t="s">
        <v>575</v>
      </c>
      <c r="E313" s="24">
        <f>Source!AQ129</f>
        <v>23.8</v>
      </c>
      <c r="F313" s="41"/>
      <c r="G313" s="42" t="str">
        <f>Source!DI129</f>
        <v>)*1,15</v>
      </c>
      <c r="H313" s="41"/>
      <c r="I313" s="42"/>
      <c r="J313" s="42"/>
      <c r="K313" s="41"/>
      <c r="L313" s="47">
        <f>Source!U129</f>
        <v>156.28269999999998</v>
      </c>
    </row>
    <row r="314" spans="1:26" ht="42.75" x14ac:dyDescent="0.2">
      <c r="A314" s="51">
        <v>62.1</v>
      </c>
      <c r="B314" s="51" t="str">
        <f>Source!F130</f>
        <v>11.1.03.01-0078</v>
      </c>
      <c r="C314" s="51" t="str">
        <f>Source!G130</f>
        <v>Бруски обрезные, хвойных пород, длина 4-6,5 м, ширина 75-150 мм, толщина 40-75 мм, сорт II</v>
      </c>
      <c r="D314" s="40" t="str">
        <f>Source!H130</f>
        <v>м3</v>
      </c>
      <c r="E314" s="24">
        <f>Source!I130</f>
        <v>-0.91359999999999997</v>
      </c>
      <c r="F314" s="41">
        <f>Source!AL130+Source!AM130+Source!AO130</f>
        <v>1601</v>
      </c>
      <c r="G314" s="49" t="s">
        <v>3</v>
      </c>
      <c r="H314" s="41">
        <f>ROUND(Source!AC130*Source!I130, 2)+ROUND((((Source!ET130)-(Source!EU130))+Source!AE130)*Source!I130, 2)+ROUND(Source!AF130*Source!I130, 2)</f>
        <v>-1462.67</v>
      </c>
      <c r="I314" s="42"/>
      <c r="J314" s="42">
        <f>IF(Source!BC130&lt;&gt; 0, Source!BC130, 1)</f>
        <v>8.3800000000000008</v>
      </c>
      <c r="K314" s="41">
        <f>Source!O130</f>
        <v>-12257.2</v>
      </c>
      <c r="L314" s="43"/>
      <c r="S314">
        <f>ROUND((Source!FX130/100)*((ROUND(Source!AF130*Source!I130, 2)+ROUND(Source!AE130*Source!I130, 2))), 2)</f>
        <v>0</v>
      </c>
      <c r="T314">
        <f>Source!X130</f>
        <v>0</v>
      </c>
      <c r="U314">
        <f>ROUND((Source!FY130/100)*((ROUND(Source!AF130*Source!I130, 2)+ROUND(Source!AE130*Source!I130, 2))), 2)</f>
        <v>0</v>
      </c>
      <c r="V314">
        <f>Source!Y130</f>
        <v>0</v>
      </c>
      <c r="W314">
        <f>IF(Source!BI130&lt;=1,H314, 0)</f>
        <v>-1462.67</v>
      </c>
      <c r="X314">
        <f>IF(Source!BI130=2,H314, 0)</f>
        <v>0</v>
      </c>
      <c r="Y314">
        <f>IF(Source!BI130=3,H314, 0)</f>
        <v>0</v>
      </c>
      <c r="Z314">
        <f>IF(Source!BI130=4,H314, 0)</f>
        <v>0</v>
      </c>
    </row>
    <row r="315" spans="1:26" ht="42.75" x14ac:dyDescent="0.2">
      <c r="A315" s="51">
        <v>62.2</v>
      </c>
      <c r="B315" s="51" t="str">
        <f>Source!F131</f>
        <v>11.1.03.01-0082</v>
      </c>
      <c r="C315" s="51" t="str">
        <f>Source!G131</f>
        <v>Бруски обрезные, хвойных пород, длина 4-6,5 м, ширина 75-150 мм, толщина 100, 125 мм, сорт II</v>
      </c>
      <c r="D315" s="40" t="str">
        <f>Source!H131</f>
        <v>м3</v>
      </c>
      <c r="E315" s="24">
        <f>Source!I131</f>
        <v>-0.34260000000000002</v>
      </c>
      <c r="F315" s="41">
        <f>Source!AL131+Source!AM131+Source!AO131</f>
        <v>1980</v>
      </c>
      <c r="G315" s="49" t="s">
        <v>3</v>
      </c>
      <c r="H315" s="41">
        <f>ROUND(Source!AC131*Source!I131, 2)+ROUND((((Source!ET131)-(Source!EU131))+Source!AE131)*Source!I131, 2)+ROUND(Source!AF131*Source!I131, 2)</f>
        <v>-678.35</v>
      </c>
      <c r="I315" s="42"/>
      <c r="J315" s="42">
        <f>IF(Source!BC131&lt;&gt; 0, Source!BC131, 1)</f>
        <v>8.3800000000000008</v>
      </c>
      <c r="K315" s="41">
        <f>Source!O131</f>
        <v>-5684.56</v>
      </c>
      <c r="L315" s="43"/>
      <c r="S315">
        <f>ROUND((Source!FX131/100)*((ROUND(Source!AF131*Source!I131, 2)+ROUND(Source!AE131*Source!I131, 2))), 2)</f>
        <v>0</v>
      </c>
      <c r="T315">
        <f>Source!X131</f>
        <v>0</v>
      </c>
      <c r="U315">
        <f>ROUND((Source!FY131/100)*((ROUND(Source!AF131*Source!I131, 2)+ROUND(Source!AE131*Source!I131, 2))), 2)</f>
        <v>0</v>
      </c>
      <c r="V315">
        <f>Source!Y131</f>
        <v>0</v>
      </c>
      <c r="W315">
        <f>IF(Source!BI131&lt;=1,H315, 0)</f>
        <v>-678.35</v>
      </c>
      <c r="X315">
        <f>IF(Source!BI131=2,H315, 0)</f>
        <v>0</v>
      </c>
      <c r="Y315">
        <f>IF(Source!BI131=3,H315, 0)</f>
        <v>0</v>
      </c>
      <c r="Z315">
        <f>IF(Source!BI131=4,H315, 0)</f>
        <v>0</v>
      </c>
    </row>
    <row r="316" spans="1:26" ht="42.75" x14ac:dyDescent="0.2">
      <c r="A316" s="51">
        <v>62.3</v>
      </c>
      <c r="B316" s="51" t="str">
        <f>Source!F132</f>
        <v>11.1.03.06-0093</v>
      </c>
      <c r="C316" s="51" t="str">
        <f>Source!G132</f>
        <v>Доска обрезная, хвойных пород, ширина 75-150 мм, толщина 44 мм и более, длина 4-6,5 м, сорт I</v>
      </c>
      <c r="D316" s="40" t="str">
        <f>Source!H132</f>
        <v>м3</v>
      </c>
      <c r="E316" s="24">
        <f>Source!I132</f>
        <v>-4.7393000000000001</v>
      </c>
      <c r="F316" s="41">
        <f>Source!AL132+Source!AM132+Source!AO132</f>
        <v>1572</v>
      </c>
      <c r="G316" s="49" t="s">
        <v>3</v>
      </c>
      <c r="H316" s="41">
        <f>ROUND(Source!AC132*Source!I132, 2)+ROUND((((Source!ET132)-(Source!EU132))+Source!AE132)*Source!I132, 2)+ROUND(Source!AF132*Source!I132, 2)</f>
        <v>-7450.18</v>
      </c>
      <c r="I316" s="42"/>
      <c r="J316" s="42">
        <f>IF(Source!BC132&lt;&gt; 0, Source!BC132, 1)</f>
        <v>8.3800000000000008</v>
      </c>
      <c r="K316" s="41">
        <f>Source!O132</f>
        <v>-62432.51</v>
      </c>
      <c r="L316" s="43"/>
      <c r="S316">
        <f>ROUND((Source!FX132/100)*((ROUND(Source!AF132*Source!I132, 2)+ROUND(Source!AE132*Source!I132, 2))), 2)</f>
        <v>0</v>
      </c>
      <c r="T316">
        <f>Source!X132</f>
        <v>0</v>
      </c>
      <c r="U316">
        <f>ROUND((Source!FY132/100)*((ROUND(Source!AF132*Source!I132, 2)+ROUND(Source!AE132*Source!I132, 2))), 2)</f>
        <v>0</v>
      </c>
      <c r="V316">
        <f>Source!Y132</f>
        <v>0</v>
      </c>
      <c r="W316">
        <f>IF(Source!BI132&lt;=1,H316, 0)</f>
        <v>-7450.18</v>
      </c>
      <c r="X316">
        <f>IF(Source!BI132=2,H316, 0)</f>
        <v>0</v>
      </c>
      <c r="Y316">
        <f>IF(Source!BI132=3,H316, 0)</f>
        <v>0</v>
      </c>
      <c r="Z316">
        <f>IF(Source!BI132=4,H316, 0)</f>
        <v>0</v>
      </c>
    </row>
    <row r="317" spans="1:26" ht="28.5" x14ac:dyDescent="0.2">
      <c r="A317" s="50">
        <v>62.4</v>
      </c>
      <c r="B317" s="50" t="str">
        <f>Source!F133</f>
        <v>14.5.06.03-0002</v>
      </c>
      <c r="C317" s="50" t="str">
        <f>Source!G133</f>
        <v>Паста антисептическая</v>
      </c>
      <c r="D317" s="34" t="str">
        <f>Source!H133</f>
        <v>т</v>
      </c>
      <c r="E317" s="35">
        <f>Source!I133</f>
        <v>-1.1192000000000001E-2</v>
      </c>
      <c r="F317" s="36">
        <f>Source!AL133+Source!AM133+Source!AO133</f>
        <v>15255</v>
      </c>
      <c r="G317" s="48" t="s">
        <v>3</v>
      </c>
      <c r="H317" s="36">
        <f>ROUND(Source!AC133*Source!I133, 2)+ROUND((((Source!ET133)-(Source!EU133))+Source!AE133)*Source!I133, 2)+ROUND(Source!AF133*Source!I133, 2)</f>
        <v>-170.73</v>
      </c>
      <c r="I317" s="37"/>
      <c r="J317" s="37">
        <f>IF(Source!BC133&lt;&gt; 0, Source!BC133, 1)</f>
        <v>8.3800000000000008</v>
      </c>
      <c r="K317" s="36">
        <f>Source!O133</f>
        <v>-1430.75</v>
      </c>
      <c r="L317" s="38"/>
      <c r="S317">
        <f>ROUND((Source!FX133/100)*((ROUND(Source!AF133*Source!I133, 2)+ROUND(Source!AE133*Source!I133, 2))), 2)</f>
        <v>0</v>
      </c>
      <c r="T317">
        <f>Source!X133</f>
        <v>0</v>
      </c>
      <c r="U317">
        <f>ROUND((Source!FY133/100)*((ROUND(Source!AF133*Source!I133, 2)+ROUND(Source!AE133*Source!I133, 2))), 2)</f>
        <v>0</v>
      </c>
      <c r="V317">
        <f>Source!Y133</f>
        <v>0</v>
      </c>
      <c r="W317">
        <f>IF(Source!BI133&lt;=1,H317, 0)</f>
        <v>-170.73</v>
      </c>
      <c r="X317">
        <f>IF(Source!BI133=2,H317, 0)</f>
        <v>0</v>
      </c>
      <c r="Y317">
        <f>IF(Source!BI133=3,H317, 0)</f>
        <v>0</v>
      </c>
      <c r="Z317">
        <f>IF(Source!BI133=4,H317, 0)</f>
        <v>0</v>
      </c>
    </row>
    <row r="318" spans="1:26" ht="15" x14ac:dyDescent="0.25">
      <c r="G318" s="57">
        <f>H307+H308+H310+H311+H312+SUM(H314:H317)</f>
        <v>5633.23</v>
      </c>
      <c r="H318" s="57"/>
      <c r="J318" s="57">
        <f>K307+K308+K310+K311+K312+SUM(K314:K317)</f>
        <v>173745.81</v>
      </c>
      <c r="K318" s="57"/>
      <c r="L318" s="39">
        <f>Source!U129</f>
        <v>156.28269999999998</v>
      </c>
      <c r="O318" s="28">
        <f>G318</f>
        <v>5633.23</v>
      </c>
      <c r="P318" s="28">
        <f>J318</f>
        <v>173745.81</v>
      </c>
      <c r="Q318" s="28">
        <f>L318</f>
        <v>156.28269999999998</v>
      </c>
      <c r="W318">
        <f>IF(Source!BI129&lt;=1,H307+H308+H310+H311+H312, 0)</f>
        <v>15395.16</v>
      </c>
      <c r="X318">
        <f>IF(Source!BI129=2,H307+H308+H310+H311+H312, 0)</f>
        <v>0</v>
      </c>
      <c r="Y318">
        <f>IF(Source!BI129=3,H307+H308+H310+H311+H312, 0)</f>
        <v>0</v>
      </c>
      <c r="Z318">
        <f>IF(Source!BI129=4,H307+H308+H310+H311+H312, 0)</f>
        <v>0</v>
      </c>
    </row>
    <row r="319" spans="1:26" ht="42.75" x14ac:dyDescent="0.2">
      <c r="A319" s="50">
        <v>63</v>
      </c>
      <c r="B319" s="50" t="str">
        <f>Source!F134</f>
        <v>Цена поставщика</v>
      </c>
      <c r="C319" s="50" t="s">
        <v>594</v>
      </c>
      <c r="D319" s="34" t="str">
        <f>Source!H134</f>
        <v>м3</v>
      </c>
      <c r="E319" s="35">
        <f>Source!I134</f>
        <v>6</v>
      </c>
      <c r="F319" s="36">
        <f>Source!AL134</f>
        <v>1384.5500000000002</v>
      </c>
      <c r="G319" s="37" t="str">
        <f>Source!DD134</f>
        <v/>
      </c>
      <c r="H319" s="36">
        <f>ROUND(Source!AC134*Source!I134, 2)</f>
        <v>8307.2999999999993</v>
      </c>
      <c r="I319" s="37" t="str">
        <f>Source!BO134</f>
        <v/>
      </c>
      <c r="J319" s="37">
        <f>IF(Source!BC134&lt;&gt; 0, Source!BC134, 1)</f>
        <v>8.3800000000000008</v>
      </c>
      <c r="K319" s="36">
        <f>Source!P134</f>
        <v>69615.17</v>
      </c>
      <c r="L319" s="38"/>
      <c r="S319">
        <f>ROUND((Source!FX134/100)*((ROUND(Source!AF134*Source!I134, 2)+ROUND(Source!AE134*Source!I134, 2))), 2)</f>
        <v>0</v>
      </c>
      <c r="T319">
        <f>Source!X134</f>
        <v>0</v>
      </c>
      <c r="U319">
        <f>ROUND((Source!FY134/100)*((ROUND(Source!AF134*Source!I134, 2)+ROUND(Source!AE134*Source!I134, 2))), 2)</f>
        <v>0</v>
      </c>
      <c r="V319">
        <f>Source!Y134</f>
        <v>0</v>
      </c>
    </row>
    <row r="320" spans="1:26" ht="15" x14ac:dyDescent="0.25">
      <c r="G320" s="57">
        <f>H319</f>
        <v>8307.2999999999993</v>
      </c>
      <c r="H320" s="57"/>
      <c r="J320" s="57">
        <f>K319</f>
        <v>69615.17</v>
      </c>
      <c r="K320" s="57"/>
      <c r="L320" s="39">
        <f>Source!U134</f>
        <v>0</v>
      </c>
      <c r="O320" s="28">
        <f>G320</f>
        <v>8307.2999999999993</v>
      </c>
      <c r="P320" s="28">
        <f>J320</f>
        <v>69615.17</v>
      </c>
      <c r="Q320" s="28">
        <f>L320</f>
        <v>0</v>
      </c>
      <c r="W320">
        <f>IF(Source!BI134&lt;=1,H319, 0)</f>
        <v>8307.2999999999993</v>
      </c>
      <c r="X320">
        <f>IF(Source!BI134=2,H319, 0)</f>
        <v>0</v>
      </c>
      <c r="Y320">
        <f>IF(Source!BI134=3,H319, 0)</f>
        <v>0</v>
      </c>
      <c r="Z320">
        <f>IF(Source!BI134=4,H319, 0)</f>
        <v>0</v>
      </c>
    </row>
    <row r="321" spans="1:26" ht="54" x14ac:dyDescent="0.2">
      <c r="A321" s="50">
        <v>64</v>
      </c>
      <c r="B321" s="50" t="str">
        <f>Source!F135</f>
        <v>Цена поставщика</v>
      </c>
      <c r="C321" s="50" t="s">
        <v>591</v>
      </c>
      <c r="D321" s="34" t="str">
        <f>Source!H135</f>
        <v>л</v>
      </c>
      <c r="E321" s="35">
        <f>Source!I135</f>
        <v>98.085149999999999</v>
      </c>
      <c r="F321" s="36">
        <f>Source!AL135</f>
        <v>10.57</v>
      </c>
      <c r="G321" s="37" t="str">
        <f>Source!DD135</f>
        <v/>
      </c>
      <c r="H321" s="36">
        <f>ROUND(Source!AC135*Source!I135, 2)</f>
        <v>1036.76</v>
      </c>
      <c r="I321" s="37" t="str">
        <f>Source!BO135</f>
        <v/>
      </c>
      <c r="J321" s="37">
        <f>IF(Source!BC135&lt;&gt; 0, Source!BC135, 1)</f>
        <v>8.3800000000000008</v>
      </c>
      <c r="K321" s="36">
        <f>Source!P135</f>
        <v>8688.0499999999993</v>
      </c>
      <c r="L321" s="38"/>
      <c r="S321">
        <f>ROUND((Source!FX135/100)*((ROUND(Source!AF135*Source!I135, 2)+ROUND(Source!AE135*Source!I135, 2))), 2)</f>
        <v>0</v>
      </c>
      <c r="T321">
        <f>Source!X135</f>
        <v>0</v>
      </c>
      <c r="U321">
        <f>ROUND((Source!FY135/100)*((ROUND(Source!AF135*Source!I135, 2)+ROUND(Source!AE135*Source!I135, 2))), 2)</f>
        <v>0</v>
      </c>
      <c r="V321">
        <f>Source!Y135</f>
        <v>0</v>
      </c>
    </row>
    <row r="322" spans="1:26" ht="15" x14ac:dyDescent="0.25">
      <c r="G322" s="57">
        <f>H321</f>
        <v>1036.76</v>
      </c>
      <c r="H322" s="57"/>
      <c r="J322" s="57">
        <f>K321</f>
        <v>8688.0499999999993</v>
      </c>
      <c r="K322" s="57"/>
      <c r="L322" s="39">
        <f>Source!U135</f>
        <v>0</v>
      </c>
      <c r="O322" s="28">
        <f>G322</f>
        <v>1036.76</v>
      </c>
      <c r="P322" s="28">
        <f>J322</f>
        <v>8688.0499999999993</v>
      </c>
      <c r="Q322" s="28">
        <f>L322</f>
        <v>0</v>
      </c>
      <c r="W322">
        <f>IF(Source!BI135&lt;=1,H321, 0)</f>
        <v>1036.76</v>
      </c>
      <c r="X322">
        <f>IF(Source!BI135=2,H321, 0)</f>
        <v>0</v>
      </c>
      <c r="Y322">
        <f>IF(Source!BI135=3,H321, 0)</f>
        <v>0</v>
      </c>
      <c r="Z322">
        <f>IF(Source!BI135=4,H321, 0)</f>
        <v>0</v>
      </c>
    </row>
    <row r="323" spans="1:26" ht="28.5" x14ac:dyDescent="0.2">
      <c r="A323" s="51">
        <v>65</v>
      </c>
      <c r="B323" s="51" t="str">
        <f>Source!F136</f>
        <v>10-01-089-03</v>
      </c>
      <c r="C323" s="51" t="str">
        <f>Source!G136</f>
        <v>Антисептирование водными растворами: покрытий по фермам</v>
      </c>
      <c r="D323" s="40" t="str">
        <f>Source!H136</f>
        <v>100 м2</v>
      </c>
      <c r="E323" s="24">
        <f>Source!I136</f>
        <v>3.7675000000000001</v>
      </c>
      <c r="F323" s="41">
        <f>Source!AL136+Source!AM136+Source!AO136</f>
        <v>215.73999999999998</v>
      </c>
      <c r="G323" s="42"/>
      <c r="H323" s="41"/>
      <c r="I323" s="42" t="str">
        <f>Source!BO136</f>
        <v/>
      </c>
      <c r="J323" s="42"/>
      <c r="K323" s="41"/>
      <c r="L323" s="43"/>
      <c r="S323">
        <f>ROUND((Source!FX136/100)*((ROUND(Source!AF136*Source!I136, 2)+ROUND(Source!AE136*Source!I136, 2))), 2)</f>
        <v>168.49</v>
      </c>
      <c r="T323">
        <f>Source!X136</f>
        <v>7701.81</v>
      </c>
      <c r="U323">
        <f>ROUND((Source!FY136/100)*((ROUND(Source!AF136*Source!I136, 2)+ROUND(Source!AE136*Source!I136, 2))), 2)</f>
        <v>72.930000000000007</v>
      </c>
      <c r="V323">
        <f>Source!Y136</f>
        <v>3333.89</v>
      </c>
    </row>
    <row r="324" spans="1:26" ht="14.25" x14ac:dyDescent="0.2">
      <c r="A324" s="51"/>
      <c r="B324" s="51"/>
      <c r="C324" s="51" t="s">
        <v>570</v>
      </c>
      <c r="D324" s="40"/>
      <c r="E324" s="24"/>
      <c r="F324" s="41">
        <f>Source!AO136</f>
        <v>35.22</v>
      </c>
      <c r="G324" s="42" t="str">
        <f>Source!DG136</f>
        <v>)*1,15</v>
      </c>
      <c r="H324" s="41">
        <f>ROUND(Source!AF136*Source!I136, 2)</f>
        <v>152.58000000000001</v>
      </c>
      <c r="I324" s="42"/>
      <c r="J324" s="42">
        <f>IF(Source!BA136&lt;&gt; 0, Source!BA136, 1)</f>
        <v>45.71</v>
      </c>
      <c r="K324" s="41">
        <f>Source!S136</f>
        <v>6974.6</v>
      </c>
      <c r="L324" s="43"/>
      <c r="R324">
        <f>H324</f>
        <v>152.58000000000001</v>
      </c>
    </row>
    <row r="325" spans="1:26" ht="14.25" x14ac:dyDescent="0.2">
      <c r="A325" s="51"/>
      <c r="B325" s="51"/>
      <c r="C325" s="51" t="s">
        <v>205</v>
      </c>
      <c r="D325" s="40"/>
      <c r="E325" s="24"/>
      <c r="F325" s="41">
        <f>Source!AM136</f>
        <v>8.23</v>
      </c>
      <c r="G325" s="42" t="str">
        <f>Source!DE136</f>
        <v>)*1,25</v>
      </c>
      <c r="H325" s="41">
        <f>ROUND(((((Source!ET136*1.25))-((Source!EU136*1.25)))+Source!AE136)*Source!I136, 2)</f>
        <v>38.75</v>
      </c>
      <c r="I325" s="42"/>
      <c r="J325" s="42">
        <f>IF(Source!BB136&lt;&gt; 0, Source!BB136, 1)</f>
        <v>13.41</v>
      </c>
      <c r="K325" s="41">
        <f>Source!Q136</f>
        <v>519.32000000000005</v>
      </c>
      <c r="L325" s="43"/>
    </row>
    <row r="326" spans="1:26" ht="14.25" x14ac:dyDescent="0.2">
      <c r="A326" s="51"/>
      <c r="B326" s="51"/>
      <c r="C326" s="51" t="s">
        <v>576</v>
      </c>
      <c r="D326" s="40"/>
      <c r="E326" s="24"/>
      <c r="F326" s="41">
        <f>Source!AN136</f>
        <v>0.73</v>
      </c>
      <c r="G326" s="42" t="str">
        <f>Source!DF136</f>
        <v>)*1,25</v>
      </c>
      <c r="H326" s="46">
        <f>ROUND(Source!AE136*Source!I136, 2)</f>
        <v>3.43</v>
      </c>
      <c r="I326" s="42"/>
      <c r="J326" s="42">
        <f>IF(Source!BS136&lt;&gt; 0, Source!BS136, 1)</f>
        <v>45.71</v>
      </c>
      <c r="K326" s="46">
        <f>Source!R136</f>
        <v>156.71</v>
      </c>
      <c r="L326" s="43"/>
      <c r="R326">
        <f>H326</f>
        <v>3.43</v>
      </c>
    </row>
    <row r="327" spans="1:26" ht="14.25" x14ac:dyDescent="0.2">
      <c r="A327" s="51"/>
      <c r="B327" s="51"/>
      <c r="C327" s="51" t="s">
        <v>577</v>
      </c>
      <c r="D327" s="40"/>
      <c r="E327" s="24"/>
      <c r="F327" s="41">
        <f>Source!AL136</f>
        <v>172.29</v>
      </c>
      <c r="G327" s="42" t="str">
        <f>Source!DD136</f>
        <v/>
      </c>
      <c r="H327" s="41">
        <f>ROUND(Source!AC136*Source!I136, 2)</f>
        <v>649.1</v>
      </c>
      <c r="I327" s="42"/>
      <c r="J327" s="42">
        <f>IF(Source!BC136&lt;&gt; 0, Source!BC136, 1)</f>
        <v>8.3800000000000008</v>
      </c>
      <c r="K327" s="41">
        <f>Source!P136</f>
        <v>5439.48</v>
      </c>
      <c r="L327" s="43"/>
    </row>
    <row r="328" spans="1:26" ht="14.25" x14ac:dyDescent="0.2">
      <c r="A328" s="51"/>
      <c r="B328" s="51"/>
      <c r="C328" s="51" t="s">
        <v>571</v>
      </c>
      <c r="D328" s="40" t="s">
        <v>572</v>
      </c>
      <c r="E328" s="24">
        <f>Source!BZ136</f>
        <v>108</v>
      </c>
      <c r="F328" s="52"/>
      <c r="G328" s="42"/>
      <c r="H328" s="41">
        <f>SUM(S323:S331)</f>
        <v>168.49</v>
      </c>
      <c r="I328" s="44"/>
      <c r="J328" s="33">
        <f>Source!AT136</f>
        <v>108</v>
      </c>
      <c r="K328" s="41">
        <f>SUM(T323:T331)</f>
        <v>7701.81</v>
      </c>
      <c r="L328" s="43"/>
    </row>
    <row r="329" spans="1:26" ht="14.25" x14ac:dyDescent="0.2">
      <c r="A329" s="51"/>
      <c r="B329" s="51"/>
      <c r="C329" s="51" t="s">
        <v>573</v>
      </c>
      <c r="D329" s="40" t="s">
        <v>572</v>
      </c>
      <c r="E329" s="24">
        <f>Source!CA136</f>
        <v>55</v>
      </c>
      <c r="F329" s="60" t="str">
        <f>CONCATENATE(" )", Source!DM136, Source!FU136, "=", Source!FY136)</f>
        <v xml:space="preserve"> ))*0,85=46,75</v>
      </c>
      <c r="G329" s="61"/>
      <c r="H329" s="41">
        <f>SUM(U323:U331)</f>
        <v>72.930000000000007</v>
      </c>
      <c r="I329" s="44"/>
      <c r="J329" s="33">
        <f>Source!AU136</f>
        <v>46.75</v>
      </c>
      <c r="K329" s="41">
        <f>SUM(V323:V331)</f>
        <v>3333.89</v>
      </c>
      <c r="L329" s="43"/>
    </row>
    <row r="330" spans="1:26" ht="14.25" x14ac:dyDescent="0.2">
      <c r="A330" s="51"/>
      <c r="B330" s="51"/>
      <c r="C330" s="51" t="s">
        <v>574</v>
      </c>
      <c r="D330" s="40" t="s">
        <v>575</v>
      </c>
      <c r="E330" s="24">
        <f>Source!AQ136</f>
        <v>4.03</v>
      </c>
      <c r="F330" s="41"/>
      <c r="G330" s="42" t="str">
        <f>Source!DI136</f>
        <v>)*1,15</v>
      </c>
      <c r="H330" s="41"/>
      <c r="I330" s="42"/>
      <c r="J330" s="42"/>
      <c r="K330" s="41"/>
      <c r="L330" s="47">
        <f>Source!U136</f>
        <v>17.46047875</v>
      </c>
    </row>
    <row r="331" spans="1:26" ht="28.5" x14ac:dyDescent="0.2">
      <c r="A331" s="50">
        <v>65.099999999999994</v>
      </c>
      <c r="B331" s="50" t="str">
        <f>Source!F137</f>
        <v>01.3.05.23-0129</v>
      </c>
      <c r="C331" s="50" t="str">
        <f>Source!G137</f>
        <v>Натрий фтористый технический, марка А, сорт I</v>
      </c>
      <c r="D331" s="34" t="str">
        <f>Source!H137</f>
        <v>т</v>
      </c>
      <c r="E331" s="35">
        <f>Source!I137</f>
        <v>-3.3908000000000001E-2</v>
      </c>
      <c r="F331" s="36">
        <f>Source!AL137+Source!AM137+Source!AO137</f>
        <v>19100</v>
      </c>
      <c r="G331" s="48" t="s">
        <v>3</v>
      </c>
      <c r="H331" s="36">
        <f>ROUND(Source!AC137*Source!I137, 2)+ROUND((((Source!ET137)-(Source!EU137))+Source!AE137)*Source!I137, 2)+ROUND(Source!AF137*Source!I137, 2)</f>
        <v>-647.64</v>
      </c>
      <c r="I331" s="37"/>
      <c r="J331" s="37">
        <f>IF(Source!BC137&lt;&gt; 0, Source!BC137, 1)</f>
        <v>8.3800000000000008</v>
      </c>
      <c r="K331" s="36">
        <f>Source!O137</f>
        <v>-5427.25</v>
      </c>
      <c r="L331" s="38"/>
      <c r="S331">
        <f>ROUND((Source!FX137/100)*((ROUND(Source!AF137*Source!I137, 2)+ROUND(Source!AE137*Source!I137, 2))), 2)</f>
        <v>0</v>
      </c>
      <c r="T331">
        <f>Source!X137</f>
        <v>0</v>
      </c>
      <c r="U331">
        <f>ROUND((Source!FY137/100)*((ROUND(Source!AF137*Source!I137, 2)+ROUND(Source!AE137*Source!I137, 2))), 2)</f>
        <v>0</v>
      </c>
      <c r="V331">
        <f>Source!Y137</f>
        <v>0</v>
      </c>
      <c r="W331">
        <f>IF(Source!BI137&lt;=1,H331, 0)</f>
        <v>-647.64</v>
      </c>
      <c r="X331">
        <f>IF(Source!BI137=2,H331, 0)</f>
        <v>0</v>
      </c>
      <c r="Y331">
        <f>IF(Source!BI137=3,H331, 0)</f>
        <v>0</v>
      </c>
      <c r="Z331">
        <f>IF(Source!BI137=4,H331, 0)</f>
        <v>0</v>
      </c>
    </row>
    <row r="332" spans="1:26" ht="15" x14ac:dyDescent="0.25">
      <c r="G332" s="57">
        <f>H324+H325+H327+H328+H329+SUM(H331:H331)</f>
        <v>434.21000000000015</v>
      </c>
      <c r="H332" s="57"/>
      <c r="J332" s="57">
        <f>K324+K325+K327+K328+K329+SUM(K331:K331)</f>
        <v>18541.849999999999</v>
      </c>
      <c r="K332" s="57"/>
      <c r="L332" s="39">
        <f>Source!U136</f>
        <v>17.46047875</v>
      </c>
      <c r="O332" s="28">
        <f>G332</f>
        <v>434.21000000000015</v>
      </c>
      <c r="P332" s="28">
        <f>J332</f>
        <v>18541.849999999999</v>
      </c>
      <c r="Q332" s="28">
        <f>L332</f>
        <v>17.46047875</v>
      </c>
      <c r="W332">
        <f>IF(Source!BI136&lt;=1,H324+H325+H327+H328+H329, 0)</f>
        <v>1081.8500000000001</v>
      </c>
      <c r="X332">
        <f>IF(Source!BI136=2,H324+H325+H327+H328+H329, 0)</f>
        <v>0</v>
      </c>
      <c r="Y332">
        <f>IF(Source!BI136=3,H324+H325+H327+H328+H329, 0)</f>
        <v>0</v>
      </c>
      <c r="Z332">
        <f>IF(Source!BI136=4,H324+H325+H327+H328+H329, 0)</f>
        <v>0</v>
      </c>
    </row>
    <row r="333" spans="1:26" ht="54" x14ac:dyDescent="0.2">
      <c r="A333" s="50">
        <v>66</v>
      </c>
      <c r="B333" s="50" t="str">
        <f>Source!F138</f>
        <v>Цена поставщика</v>
      </c>
      <c r="C333" s="50" t="s">
        <v>591</v>
      </c>
      <c r="D333" s="34" t="str">
        <f>Source!H138</f>
        <v>л</v>
      </c>
      <c r="E333" s="35">
        <f>Source!I138</f>
        <v>125.45775</v>
      </c>
      <c r="F333" s="36">
        <f>Source!AL138</f>
        <v>10.57</v>
      </c>
      <c r="G333" s="37" t="str">
        <f>Source!DD138</f>
        <v/>
      </c>
      <c r="H333" s="36">
        <f>ROUND(Source!AC138*Source!I138, 2)</f>
        <v>1326.09</v>
      </c>
      <c r="I333" s="37" t="str">
        <f>Source!BO138</f>
        <v/>
      </c>
      <c r="J333" s="37">
        <f>IF(Source!BC138&lt;&gt; 0, Source!BC138, 1)</f>
        <v>8.3800000000000008</v>
      </c>
      <c r="K333" s="36">
        <f>Source!P138</f>
        <v>11112.62</v>
      </c>
      <c r="L333" s="38"/>
      <c r="S333">
        <f>ROUND((Source!FX138/100)*((ROUND(Source!AF138*Source!I138, 2)+ROUND(Source!AE138*Source!I138, 2))), 2)</f>
        <v>0</v>
      </c>
      <c r="T333">
        <f>Source!X138</f>
        <v>0</v>
      </c>
      <c r="U333">
        <f>ROUND((Source!FY138/100)*((ROUND(Source!AF138*Source!I138, 2)+ROUND(Source!AE138*Source!I138, 2))), 2)</f>
        <v>0</v>
      </c>
      <c r="V333">
        <f>Source!Y138</f>
        <v>0</v>
      </c>
    </row>
    <row r="334" spans="1:26" ht="15" x14ac:dyDescent="0.25">
      <c r="G334" s="57">
        <f>H333</f>
        <v>1326.09</v>
      </c>
      <c r="H334" s="57"/>
      <c r="J334" s="57">
        <f>K333</f>
        <v>11112.62</v>
      </c>
      <c r="K334" s="57"/>
      <c r="L334" s="39">
        <f>Source!U138</f>
        <v>0</v>
      </c>
      <c r="O334" s="28">
        <f>G334</f>
        <v>1326.09</v>
      </c>
      <c r="P334" s="28">
        <f>J334</f>
        <v>11112.62</v>
      </c>
      <c r="Q334" s="28">
        <f>L334</f>
        <v>0</v>
      </c>
      <c r="W334">
        <f>IF(Source!BI138&lt;=1,H333, 0)</f>
        <v>1326.09</v>
      </c>
      <c r="X334">
        <f>IF(Source!BI138=2,H333, 0)</f>
        <v>0</v>
      </c>
      <c r="Y334">
        <f>IF(Source!BI138=3,H333, 0)</f>
        <v>0</v>
      </c>
      <c r="Z334">
        <f>IF(Source!BI138=4,H333, 0)</f>
        <v>0</v>
      </c>
    </row>
    <row r="335" spans="1:26" ht="28.5" x14ac:dyDescent="0.2">
      <c r="A335" s="51">
        <v>67</v>
      </c>
      <c r="B335" s="51" t="str">
        <f>Source!F139</f>
        <v>46-01-001-05</v>
      </c>
      <c r="C335" s="51" t="str">
        <f>Source!G139</f>
        <v>Усиление перекрытий железобетоном сверху</v>
      </c>
      <c r="D335" s="40" t="str">
        <f>Source!H139</f>
        <v>м3</v>
      </c>
      <c r="E335" s="24">
        <f>Source!I139</f>
        <v>2</v>
      </c>
      <c r="F335" s="41">
        <f>Source!AL139+Source!AM139+Source!AO139</f>
        <v>495.96000000000004</v>
      </c>
      <c r="G335" s="42"/>
      <c r="H335" s="41"/>
      <c r="I335" s="42" t="str">
        <f>Source!BO139</f>
        <v/>
      </c>
      <c r="J335" s="42"/>
      <c r="K335" s="41"/>
      <c r="L335" s="43"/>
      <c r="S335">
        <f>ROUND((Source!FX139/100)*((ROUND(Source!AF139*Source!I139, 2)+ROUND(Source!AE139*Source!I139, 2))), 2)</f>
        <v>419.25</v>
      </c>
      <c r="T335">
        <f>Source!X139</f>
        <v>19163.97</v>
      </c>
      <c r="U335">
        <f>ROUND((Source!FY139/100)*((ROUND(Source!AF139*Source!I139, 2)+ROUND(Source!AE139*Source!I139, 2))), 2)</f>
        <v>240.15</v>
      </c>
      <c r="V335">
        <f>Source!Y139</f>
        <v>10977.42</v>
      </c>
    </row>
    <row r="336" spans="1:26" ht="14.25" x14ac:dyDescent="0.2">
      <c r="A336" s="51"/>
      <c r="B336" s="51"/>
      <c r="C336" s="51" t="s">
        <v>570</v>
      </c>
      <c r="D336" s="40"/>
      <c r="E336" s="24"/>
      <c r="F336" s="41">
        <f>Source!AO139</f>
        <v>198.85</v>
      </c>
      <c r="G336" s="42" t="str">
        <f>Source!DG139</f>
        <v/>
      </c>
      <c r="H336" s="41">
        <f>ROUND(Source!AF139*Source!I139, 2)</f>
        <v>397.7</v>
      </c>
      <c r="I336" s="42"/>
      <c r="J336" s="42">
        <f>IF(Source!BA139&lt;&gt; 0, Source!BA139, 1)</f>
        <v>45.71</v>
      </c>
      <c r="K336" s="41">
        <f>Source!S139</f>
        <v>18178.87</v>
      </c>
      <c r="L336" s="43"/>
      <c r="R336">
        <f>H336</f>
        <v>397.7</v>
      </c>
    </row>
    <row r="337" spans="1:26" ht="14.25" x14ac:dyDescent="0.2">
      <c r="A337" s="51"/>
      <c r="B337" s="51"/>
      <c r="C337" s="51" t="s">
        <v>205</v>
      </c>
      <c r="D337" s="40"/>
      <c r="E337" s="24"/>
      <c r="F337" s="41">
        <f>Source!AM139</f>
        <v>273.39</v>
      </c>
      <c r="G337" s="42" t="str">
        <f>Source!DE139</f>
        <v/>
      </c>
      <c r="H337" s="41">
        <f>ROUND((((Source!ET139)-(Source!EU139))+Source!AE139)*Source!I139, 2)</f>
        <v>546.78</v>
      </c>
      <c r="I337" s="42"/>
      <c r="J337" s="42">
        <f>IF(Source!BB139&lt;&gt; 0, Source!BB139, 1)</f>
        <v>13.41</v>
      </c>
      <c r="K337" s="41">
        <f>Source!Q139</f>
        <v>7332.32</v>
      </c>
      <c r="L337" s="43"/>
    </row>
    <row r="338" spans="1:26" ht="14.25" x14ac:dyDescent="0.2">
      <c r="A338" s="51"/>
      <c r="B338" s="51"/>
      <c r="C338" s="51" t="s">
        <v>576</v>
      </c>
      <c r="D338" s="40"/>
      <c r="E338" s="24"/>
      <c r="F338" s="41">
        <f>Source!AN139</f>
        <v>4.67</v>
      </c>
      <c r="G338" s="42" t="str">
        <f>Source!DF139</f>
        <v/>
      </c>
      <c r="H338" s="46">
        <f>ROUND(Source!AE139*Source!I139, 2)</f>
        <v>9.34</v>
      </c>
      <c r="I338" s="42"/>
      <c r="J338" s="42">
        <f>IF(Source!BS139&lt;&gt; 0, Source!BS139, 1)</f>
        <v>45.71</v>
      </c>
      <c r="K338" s="46">
        <f>Source!R139</f>
        <v>426.93</v>
      </c>
      <c r="L338" s="43"/>
      <c r="R338">
        <f>H338</f>
        <v>9.34</v>
      </c>
    </row>
    <row r="339" spans="1:26" ht="14.25" x14ac:dyDescent="0.2">
      <c r="A339" s="51"/>
      <c r="B339" s="51"/>
      <c r="C339" s="51" t="s">
        <v>577</v>
      </c>
      <c r="D339" s="40"/>
      <c r="E339" s="24"/>
      <c r="F339" s="41">
        <f>Source!AL139</f>
        <v>23.72</v>
      </c>
      <c r="G339" s="42" t="str">
        <f>Source!DD139</f>
        <v/>
      </c>
      <c r="H339" s="41">
        <f>ROUND(Source!AC139*Source!I139, 2)</f>
        <v>47.44</v>
      </c>
      <c r="I339" s="42"/>
      <c r="J339" s="42">
        <f>IF(Source!BC139&lt;&gt; 0, Source!BC139, 1)</f>
        <v>8.3800000000000008</v>
      </c>
      <c r="K339" s="41">
        <f>Source!P139</f>
        <v>397.55</v>
      </c>
      <c r="L339" s="43"/>
    </row>
    <row r="340" spans="1:26" ht="14.25" x14ac:dyDescent="0.2">
      <c r="A340" s="51"/>
      <c r="B340" s="51"/>
      <c r="C340" s="51" t="s">
        <v>571</v>
      </c>
      <c r="D340" s="40" t="s">
        <v>572</v>
      </c>
      <c r="E340" s="24">
        <f>Source!BZ139</f>
        <v>103</v>
      </c>
      <c r="F340" s="52"/>
      <c r="G340" s="42"/>
      <c r="H340" s="41">
        <f>SUM(S335:S342)</f>
        <v>419.25</v>
      </c>
      <c r="I340" s="44"/>
      <c r="J340" s="33">
        <f>Source!AT139</f>
        <v>103</v>
      </c>
      <c r="K340" s="41">
        <f>SUM(T335:T342)</f>
        <v>19163.97</v>
      </c>
      <c r="L340" s="43"/>
    </row>
    <row r="341" spans="1:26" ht="14.25" x14ac:dyDescent="0.2">
      <c r="A341" s="51"/>
      <c r="B341" s="51"/>
      <c r="C341" s="51" t="s">
        <v>573</v>
      </c>
      <c r="D341" s="40" t="s">
        <v>572</v>
      </c>
      <c r="E341" s="24">
        <f>Source!CA139</f>
        <v>59</v>
      </c>
      <c r="F341" s="52"/>
      <c r="G341" s="42"/>
      <c r="H341" s="41">
        <f>SUM(U335:U342)</f>
        <v>240.15</v>
      </c>
      <c r="I341" s="44"/>
      <c r="J341" s="33">
        <f>Source!AU139</f>
        <v>59</v>
      </c>
      <c r="K341" s="41">
        <f>SUM(V335:V342)</f>
        <v>10977.42</v>
      </c>
      <c r="L341" s="43"/>
    </row>
    <row r="342" spans="1:26" ht="14.25" x14ac:dyDescent="0.2">
      <c r="A342" s="50"/>
      <c r="B342" s="50"/>
      <c r="C342" s="50" t="s">
        <v>574</v>
      </c>
      <c r="D342" s="34" t="s">
        <v>575</v>
      </c>
      <c r="E342" s="35">
        <f>Source!AQ139</f>
        <v>20.91</v>
      </c>
      <c r="F342" s="36"/>
      <c r="G342" s="37" t="str">
        <f>Source!DI139</f>
        <v/>
      </c>
      <c r="H342" s="36"/>
      <c r="I342" s="37"/>
      <c r="J342" s="37"/>
      <c r="K342" s="36"/>
      <c r="L342" s="45">
        <f>Source!U139</f>
        <v>41.82</v>
      </c>
    </row>
    <row r="343" spans="1:26" ht="15" x14ac:dyDescent="0.25">
      <c r="G343" s="57">
        <f>H336+H337+H339+H340+H341</f>
        <v>1651.3200000000002</v>
      </c>
      <c r="H343" s="57"/>
      <c r="J343" s="57">
        <f>K336+K337+K339+K340+K341</f>
        <v>56050.13</v>
      </c>
      <c r="K343" s="57"/>
      <c r="L343" s="39">
        <f>Source!U139</f>
        <v>41.82</v>
      </c>
      <c r="O343" s="28">
        <f>G343</f>
        <v>1651.3200000000002</v>
      </c>
      <c r="P343" s="28">
        <f>J343</f>
        <v>56050.13</v>
      </c>
      <c r="Q343" s="28">
        <f>L343</f>
        <v>41.82</v>
      </c>
      <c r="W343">
        <f>IF(Source!BI139&lt;=1,H336+H337+H339+H340+H341, 0)</f>
        <v>1651.3200000000002</v>
      </c>
      <c r="X343">
        <f>IF(Source!BI139=2,H336+H337+H339+H340+H341, 0)</f>
        <v>0</v>
      </c>
      <c r="Y343">
        <f>IF(Source!BI139=3,H336+H337+H339+H340+H341, 0)</f>
        <v>0</v>
      </c>
      <c r="Z343">
        <f>IF(Source!BI139=4,H336+H337+H339+H340+H341, 0)</f>
        <v>0</v>
      </c>
    </row>
    <row r="344" spans="1:26" ht="42.75" x14ac:dyDescent="0.2">
      <c r="A344" s="50">
        <v>68</v>
      </c>
      <c r="B344" s="50" t="str">
        <f>Source!F140</f>
        <v>Цена поставщика</v>
      </c>
      <c r="C344" s="50" t="s">
        <v>595</v>
      </c>
      <c r="D344" s="34" t="str">
        <f>Source!H140</f>
        <v>м3</v>
      </c>
      <c r="E344" s="35">
        <f>Source!I140</f>
        <v>2.04</v>
      </c>
      <c r="F344" s="36">
        <f>Source!AL140</f>
        <v>511.21999999999997</v>
      </c>
      <c r="G344" s="37" t="str">
        <f>Source!DD140</f>
        <v/>
      </c>
      <c r="H344" s="36">
        <f>ROUND(Source!AC140*Source!I140, 2)</f>
        <v>1042.8900000000001</v>
      </c>
      <c r="I344" s="37" t="str">
        <f>Source!BO140</f>
        <v/>
      </c>
      <c r="J344" s="37">
        <f>IF(Source!BC140&lt;&gt; 0, Source!BC140, 1)</f>
        <v>8.3800000000000008</v>
      </c>
      <c r="K344" s="36">
        <f>Source!P140</f>
        <v>8739.41</v>
      </c>
      <c r="L344" s="38"/>
      <c r="S344">
        <f>ROUND((Source!FX140/100)*((ROUND(Source!AF140*Source!I140, 2)+ROUND(Source!AE140*Source!I140, 2))), 2)</f>
        <v>0</v>
      </c>
      <c r="T344">
        <f>Source!X140</f>
        <v>0</v>
      </c>
      <c r="U344">
        <f>ROUND((Source!FY140/100)*((ROUND(Source!AF140*Source!I140, 2)+ROUND(Source!AE140*Source!I140, 2))), 2)</f>
        <v>0</v>
      </c>
      <c r="V344">
        <f>Source!Y140</f>
        <v>0</v>
      </c>
    </row>
    <row r="345" spans="1:26" ht="15" x14ac:dyDescent="0.25">
      <c r="G345" s="57">
        <f>H344</f>
        <v>1042.8900000000001</v>
      </c>
      <c r="H345" s="57"/>
      <c r="J345" s="57">
        <f>K344</f>
        <v>8739.41</v>
      </c>
      <c r="K345" s="57"/>
      <c r="L345" s="39">
        <f>Source!U140</f>
        <v>0</v>
      </c>
      <c r="O345" s="28">
        <f>G345</f>
        <v>1042.8900000000001</v>
      </c>
      <c r="P345" s="28">
        <f>J345</f>
        <v>8739.41</v>
      </c>
      <c r="Q345" s="28">
        <f>L345</f>
        <v>0</v>
      </c>
      <c r="W345">
        <f>IF(Source!BI140&lt;=1,H344, 0)</f>
        <v>1042.8900000000001</v>
      </c>
      <c r="X345">
        <f>IF(Source!BI140=2,H344, 0)</f>
        <v>0</v>
      </c>
      <c r="Y345">
        <f>IF(Source!BI140=3,H344, 0)</f>
        <v>0</v>
      </c>
      <c r="Z345">
        <f>IF(Source!BI140=4,H344, 0)</f>
        <v>0</v>
      </c>
    </row>
    <row r="346" spans="1:26" ht="42.75" x14ac:dyDescent="0.2">
      <c r="A346" s="50">
        <v>69</v>
      </c>
      <c r="B346" s="50" t="str">
        <f>Source!F141</f>
        <v>Цена поставщика</v>
      </c>
      <c r="C346" s="50" t="s">
        <v>596</v>
      </c>
      <c r="D346" s="34" t="str">
        <f>Source!H141</f>
        <v>т</v>
      </c>
      <c r="E346" s="35">
        <f>Source!I141</f>
        <v>0.25</v>
      </c>
      <c r="F346" s="36">
        <f>Source!AL141</f>
        <v>7029.24</v>
      </c>
      <c r="G346" s="37" t="str">
        <f>Source!DD141</f>
        <v/>
      </c>
      <c r="H346" s="36">
        <f>ROUND(Source!AC141*Source!I141, 2)</f>
        <v>1757.31</v>
      </c>
      <c r="I346" s="37" t="str">
        <f>Source!BO141</f>
        <v/>
      </c>
      <c r="J346" s="37">
        <f>IF(Source!BC141&lt;&gt; 0, Source!BC141, 1)</f>
        <v>8.3800000000000008</v>
      </c>
      <c r="K346" s="36">
        <f>Source!P141</f>
        <v>14726.26</v>
      </c>
      <c r="L346" s="38"/>
      <c r="S346">
        <f>ROUND((Source!FX141/100)*((ROUND(Source!AF141*Source!I141, 2)+ROUND(Source!AE141*Source!I141, 2))), 2)</f>
        <v>0</v>
      </c>
      <c r="T346">
        <f>Source!X141</f>
        <v>0</v>
      </c>
      <c r="U346">
        <f>ROUND((Source!FY141/100)*((ROUND(Source!AF141*Source!I141, 2)+ROUND(Source!AE141*Source!I141, 2))), 2)</f>
        <v>0</v>
      </c>
      <c r="V346">
        <f>Source!Y141</f>
        <v>0</v>
      </c>
    </row>
    <row r="347" spans="1:26" ht="15" x14ac:dyDescent="0.25">
      <c r="G347" s="57">
        <f>H346</f>
        <v>1757.31</v>
      </c>
      <c r="H347" s="57"/>
      <c r="J347" s="57">
        <f>K346</f>
        <v>14726.26</v>
      </c>
      <c r="K347" s="57"/>
      <c r="L347" s="39">
        <f>Source!U141</f>
        <v>0</v>
      </c>
      <c r="O347" s="28">
        <f>G347</f>
        <v>1757.31</v>
      </c>
      <c r="P347" s="28">
        <f>J347</f>
        <v>14726.26</v>
      </c>
      <c r="Q347" s="28">
        <f>L347</f>
        <v>0</v>
      </c>
      <c r="W347">
        <f>IF(Source!BI141&lt;=1,H346, 0)</f>
        <v>1757.31</v>
      </c>
      <c r="X347">
        <f>IF(Source!BI141=2,H346, 0)</f>
        <v>0</v>
      </c>
      <c r="Y347">
        <f>IF(Source!BI141=3,H346, 0)</f>
        <v>0</v>
      </c>
      <c r="Z347">
        <f>IF(Source!BI141=4,H346, 0)</f>
        <v>0</v>
      </c>
    </row>
    <row r="348" spans="1:26" ht="42.75" x14ac:dyDescent="0.2">
      <c r="A348" s="50">
        <v>70</v>
      </c>
      <c r="B348" s="50" t="str">
        <f>Source!F142</f>
        <v>т01-01-01-041</v>
      </c>
      <c r="C348" s="50" t="str">
        <f>Source!G142</f>
        <v>Погрузка при автомобильных перевозках мусора строительного с погрузкой вручную</v>
      </c>
      <c r="D348" s="34" t="str">
        <f>Source!H142</f>
        <v>1 т груза</v>
      </c>
      <c r="E348" s="35">
        <f>Source!I142</f>
        <v>1.042</v>
      </c>
      <c r="F348" s="36">
        <f>Source!AK142</f>
        <v>42.98</v>
      </c>
      <c r="G348" s="37" t="str">
        <f>Source!DC142</f>
        <v/>
      </c>
      <c r="H348" s="36">
        <f>ROUND(Source!AB142*Source!I142, 2)</f>
        <v>44.79</v>
      </c>
      <c r="I348" s="37" t="str">
        <f>Source!BO142</f>
        <v/>
      </c>
      <c r="J348" s="37">
        <f>Source!AZ142</f>
        <v>14.68</v>
      </c>
      <c r="K348" s="36">
        <f>Source!GM142</f>
        <v>657.45</v>
      </c>
      <c r="L348" s="38"/>
      <c r="S348">
        <f>ROUND((Source!FX142/100)*((ROUND(0*Source!I142, 2)+ROUND(0*Source!I142, 2))), 2)</f>
        <v>0</v>
      </c>
      <c r="T348">
        <f>Source!X142</f>
        <v>0</v>
      </c>
      <c r="U348">
        <f>ROUND((Source!FY142/100)*((ROUND(0*Source!I142, 2)+ROUND(0*Source!I142, 2))), 2)</f>
        <v>0</v>
      </c>
      <c r="V348">
        <f>Source!Y142</f>
        <v>0</v>
      </c>
    </row>
    <row r="349" spans="1:26" ht="15" x14ac:dyDescent="0.25">
      <c r="G349" s="57">
        <f>H348</f>
        <v>44.79</v>
      </c>
      <c r="H349" s="57"/>
      <c r="J349" s="57">
        <f>K348</f>
        <v>657.45</v>
      </c>
      <c r="K349" s="57"/>
      <c r="L349" s="39">
        <f>Source!U142</f>
        <v>0</v>
      </c>
      <c r="O349" s="28">
        <f>G349</f>
        <v>44.79</v>
      </c>
      <c r="P349" s="28">
        <f>J349</f>
        <v>657.45</v>
      </c>
      <c r="Q349" s="28">
        <f>L349</f>
        <v>0</v>
      </c>
      <c r="W349">
        <f>IF(Source!BI142&lt;=1,H348, 0)</f>
        <v>44.79</v>
      </c>
      <c r="X349">
        <f>IF(Source!BI142=2,H348, 0)</f>
        <v>0</v>
      </c>
      <c r="Y349">
        <f>IF(Source!BI142=3,H348, 0)</f>
        <v>0</v>
      </c>
      <c r="Z349">
        <f>IF(Source!BI142=4,H348, 0)</f>
        <v>0</v>
      </c>
    </row>
    <row r="350" spans="1:26" ht="57" x14ac:dyDescent="0.2">
      <c r="A350" s="50">
        <v>71</v>
      </c>
      <c r="B350" s="50" t="str">
        <f>Source!F143</f>
        <v>т01-01-01-043</v>
      </c>
      <c r="C350" s="50" t="str">
        <f>Source!G143</f>
        <v>Погрузка при автомобильных перевозках мусора строительного с погрузкой экскаваторами емкостью ковша до 0,5 м3</v>
      </c>
      <c r="D350" s="34" t="str">
        <f>Source!H143</f>
        <v>1 т груза</v>
      </c>
      <c r="E350" s="35">
        <f>Source!I143</f>
        <v>9.3780000000000001</v>
      </c>
      <c r="F350" s="36">
        <f>Source!AK143</f>
        <v>3.28</v>
      </c>
      <c r="G350" s="37" t="str">
        <f>Source!DC143</f>
        <v/>
      </c>
      <c r="H350" s="36">
        <f>ROUND(Source!AB143*Source!I143, 2)</f>
        <v>30.76</v>
      </c>
      <c r="I350" s="37" t="str">
        <f>Source!BO143</f>
        <v/>
      </c>
      <c r="J350" s="37">
        <f>Source!AZ143</f>
        <v>14.68</v>
      </c>
      <c r="K350" s="36">
        <f>Source!GM143</f>
        <v>451.55</v>
      </c>
      <c r="L350" s="38"/>
      <c r="S350">
        <f>ROUND((Source!FX143/100)*((ROUND(0*Source!I143, 2)+ROUND(0*Source!I143, 2))), 2)</f>
        <v>0</v>
      </c>
      <c r="T350">
        <f>Source!X143</f>
        <v>0</v>
      </c>
      <c r="U350">
        <f>ROUND((Source!FY143/100)*((ROUND(0*Source!I143, 2)+ROUND(0*Source!I143, 2))), 2)</f>
        <v>0</v>
      </c>
      <c r="V350">
        <f>Source!Y143</f>
        <v>0</v>
      </c>
    </row>
    <row r="351" spans="1:26" ht="15" x14ac:dyDescent="0.25">
      <c r="G351" s="57">
        <f>H350</f>
        <v>30.76</v>
      </c>
      <c r="H351" s="57"/>
      <c r="J351" s="57">
        <f>K350</f>
        <v>451.55</v>
      </c>
      <c r="K351" s="57"/>
      <c r="L351" s="39">
        <f>Source!U143</f>
        <v>0</v>
      </c>
      <c r="O351" s="28">
        <f>G351</f>
        <v>30.76</v>
      </c>
      <c r="P351" s="28">
        <f>J351</f>
        <v>451.55</v>
      </c>
      <c r="Q351" s="28">
        <f>L351</f>
        <v>0</v>
      </c>
      <c r="W351">
        <f>IF(Source!BI143&lt;=1,H350, 0)</f>
        <v>30.76</v>
      </c>
      <c r="X351">
        <f>IF(Source!BI143=2,H350, 0)</f>
        <v>0</v>
      </c>
      <c r="Y351">
        <f>IF(Source!BI143=3,H350, 0)</f>
        <v>0</v>
      </c>
      <c r="Z351">
        <f>IF(Source!BI143=4,H350, 0)</f>
        <v>0</v>
      </c>
    </row>
    <row r="352" spans="1:26" ht="57" x14ac:dyDescent="0.2">
      <c r="A352" s="51">
        <v>72</v>
      </c>
      <c r="B352" s="51" t="str">
        <f>Source!F144</f>
        <v>т03-21-01-002</v>
      </c>
      <c r="C352" s="51" t="str">
        <f>Source!G144</f>
        <v>Перевозка грузов I класса автомобилями-самосвалами грузоподъемностью 10 т работающих вне карьера на расстояние до 2 км</v>
      </c>
      <c r="D352" s="40" t="str">
        <f>Source!H144</f>
        <v>1 т груза</v>
      </c>
      <c r="E352" s="24">
        <f>Source!I144</f>
        <v>10.42</v>
      </c>
      <c r="F352" s="41">
        <f>Source!AK144</f>
        <v>3.86</v>
      </c>
      <c r="G352" s="42" t="str">
        <f>Source!DC144</f>
        <v/>
      </c>
      <c r="H352" s="41">
        <f>ROUND(Source!AB144*Source!I144, 2)</f>
        <v>40.22</v>
      </c>
      <c r="I352" s="42" t="str">
        <f>Source!BO144</f>
        <v/>
      </c>
      <c r="J352" s="42">
        <f>Source!AZ144</f>
        <v>14.68</v>
      </c>
      <c r="K352" s="41">
        <f>Source!GM144</f>
        <v>590.45000000000005</v>
      </c>
      <c r="L352" s="43"/>
      <c r="S352">
        <f>ROUND((Source!FX144/100)*((ROUND(0*Source!I144, 2)+ROUND(0*Source!I144, 2))), 2)</f>
        <v>0</v>
      </c>
      <c r="T352">
        <f>Source!X144</f>
        <v>0</v>
      </c>
      <c r="U352">
        <f>ROUND((Source!FY144/100)*((ROUND(0*Source!I144, 2)+ROUND(0*Source!I144, 2))), 2)</f>
        <v>0</v>
      </c>
      <c r="V352">
        <f>Source!Y144</f>
        <v>0</v>
      </c>
    </row>
    <row r="353" spans="1:32" x14ac:dyDescent="0.2">
      <c r="A353" s="30"/>
      <c r="B353" s="30"/>
      <c r="C353" s="31" t="str">
        <f>"Объем: "&amp;Source!I144&amp;"="&amp;Source!I142&amp;"+"&amp;""&amp;Source!I143&amp;""</f>
        <v>Объем: 10,42=1,042+9,378</v>
      </c>
      <c r="D353" s="30"/>
      <c r="E353" s="30"/>
      <c r="F353" s="30"/>
      <c r="G353" s="30"/>
      <c r="H353" s="30"/>
      <c r="I353" s="30"/>
      <c r="J353" s="30"/>
      <c r="K353" s="30"/>
      <c r="L353" s="30"/>
    </row>
    <row r="354" spans="1:32" ht="15" x14ac:dyDescent="0.25">
      <c r="G354" s="57">
        <f>H352</f>
        <v>40.22</v>
      </c>
      <c r="H354" s="57"/>
      <c r="J354" s="57">
        <f>K352</f>
        <v>590.45000000000005</v>
      </c>
      <c r="K354" s="57"/>
      <c r="L354" s="39">
        <f>Source!U144</f>
        <v>0</v>
      </c>
      <c r="O354" s="28">
        <f>G354</f>
        <v>40.22</v>
      </c>
      <c r="P354" s="28">
        <f>J354</f>
        <v>590.45000000000005</v>
      </c>
      <c r="Q354" s="28">
        <f>L354</f>
        <v>0</v>
      </c>
      <c r="W354">
        <f>IF(Source!BI144&lt;=1,H352, 0)</f>
        <v>40.22</v>
      </c>
      <c r="X354">
        <f>IF(Source!BI144=2,H352, 0)</f>
        <v>0</v>
      </c>
      <c r="Y354">
        <f>IF(Source!BI144=3,H352, 0)</f>
        <v>0</v>
      </c>
      <c r="Z354">
        <f>IF(Source!BI144=4,H352, 0)</f>
        <v>0</v>
      </c>
    </row>
    <row r="356" spans="1:32" ht="15" x14ac:dyDescent="0.25">
      <c r="A356" s="59" t="str">
        <f>CONCATENATE("Итого по разделу: ",IF(Source!G146&lt;&gt;"Новый раздел", Source!G146, ""))</f>
        <v>Итого по разделу: Ремонт кровли пристроя на отм. +7,400 - +8,900</v>
      </c>
      <c r="B356" s="59"/>
      <c r="C356" s="59"/>
      <c r="D356" s="59"/>
      <c r="E356" s="59"/>
      <c r="F356" s="59"/>
      <c r="G356" s="58">
        <f>SUM(O183:O355)</f>
        <v>82147.189999999988</v>
      </c>
      <c r="H356" s="58"/>
      <c r="I356" s="32"/>
      <c r="J356" s="58">
        <f>SUM(P183:P355)</f>
        <v>1302112.8</v>
      </c>
      <c r="K356" s="58"/>
      <c r="L356" s="39">
        <f>SUM(Q183:Q355)</f>
        <v>750.83172875000002</v>
      </c>
      <c r="AF356" s="53" t="str">
        <f>CONCATENATE("Итого по разделу: ",IF(Source!G146&lt;&gt;"Новый раздел", Source!G146, ""))</f>
        <v>Итого по разделу: Ремонт кровли пристроя на отм. +7,400 - +8,900</v>
      </c>
    </row>
    <row r="359" spans="1:32" ht="14.25" x14ac:dyDescent="0.2">
      <c r="C359" s="63" t="str">
        <f>Source!H208</f>
        <v>Прямые затраты</v>
      </c>
      <c r="D359" s="63"/>
      <c r="E359" s="63"/>
      <c r="F359" s="63"/>
      <c r="G359" s="63"/>
      <c r="H359" s="63"/>
      <c r="I359" s="63"/>
      <c r="J359" s="64">
        <f>IF(Source!F208=0, "", Source!F208)</f>
        <v>1412196.96</v>
      </c>
      <c r="K359" s="64"/>
    </row>
    <row r="360" spans="1:32" ht="14.25" x14ac:dyDescent="0.2">
      <c r="C360" s="63" t="str">
        <f>Source!H209</f>
        <v>Стоимость материальных ресурсов (всего)</v>
      </c>
      <c r="D360" s="63"/>
      <c r="E360" s="63"/>
      <c r="F360" s="63"/>
      <c r="G360" s="63"/>
      <c r="H360" s="63"/>
      <c r="I360" s="63"/>
      <c r="J360" s="64">
        <f>IF(Source!F209=0, "", Source!F209)</f>
        <v>887042.83</v>
      </c>
      <c r="K360" s="64"/>
    </row>
    <row r="361" spans="1:32" ht="14.25" x14ac:dyDescent="0.2">
      <c r="C361" s="63" t="str">
        <f>Source!H211</f>
        <v>Стоимость материалов и оборудования подрядчика</v>
      </c>
      <c r="D361" s="63"/>
      <c r="E361" s="63"/>
      <c r="F361" s="63"/>
      <c r="G361" s="63"/>
      <c r="H361" s="63"/>
      <c r="I361" s="63"/>
      <c r="J361" s="64">
        <f>IF(Source!F211=0, "", Source!F211)</f>
        <v>887042.83</v>
      </c>
      <c r="K361" s="64"/>
    </row>
    <row r="362" spans="1:32" ht="14.25" x14ac:dyDescent="0.2">
      <c r="C362" s="63" t="str">
        <f>Source!H212</f>
        <v>Стоимость материалов (всего)</v>
      </c>
      <c r="D362" s="63"/>
      <c r="E362" s="63"/>
      <c r="F362" s="63"/>
      <c r="G362" s="63"/>
      <c r="H362" s="63"/>
      <c r="I362" s="63"/>
      <c r="J362" s="64">
        <f>IF(Source!F212=0, "", Source!F212)</f>
        <v>887042.83</v>
      </c>
      <c r="K362" s="64"/>
    </row>
    <row r="363" spans="1:32" ht="14.25" x14ac:dyDescent="0.2">
      <c r="C363" s="63" t="str">
        <f>Source!H214</f>
        <v>Стоимость материалов подрядчика</v>
      </c>
      <c r="D363" s="63"/>
      <c r="E363" s="63"/>
      <c r="F363" s="63"/>
      <c r="G363" s="63"/>
      <c r="H363" s="63"/>
      <c r="I363" s="63"/>
      <c r="J363" s="64">
        <f>IF(Source!F214=0, "", Source!F214)</f>
        <v>887042.83</v>
      </c>
      <c r="K363" s="64"/>
    </row>
    <row r="364" spans="1:32" ht="14.25" x14ac:dyDescent="0.2">
      <c r="C364" s="63" t="str">
        <f>Source!H218</f>
        <v>Эксплуатация машин</v>
      </c>
      <c r="D364" s="63"/>
      <c r="E364" s="63"/>
      <c r="F364" s="63"/>
      <c r="G364" s="63"/>
      <c r="H364" s="63"/>
      <c r="I364" s="63"/>
      <c r="J364" s="64">
        <f>IF(Source!F218=0, "", Source!F218)</f>
        <v>79893.06</v>
      </c>
      <c r="K364" s="64"/>
    </row>
    <row r="365" spans="1:32" ht="14.25" x14ac:dyDescent="0.2">
      <c r="C365" s="63" t="str">
        <f>Source!H220</f>
        <v>ЗП машинистов</v>
      </c>
      <c r="D365" s="63"/>
      <c r="E365" s="63"/>
      <c r="F365" s="63"/>
      <c r="G365" s="63"/>
      <c r="H365" s="63"/>
      <c r="I365" s="63"/>
      <c r="J365" s="64">
        <f>IF(Source!F220=0, "", Source!F220)</f>
        <v>22569.95</v>
      </c>
      <c r="K365" s="64"/>
    </row>
    <row r="366" spans="1:32" ht="14.25" x14ac:dyDescent="0.2">
      <c r="C366" s="63" t="str">
        <f>Source!H221</f>
        <v>Основная ЗП рабочих</v>
      </c>
      <c r="D366" s="63"/>
      <c r="E366" s="63"/>
      <c r="F366" s="63"/>
      <c r="G366" s="63"/>
      <c r="H366" s="63"/>
      <c r="I366" s="63"/>
      <c r="J366" s="64">
        <f>IF(Source!F221=0, "", Source!F221)</f>
        <v>445261.07</v>
      </c>
      <c r="K366" s="64"/>
    </row>
    <row r="367" spans="1:32" ht="14.25" x14ac:dyDescent="0.2">
      <c r="C367" s="63" t="str">
        <f>Source!H223</f>
        <v>Строительные работы с НР и СП</v>
      </c>
      <c r="D367" s="63"/>
      <c r="E367" s="63"/>
      <c r="F367" s="63"/>
      <c r="G367" s="63"/>
      <c r="H367" s="63"/>
      <c r="I367" s="63"/>
      <c r="J367" s="64">
        <f>IF(Source!F223=0, "", Source!F223)</f>
        <v>2097567.7599999998</v>
      </c>
      <c r="K367" s="64"/>
    </row>
    <row r="368" spans="1:32" ht="14.25" x14ac:dyDescent="0.2">
      <c r="C368" s="63" t="str">
        <f>Source!H228</f>
        <v>Трудозатраты строителей</v>
      </c>
      <c r="D368" s="63"/>
      <c r="E368" s="63"/>
      <c r="F368" s="63"/>
      <c r="G368" s="63"/>
      <c r="H368" s="63"/>
      <c r="I368" s="63"/>
      <c r="J368" s="65">
        <f>IF(Source!F228=0, "", Source!F228)</f>
        <v>1166.7890287499999</v>
      </c>
      <c r="K368" s="65"/>
    </row>
    <row r="369" spans="3:11" ht="14.25" x14ac:dyDescent="0.2">
      <c r="C369" s="63" t="str">
        <f>Source!H229</f>
        <v>Трудозатраты машинистов</v>
      </c>
      <c r="D369" s="63"/>
      <c r="E369" s="63"/>
      <c r="F369" s="63"/>
      <c r="G369" s="63"/>
      <c r="H369" s="63"/>
      <c r="I369" s="63"/>
      <c r="J369" s="65">
        <f>IF(Source!F229=0, "", Source!F229)</f>
        <v>35.975099999999998</v>
      </c>
      <c r="K369" s="65"/>
    </row>
    <row r="370" spans="3:11" ht="14.25" x14ac:dyDescent="0.2">
      <c r="C370" s="63" t="str">
        <f>Source!H231</f>
        <v>Перевозка грузов</v>
      </c>
      <c r="D370" s="63"/>
      <c r="E370" s="63"/>
      <c r="F370" s="63"/>
      <c r="G370" s="63"/>
      <c r="H370" s="63"/>
      <c r="I370" s="63"/>
      <c r="J370" s="64">
        <f>IF(Source!F231=0, "", Source!F231)</f>
        <v>2705.74</v>
      </c>
      <c r="K370" s="64"/>
    </row>
    <row r="371" spans="3:11" ht="14.25" x14ac:dyDescent="0.2">
      <c r="C371" s="63" t="str">
        <f>Source!H232</f>
        <v>Накладные расходы</v>
      </c>
      <c r="D371" s="63"/>
      <c r="E371" s="63"/>
      <c r="F371" s="63"/>
      <c r="G371" s="63"/>
      <c r="H371" s="63"/>
      <c r="I371" s="63"/>
      <c r="J371" s="64">
        <f>IF(Source!F232=0, "", Source!F232)</f>
        <v>451508.47</v>
      </c>
      <c r="K371" s="64"/>
    </row>
    <row r="372" spans="3:11" ht="14.25" x14ac:dyDescent="0.2">
      <c r="C372" s="63" t="str">
        <f>Source!H233</f>
        <v>Сметная прибыль</v>
      </c>
      <c r="D372" s="63"/>
      <c r="E372" s="63"/>
      <c r="F372" s="63"/>
      <c r="G372" s="63"/>
      <c r="H372" s="63"/>
      <c r="I372" s="63"/>
      <c r="J372" s="64">
        <f>IF(Source!F233=0, "", Source!F233)</f>
        <v>231156.59</v>
      </c>
      <c r="K372" s="64"/>
    </row>
    <row r="373" spans="3:11" ht="14.25" x14ac:dyDescent="0.2">
      <c r="C373" s="63" t="str">
        <f>Source!H234</f>
        <v>Всего с НР и СП</v>
      </c>
      <c r="D373" s="63"/>
      <c r="E373" s="63"/>
      <c r="F373" s="63"/>
      <c r="G373" s="63"/>
      <c r="H373" s="63"/>
      <c r="I373" s="63"/>
      <c r="J373" s="64">
        <f>IF(Source!F234=0, "", Source!F234)</f>
        <v>2097567.7599999998</v>
      </c>
      <c r="K373" s="64"/>
    </row>
    <row r="374" spans="3:11" ht="14.25" x14ac:dyDescent="0.2">
      <c r="C374" s="63" t="str">
        <f>Source!H235</f>
        <v>НДС 20%</v>
      </c>
      <c r="D374" s="63"/>
      <c r="E374" s="63"/>
      <c r="F374" s="63"/>
      <c r="G374" s="63"/>
      <c r="H374" s="63"/>
      <c r="I374" s="63"/>
      <c r="J374" s="64">
        <f>IF(Source!F235=0, "", Source!F235)</f>
        <v>419513.55</v>
      </c>
      <c r="K374" s="64"/>
    </row>
    <row r="375" spans="3:11" ht="14.25" x14ac:dyDescent="0.2">
      <c r="C375" s="63" t="str">
        <f>Source!H236</f>
        <v>Всего с НДС 20%</v>
      </c>
      <c r="D375" s="63"/>
      <c r="E375" s="63"/>
      <c r="F375" s="63"/>
      <c r="G375" s="63"/>
      <c r="H375" s="63"/>
      <c r="I375" s="63"/>
      <c r="J375" s="64">
        <f>IF(Source!F236=0, "", Source!F236)</f>
        <v>2517081.31</v>
      </c>
      <c r="K375" s="64"/>
    </row>
  </sheetData>
  <mergeCells count="221">
    <mergeCell ref="I1:K1"/>
    <mergeCell ref="B6:K6"/>
    <mergeCell ref="B7:K7"/>
    <mergeCell ref="B9:K9"/>
    <mergeCell ref="B11:K11"/>
    <mergeCell ref="B13:K13"/>
    <mergeCell ref="B14:K14"/>
    <mergeCell ref="A16:L16"/>
    <mergeCell ref="G19:H19"/>
    <mergeCell ref="I19:J19"/>
    <mergeCell ref="C20:F20"/>
    <mergeCell ref="G20:H20"/>
    <mergeCell ref="I20:J20"/>
    <mergeCell ref="K20:L20"/>
    <mergeCell ref="C360:I360"/>
    <mergeCell ref="J360:K360"/>
    <mergeCell ref="C361:I361"/>
    <mergeCell ref="J361:K361"/>
    <mergeCell ref="C362:I362"/>
    <mergeCell ref="J362:K362"/>
    <mergeCell ref="C21:F21"/>
    <mergeCell ref="G21:H21"/>
    <mergeCell ref="I21:J21"/>
    <mergeCell ref="A26:L26"/>
    <mergeCell ref="C359:I359"/>
    <mergeCell ref="J359:K359"/>
    <mergeCell ref="F78:G78"/>
    <mergeCell ref="J70:K70"/>
    <mergeCell ref="G70:H70"/>
    <mergeCell ref="J68:K68"/>
    <mergeCell ref="G68:H68"/>
    <mergeCell ref="J66:K66"/>
    <mergeCell ref="G66:H66"/>
    <mergeCell ref="J64:K64"/>
    <mergeCell ref="J371:K371"/>
    <mergeCell ref="C366:I366"/>
    <mergeCell ref="J366:K366"/>
    <mergeCell ref="C367:I367"/>
    <mergeCell ref="J367:K367"/>
    <mergeCell ref="C368:I368"/>
    <mergeCell ref="J368:K368"/>
    <mergeCell ref="C363:I363"/>
    <mergeCell ref="J363:K363"/>
    <mergeCell ref="C364:I364"/>
    <mergeCell ref="J364:K364"/>
    <mergeCell ref="C365:I365"/>
    <mergeCell ref="J365:K365"/>
    <mergeCell ref="G64:H64"/>
    <mergeCell ref="F62:G62"/>
    <mergeCell ref="C375:I375"/>
    <mergeCell ref="J375:K375"/>
    <mergeCell ref="J81:K81"/>
    <mergeCell ref="G81:H81"/>
    <mergeCell ref="J96:K96"/>
    <mergeCell ref="G96:H96"/>
    <mergeCell ref="J94:K94"/>
    <mergeCell ref="C372:I372"/>
    <mergeCell ref="J372:K372"/>
    <mergeCell ref="C373:I373"/>
    <mergeCell ref="J373:K373"/>
    <mergeCell ref="C374:I374"/>
    <mergeCell ref="J374:K374"/>
    <mergeCell ref="C369:I369"/>
    <mergeCell ref="J369:K369"/>
    <mergeCell ref="C370:I370"/>
    <mergeCell ref="J370:K370"/>
    <mergeCell ref="C371:I371"/>
    <mergeCell ref="F112:G112"/>
    <mergeCell ref="J131:K131"/>
    <mergeCell ref="G131:H131"/>
    <mergeCell ref="J128:K128"/>
    <mergeCell ref="F48:G48"/>
    <mergeCell ref="J40:K40"/>
    <mergeCell ref="G40:H40"/>
    <mergeCell ref="J32:K32"/>
    <mergeCell ref="G32:H32"/>
    <mergeCell ref="A30:L30"/>
    <mergeCell ref="J56:K56"/>
    <mergeCell ref="G56:H56"/>
    <mergeCell ref="J53:K53"/>
    <mergeCell ref="G53:H53"/>
    <mergeCell ref="J50:K50"/>
    <mergeCell ref="G50:H50"/>
    <mergeCell ref="J83:K83"/>
    <mergeCell ref="G83:H83"/>
    <mergeCell ref="G94:H94"/>
    <mergeCell ref="F92:G92"/>
    <mergeCell ref="J87:K87"/>
    <mergeCell ref="G87:H87"/>
    <mergeCell ref="J85:K85"/>
    <mergeCell ref="G85:H85"/>
    <mergeCell ref="J108:K108"/>
    <mergeCell ref="G108:H108"/>
    <mergeCell ref="J106:K106"/>
    <mergeCell ref="G106:H106"/>
    <mergeCell ref="F104:G104"/>
    <mergeCell ref="J100:K100"/>
    <mergeCell ref="G100:H100"/>
    <mergeCell ref="J98:K98"/>
    <mergeCell ref="G98:H98"/>
    <mergeCell ref="F123:G123"/>
    <mergeCell ref="J116:K116"/>
    <mergeCell ref="G116:H116"/>
    <mergeCell ref="J114:K114"/>
    <mergeCell ref="G114:H114"/>
    <mergeCell ref="G156:H156"/>
    <mergeCell ref="J154:K154"/>
    <mergeCell ref="G154:H154"/>
    <mergeCell ref="F151:G151"/>
    <mergeCell ref="J143:K143"/>
    <mergeCell ref="G143:H143"/>
    <mergeCell ref="J141:K141"/>
    <mergeCell ref="G141:H141"/>
    <mergeCell ref="J156:K156"/>
    <mergeCell ref="G128:H128"/>
    <mergeCell ref="J126:K126"/>
    <mergeCell ref="G126:H126"/>
    <mergeCell ref="G234:H234"/>
    <mergeCell ref="F231:G231"/>
    <mergeCell ref="J223:K223"/>
    <mergeCell ref="G223:H223"/>
    <mergeCell ref="J221:K221"/>
    <mergeCell ref="G221:H221"/>
    <mergeCell ref="J219:K219"/>
    <mergeCell ref="G219:H219"/>
    <mergeCell ref="G185:H185"/>
    <mergeCell ref="G165:H165"/>
    <mergeCell ref="J177:K177"/>
    <mergeCell ref="G177:H177"/>
    <mergeCell ref="J174:K174"/>
    <mergeCell ref="G174:H174"/>
    <mergeCell ref="J172:K172"/>
    <mergeCell ref="G172:H172"/>
    <mergeCell ref="G193:H193"/>
    <mergeCell ref="J185:K185"/>
    <mergeCell ref="A183:L183"/>
    <mergeCell ref="G179:H179"/>
    <mergeCell ref="J179:K179"/>
    <mergeCell ref="A179:F179"/>
    <mergeCell ref="J170:K170"/>
    <mergeCell ref="G170:H170"/>
    <mergeCell ref="J167:K167"/>
    <mergeCell ref="G167:H167"/>
    <mergeCell ref="J165:K165"/>
    <mergeCell ref="F201:G201"/>
    <mergeCell ref="J193:K193"/>
    <mergeCell ref="G261:H261"/>
    <mergeCell ref="J259:K259"/>
    <mergeCell ref="G259:H259"/>
    <mergeCell ref="F257:G257"/>
    <mergeCell ref="J253:K253"/>
    <mergeCell ref="G253:H253"/>
    <mergeCell ref="J217:K217"/>
    <mergeCell ref="G217:H217"/>
    <mergeCell ref="F215:G215"/>
    <mergeCell ref="J209:K209"/>
    <mergeCell ref="G209:H209"/>
    <mergeCell ref="J206:K206"/>
    <mergeCell ref="G206:H206"/>
    <mergeCell ref="J236:K236"/>
    <mergeCell ref="G236:H236"/>
    <mergeCell ref="J251:K251"/>
    <mergeCell ref="G251:H251"/>
    <mergeCell ref="J249:K249"/>
    <mergeCell ref="G249:H249"/>
    <mergeCell ref="J247:K247"/>
    <mergeCell ref="G247:H247"/>
    <mergeCell ref="J203:K203"/>
    <mergeCell ref="G203:H203"/>
    <mergeCell ref="J296:K296"/>
    <mergeCell ref="G296:H296"/>
    <mergeCell ref="J294:K294"/>
    <mergeCell ref="G294:H294"/>
    <mergeCell ref="F245:G245"/>
    <mergeCell ref="J240:K240"/>
    <mergeCell ref="G240:H240"/>
    <mergeCell ref="J238:K238"/>
    <mergeCell ref="G238:H238"/>
    <mergeCell ref="J261:K261"/>
    <mergeCell ref="F276:G276"/>
    <mergeCell ref="J269:K269"/>
    <mergeCell ref="G269:H269"/>
    <mergeCell ref="J267:K267"/>
    <mergeCell ref="G267:H267"/>
    <mergeCell ref="F265:G265"/>
    <mergeCell ref="J284:K284"/>
    <mergeCell ref="G284:H284"/>
    <mergeCell ref="J281:K281"/>
    <mergeCell ref="G281:H281"/>
    <mergeCell ref="J279:K279"/>
    <mergeCell ref="G279:H279"/>
    <mergeCell ref="J234:K234"/>
    <mergeCell ref="J305:K305"/>
    <mergeCell ref="G305:H305"/>
    <mergeCell ref="J318:K318"/>
    <mergeCell ref="G318:H318"/>
    <mergeCell ref="F312:G312"/>
    <mergeCell ref="G334:H334"/>
    <mergeCell ref="J332:K332"/>
    <mergeCell ref="G332:H332"/>
    <mergeCell ref="F329:G329"/>
    <mergeCell ref="J322:K322"/>
    <mergeCell ref="G322:H322"/>
    <mergeCell ref="J334:K334"/>
    <mergeCell ref="J351:K351"/>
    <mergeCell ref="G351:H351"/>
    <mergeCell ref="G356:H356"/>
    <mergeCell ref="J356:K356"/>
    <mergeCell ref="A356:F356"/>
    <mergeCell ref="J354:K354"/>
    <mergeCell ref="G354:H354"/>
    <mergeCell ref="J320:K320"/>
    <mergeCell ref="G320:H320"/>
    <mergeCell ref="J349:K349"/>
    <mergeCell ref="G349:H349"/>
    <mergeCell ref="J347:K347"/>
    <mergeCell ref="G347:H347"/>
    <mergeCell ref="J345:K345"/>
    <mergeCell ref="G345:H345"/>
    <mergeCell ref="J343:K343"/>
    <mergeCell ref="G343:H343"/>
  </mergeCells>
  <pageMargins left="0.4" right="0.2" top="0.2" bottom="0.4" header="0.2" footer="0.2"/>
  <pageSetup paperSize="9" scale="60" fitToHeight="0" orientation="portrait" horizontalDpi="4294967292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73"/>
  <sheetViews>
    <sheetView workbookViewId="0">
      <selection activeCell="A269" sqref="A269:AN26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139239296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268</v>
      </c>
      <c r="C12" s="1">
        <v>0</v>
      </c>
      <c r="D12" s="1">
        <f>ROW(A206)</f>
        <v>206</v>
      </c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547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B206</f>
        <v>268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Ремонт кровли здания электроцеха</v>
      </c>
      <c r="H18" s="2"/>
      <c r="I18" s="2"/>
      <c r="J18" s="2"/>
      <c r="K18" s="2"/>
      <c r="L18" s="2"/>
      <c r="M18" s="2"/>
      <c r="N18" s="2"/>
      <c r="O18" s="2">
        <f t="shared" ref="O18:AT18" si="1">O206</f>
        <v>1412196.96</v>
      </c>
      <c r="P18" s="2">
        <f t="shared" si="1"/>
        <v>887042.83</v>
      </c>
      <c r="Q18" s="2">
        <f t="shared" si="1"/>
        <v>79893.06</v>
      </c>
      <c r="R18" s="2">
        <f t="shared" si="1"/>
        <v>22569.95</v>
      </c>
      <c r="S18" s="2">
        <f t="shared" si="1"/>
        <v>445261.07</v>
      </c>
      <c r="T18" s="2">
        <f t="shared" si="1"/>
        <v>0</v>
      </c>
      <c r="U18" s="2">
        <f t="shared" si="1"/>
        <v>1166.7890287499999</v>
      </c>
      <c r="V18" s="2">
        <f t="shared" si="1"/>
        <v>35.975099999999998</v>
      </c>
      <c r="W18" s="2">
        <f t="shared" si="1"/>
        <v>0</v>
      </c>
      <c r="X18" s="2">
        <f t="shared" si="1"/>
        <v>451508.47</v>
      </c>
      <c r="Y18" s="2">
        <f t="shared" si="1"/>
        <v>231156.59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2097567.7599999998</v>
      </c>
      <c r="AS18" s="2">
        <f t="shared" si="1"/>
        <v>2097567.7599999998</v>
      </c>
      <c r="AT18" s="2">
        <f t="shared" si="1"/>
        <v>0</v>
      </c>
      <c r="AU18" s="2">
        <f t="shared" ref="AU18:BZ18" si="2">AU206</f>
        <v>0</v>
      </c>
      <c r="AV18" s="2">
        <f t="shared" si="2"/>
        <v>887042.83</v>
      </c>
      <c r="AW18" s="2">
        <f t="shared" si="2"/>
        <v>887042.83</v>
      </c>
      <c r="AX18" s="2">
        <f t="shared" si="2"/>
        <v>0</v>
      </c>
      <c r="AY18" s="2">
        <f t="shared" si="2"/>
        <v>887042.83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2705.74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CA206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DG206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EM206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FS206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ROW(A176)</f>
        <v>176</v>
      </c>
      <c r="E20" s="1"/>
      <c r="F20" s="1" t="s">
        <v>15</v>
      </c>
      <c r="G20" s="1" t="s">
        <v>15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B176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O176</f>
        <v>1412196.96</v>
      </c>
      <c r="P22" s="2">
        <f t="shared" si="8"/>
        <v>887042.83</v>
      </c>
      <c r="Q22" s="2">
        <f t="shared" si="8"/>
        <v>79893.06</v>
      </c>
      <c r="R22" s="2">
        <f t="shared" si="8"/>
        <v>22569.95</v>
      </c>
      <c r="S22" s="2">
        <f t="shared" si="8"/>
        <v>445261.07</v>
      </c>
      <c r="T22" s="2">
        <f t="shared" si="8"/>
        <v>0</v>
      </c>
      <c r="U22" s="2">
        <f t="shared" si="8"/>
        <v>1166.7890287499999</v>
      </c>
      <c r="V22" s="2">
        <f t="shared" si="8"/>
        <v>35.975099999999998</v>
      </c>
      <c r="W22" s="2">
        <f t="shared" si="8"/>
        <v>0</v>
      </c>
      <c r="X22" s="2">
        <f t="shared" si="8"/>
        <v>451508.47</v>
      </c>
      <c r="Y22" s="2">
        <f t="shared" si="8"/>
        <v>231156.59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2097567.7599999998</v>
      </c>
      <c r="AS22" s="2">
        <f t="shared" si="8"/>
        <v>2097567.7599999998</v>
      </c>
      <c r="AT22" s="2">
        <f t="shared" si="8"/>
        <v>0</v>
      </c>
      <c r="AU22" s="2">
        <f t="shared" ref="AU22:BZ22" si="9">AU176</f>
        <v>0</v>
      </c>
      <c r="AV22" s="2">
        <f t="shared" si="9"/>
        <v>887042.83</v>
      </c>
      <c r="AW22" s="2">
        <f t="shared" si="9"/>
        <v>887042.83</v>
      </c>
      <c r="AX22" s="2">
        <f t="shared" si="9"/>
        <v>0</v>
      </c>
      <c r="AY22" s="2">
        <f t="shared" si="9"/>
        <v>887042.83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2705.74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CA176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DG176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EM176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FS176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ROW(A66)</f>
        <v>66</v>
      </c>
      <c r="E24" s="1"/>
      <c r="F24" s="1" t="s">
        <v>16</v>
      </c>
      <c r="G24" s="1" t="s">
        <v>17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B66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Ремонт кровли электроцеха на отм. +9,300 - + 11,500</v>
      </c>
      <c r="H26" s="2"/>
      <c r="I26" s="2"/>
      <c r="J26" s="2"/>
      <c r="K26" s="2"/>
      <c r="L26" s="2"/>
      <c r="M26" s="2"/>
      <c r="N26" s="2"/>
      <c r="O26" s="2">
        <f t="shared" ref="O26:AT26" si="15">O66</f>
        <v>553254.96</v>
      </c>
      <c r="P26" s="2">
        <f t="shared" si="15"/>
        <v>363362.28</v>
      </c>
      <c r="Q26" s="2">
        <f t="shared" si="15"/>
        <v>31555.69</v>
      </c>
      <c r="R26" s="2">
        <f t="shared" si="15"/>
        <v>9375.27</v>
      </c>
      <c r="S26" s="2">
        <f t="shared" si="15"/>
        <v>158336.99</v>
      </c>
      <c r="T26" s="2">
        <f t="shared" si="15"/>
        <v>0</v>
      </c>
      <c r="U26" s="2">
        <f t="shared" si="15"/>
        <v>415.95730000000003</v>
      </c>
      <c r="V26" s="2">
        <f t="shared" si="15"/>
        <v>14.855662500000001</v>
      </c>
      <c r="W26" s="2">
        <f t="shared" si="15"/>
        <v>0</v>
      </c>
      <c r="X26" s="2">
        <f t="shared" si="15"/>
        <v>158163.97</v>
      </c>
      <c r="Y26" s="2">
        <f t="shared" si="15"/>
        <v>83029.740000000005</v>
      </c>
      <c r="Z26" s="2">
        <f t="shared" si="15"/>
        <v>0</v>
      </c>
      <c r="AA26" s="2">
        <f t="shared" si="15"/>
        <v>0</v>
      </c>
      <c r="AB26" s="2">
        <f t="shared" si="15"/>
        <v>553254.96</v>
      </c>
      <c r="AC26" s="2">
        <f t="shared" si="15"/>
        <v>363362.28</v>
      </c>
      <c r="AD26" s="2">
        <f t="shared" si="15"/>
        <v>31555.69</v>
      </c>
      <c r="AE26" s="2">
        <f t="shared" si="15"/>
        <v>9375.27</v>
      </c>
      <c r="AF26" s="2">
        <f t="shared" si="15"/>
        <v>158336.99</v>
      </c>
      <c r="AG26" s="2">
        <f t="shared" si="15"/>
        <v>0</v>
      </c>
      <c r="AH26" s="2">
        <f t="shared" si="15"/>
        <v>415.95730000000003</v>
      </c>
      <c r="AI26" s="2">
        <f t="shared" si="15"/>
        <v>14.855662500000001</v>
      </c>
      <c r="AJ26" s="2">
        <f t="shared" si="15"/>
        <v>0</v>
      </c>
      <c r="AK26" s="2">
        <f t="shared" si="15"/>
        <v>158163.97</v>
      </c>
      <c r="AL26" s="2">
        <f t="shared" si="15"/>
        <v>83029.740000000005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795454.96</v>
      </c>
      <c r="AS26" s="2">
        <f t="shared" si="15"/>
        <v>795454.96</v>
      </c>
      <c r="AT26" s="2">
        <f t="shared" si="15"/>
        <v>0</v>
      </c>
      <c r="AU26" s="2">
        <f t="shared" ref="AU26:BZ26" si="16">AU66</f>
        <v>0</v>
      </c>
      <c r="AV26" s="2">
        <f t="shared" si="16"/>
        <v>363362.28</v>
      </c>
      <c r="AW26" s="2">
        <f t="shared" si="16"/>
        <v>363362.28</v>
      </c>
      <c r="AX26" s="2">
        <f t="shared" si="16"/>
        <v>0</v>
      </c>
      <c r="AY26" s="2">
        <f t="shared" si="16"/>
        <v>363362.28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1006.29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CA66</f>
        <v>795454.96</v>
      </c>
      <c r="CB26" s="2">
        <f t="shared" si="17"/>
        <v>795454.96</v>
      </c>
      <c r="CC26" s="2">
        <f t="shared" si="17"/>
        <v>0</v>
      </c>
      <c r="CD26" s="2">
        <f t="shared" si="17"/>
        <v>0</v>
      </c>
      <c r="CE26" s="2">
        <f t="shared" si="17"/>
        <v>363362.28</v>
      </c>
      <c r="CF26" s="2">
        <f t="shared" si="17"/>
        <v>363362.28</v>
      </c>
      <c r="CG26" s="2">
        <f t="shared" si="17"/>
        <v>0</v>
      </c>
      <c r="CH26" s="2">
        <f t="shared" si="17"/>
        <v>363362.28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1006.29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DG66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EM66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FS66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18</v>
      </c>
      <c r="F28" t="s">
        <v>19</v>
      </c>
      <c r="G28" t="s">
        <v>20</v>
      </c>
      <c r="H28" t="s">
        <v>21</v>
      </c>
      <c r="I28">
        <v>57.6</v>
      </c>
      <c r="J28">
        <v>0</v>
      </c>
      <c r="K28">
        <v>57.6</v>
      </c>
      <c r="O28">
        <f t="shared" ref="O28:O61" si="21">ROUND(CP28,2)</f>
        <v>104429.55</v>
      </c>
      <c r="P28">
        <f t="shared" ref="P28:P61" si="22">ROUND(CQ28*I28,2)</f>
        <v>104429.55</v>
      </c>
      <c r="Q28">
        <f t="shared" ref="Q28:Q61" si="23">ROUND(CR28*I28,2)</f>
        <v>0</v>
      </c>
      <c r="R28">
        <f t="shared" ref="R28:R61" si="24">ROUND(CS28*I28,2)</f>
        <v>0</v>
      </c>
      <c r="S28">
        <f t="shared" ref="S28:S61" si="25">ROUND(CT28*I28,2)</f>
        <v>0</v>
      </c>
      <c r="T28">
        <f t="shared" ref="T28:T61" si="26">ROUND(CU28*I28,2)</f>
        <v>0</v>
      </c>
      <c r="U28">
        <f t="shared" ref="U28:U61" si="27">CV28*I28</f>
        <v>0</v>
      </c>
      <c r="V28">
        <f t="shared" ref="V28:V61" si="28">CW28*I28</f>
        <v>0</v>
      </c>
      <c r="W28">
        <f t="shared" ref="W28:W61" si="29">ROUND(CX28*I28,2)</f>
        <v>0</v>
      </c>
      <c r="X28">
        <f t="shared" ref="X28:X61" si="30">ROUND(CY28,2)</f>
        <v>0</v>
      </c>
      <c r="Y28">
        <f t="shared" ref="Y28:Y61" si="31">ROUND(CZ28,2)</f>
        <v>0</v>
      </c>
      <c r="AA28">
        <v>145185703</v>
      </c>
      <c r="AB28">
        <f t="shared" ref="AB28:AB61" si="32">ROUND((AC28+AD28+AF28),2)</f>
        <v>216.35</v>
      </c>
      <c r="AC28">
        <f>ROUND((ES28),2)</f>
        <v>216.35</v>
      </c>
      <c r="AD28">
        <f>ROUND((((ET28)-(EU28))+AE28),2)</f>
        <v>0</v>
      </c>
      <c r="AE28">
        <f>ROUND((EU28),2)</f>
        <v>0</v>
      </c>
      <c r="AF28">
        <f>ROUND((EV28),2)</f>
        <v>0</v>
      </c>
      <c r="AG28">
        <f t="shared" ref="AG28:AG61" si="33">ROUND((AP28),2)</f>
        <v>0</v>
      </c>
      <c r="AH28">
        <f>(EW28)</f>
        <v>0</v>
      </c>
      <c r="AI28">
        <f>(EX28)</f>
        <v>0</v>
      </c>
      <c r="AJ28">
        <f t="shared" ref="AJ28:AJ61" si="34">(AS28)</f>
        <v>0</v>
      </c>
      <c r="AK28">
        <v>216.35</v>
      </c>
      <c r="AL28">
        <v>216.35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8.3800000000000008</v>
      </c>
      <c r="BD28" t="s">
        <v>3</v>
      </c>
      <c r="BE28" t="s">
        <v>3</v>
      </c>
      <c r="BF28" t="s">
        <v>3</v>
      </c>
      <c r="BG28" t="s">
        <v>3</v>
      </c>
      <c r="BH28">
        <v>3</v>
      </c>
      <c r="BI28">
        <v>1</v>
      </c>
      <c r="BJ28" t="s">
        <v>3</v>
      </c>
      <c r="BM28">
        <v>1100</v>
      </c>
      <c r="BN28">
        <v>0</v>
      </c>
      <c r="BO28" t="s">
        <v>3</v>
      </c>
      <c r="BP28">
        <v>0</v>
      </c>
      <c r="BQ28">
        <v>8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61" si="35">(P28+Q28+S28)</f>
        <v>104429.55</v>
      </c>
      <c r="CQ28">
        <f t="shared" ref="CQ28:CQ61" si="36">AC28*BC28</f>
        <v>1813.0130000000001</v>
      </c>
      <c r="CR28">
        <f>(((ET28)*BB28-(EU28)*BS28)+AE28*BS28)</f>
        <v>0</v>
      </c>
      <c r="CS28">
        <f t="shared" ref="CS28:CS61" si="37">AE28*BS28</f>
        <v>0</v>
      </c>
      <c r="CT28">
        <f t="shared" ref="CT28:CT61" si="38">AF28*BA28</f>
        <v>0</v>
      </c>
      <c r="CU28">
        <f t="shared" ref="CU28:CU61" si="39">AG28</f>
        <v>0</v>
      </c>
      <c r="CV28">
        <f t="shared" ref="CV28:CV61" si="40">AH28</f>
        <v>0</v>
      </c>
      <c r="CW28">
        <f t="shared" ref="CW28:CW61" si="41">AI28</f>
        <v>0</v>
      </c>
      <c r="CX28">
        <f t="shared" ref="CX28:CX61" si="42">AJ28</f>
        <v>0</v>
      </c>
      <c r="CY28">
        <f t="shared" ref="CY28:CY61" si="43">(((S28+R28)*AT28)/100)</f>
        <v>0</v>
      </c>
      <c r="CZ28">
        <f t="shared" ref="CZ28:CZ61" si="44">(((S28+R28)*AU28)/100)</f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1009</v>
      </c>
      <c r="DV28" t="s">
        <v>21</v>
      </c>
      <c r="DW28" t="s">
        <v>21</v>
      </c>
      <c r="DX28">
        <v>1000</v>
      </c>
      <c r="DZ28" t="s">
        <v>3</v>
      </c>
      <c r="EA28" t="s">
        <v>3</v>
      </c>
      <c r="EB28" t="s">
        <v>3</v>
      </c>
      <c r="EC28" t="s">
        <v>3</v>
      </c>
      <c r="EE28">
        <v>140625274</v>
      </c>
      <c r="EF28">
        <v>8</v>
      </c>
      <c r="EG28" t="s">
        <v>22</v>
      </c>
      <c r="EH28">
        <v>0</v>
      </c>
      <c r="EI28" t="s">
        <v>3</v>
      </c>
      <c r="EJ28">
        <v>1</v>
      </c>
      <c r="EK28">
        <v>1100</v>
      </c>
      <c r="EL28" t="s">
        <v>23</v>
      </c>
      <c r="EM28" t="s">
        <v>24</v>
      </c>
      <c r="EO28" t="s">
        <v>3</v>
      </c>
      <c r="EQ28">
        <v>0</v>
      </c>
      <c r="ER28">
        <v>218.17</v>
      </c>
      <c r="ES28">
        <v>216.35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5</v>
      </c>
      <c r="FC28">
        <v>0</v>
      </c>
      <c r="FD28">
        <v>18</v>
      </c>
      <c r="FF28">
        <v>1813</v>
      </c>
      <c r="FQ28">
        <v>0</v>
      </c>
      <c r="FR28">
        <f t="shared" ref="FR28:FR64" si="45">ROUND(IF(BI28=3,GM28,0),2)</f>
        <v>0</v>
      </c>
      <c r="FS28">
        <v>0</v>
      </c>
      <c r="FX28">
        <v>0</v>
      </c>
      <c r="FY28">
        <v>0</v>
      </c>
      <c r="GA28" t="s">
        <v>25</v>
      </c>
      <c r="GD28">
        <v>1</v>
      </c>
      <c r="GF28">
        <v>469765175</v>
      </c>
      <c r="GG28">
        <v>2</v>
      </c>
      <c r="GH28">
        <v>3</v>
      </c>
      <c r="GI28">
        <v>4</v>
      </c>
      <c r="GJ28">
        <v>0</v>
      </c>
      <c r="GK28">
        <v>0</v>
      </c>
      <c r="GL28">
        <f t="shared" ref="GL28:GL64" si="46">ROUND(IF(AND(BH28=3,BI28=3,FS28&lt;&gt;0),P28,0),2)</f>
        <v>0</v>
      </c>
      <c r="GM28">
        <f t="shared" ref="GM28:GM61" si="47">ROUND(O28+X28+Y28,2)+GX28</f>
        <v>104429.55</v>
      </c>
      <c r="GN28">
        <f t="shared" ref="GN28:GN61" si="48">IF(OR(BI28=0,BI28=1),ROUND(O28+X28+Y28,2),0)</f>
        <v>104429.55</v>
      </c>
      <c r="GO28">
        <f t="shared" ref="GO28:GO61" si="49">IF(BI28=2,ROUND(O28+X28+Y28,2),0)</f>
        <v>0</v>
      </c>
      <c r="GP28">
        <f t="shared" ref="GP28:GP61" si="50">IF(BI28=4,ROUND(O28+X28+Y28,2)+GX28,0)</f>
        <v>0</v>
      </c>
      <c r="GR28">
        <v>1</v>
      </c>
      <c r="GS28">
        <v>1</v>
      </c>
      <c r="GT28">
        <v>0</v>
      </c>
      <c r="GU28" t="s">
        <v>3</v>
      </c>
      <c r="GV28">
        <f t="shared" ref="GV28:GV61" si="51">ROUND((GT28),2)</f>
        <v>0</v>
      </c>
      <c r="GW28">
        <v>1</v>
      </c>
      <c r="GX28">
        <f t="shared" ref="GX28:GX61" si="52">ROUND(HC28*I28,2)</f>
        <v>0</v>
      </c>
      <c r="HA28">
        <v>0</v>
      </c>
      <c r="HB28">
        <v>0</v>
      </c>
      <c r="HC28">
        <f t="shared" ref="HC28:HC61" si="53">GV28*GW28</f>
        <v>0</v>
      </c>
      <c r="HE28" t="s">
        <v>26</v>
      </c>
      <c r="HF28" t="s">
        <v>26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ROW(SmtRes!A3)</f>
        <v>3</v>
      </c>
      <c r="D29">
        <f>ROW(EtalonRes!A3)</f>
        <v>3</v>
      </c>
      <c r="E29" t="s">
        <v>27</v>
      </c>
      <c r="F29" t="s">
        <v>28</v>
      </c>
      <c r="G29" t="s">
        <v>29</v>
      </c>
      <c r="H29" t="s">
        <v>30</v>
      </c>
      <c r="I29">
        <f>ROUND(360/100,9)</f>
        <v>3.6</v>
      </c>
      <c r="J29">
        <v>0</v>
      </c>
      <c r="K29">
        <f>ROUND(360/100,9)</f>
        <v>3.6</v>
      </c>
      <c r="O29">
        <f t="shared" si="21"/>
        <v>21887.42</v>
      </c>
      <c r="P29">
        <f t="shared" si="22"/>
        <v>0</v>
      </c>
      <c r="Q29">
        <f t="shared" si="23"/>
        <v>1479.18</v>
      </c>
      <c r="R29">
        <f t="shared" si="24"/>
        <v>0</v>
      </c>
      <c r="S29">
        <f t="shared" si="25"/>
        <v>20408.240000000002</v>
      </c>
      <c r="T29">
        <f t="shared" si="26"/>
        <v>0</v>
      </c>
      <c r="U29">
        <f t="shared" si="27"/>
        <v>57.24</v>
      </c>
      <c r="V29">
        <f t="shared" si="28"/>
        <v>0</v>
      </c>
      <c r="W29">
        <f t="shared" si="29"/>
        <v>0</v>
      </c>
      <c r="X29">
        <f t="shared" si="30"/>
        <v>18571.5</v>
      </c>
      <c r="Y29">
        <f t="shared" si="31"/>
        <v>10612.28</v>
      </c>
      <c r="AA29">
        <v>145185703</v>
      </c>
      <c r="AB29">
        <f t="shared" si="32"/>
        <v>154.66</v>
      </c>
      <c r="AC29">
        <f>ROUND((ES29),2)</f>
        <v>0</v>
      </c>
      <c r="AD29">
        <f>ROUND((((ET29)-(EU29))+AE29),2)</f>
        <v>30.64</v>
      </c>
      <c r="AE29">
        <f>ROUND((EU29),2)</f>
        <v>0</v>
      </c>
      <c r="AF29">
        <f>ROUND((EV29),2)</f>
        <v>124.02</v>
      </c>
      <c r="AG29">
        <f t="shared" si="33"/>
        <v>0</v>
      </c>
      <c r="AH29">
        <f>(EW29)</f>
        <v>15.9</v>
      </c>
      <c r="AI29">
        <f>(EX29)</f>
        <v>0</v>
      </c>
      <c r="AJ29">
        <f t="shared" si="34"/>
        <v>0</v>
      </c>
      <c r="AK29">
        <v>154.66</v>
      </c>
      <c r="AL29">
        <v>0</v>
      </c>
      <c r="AM29">
        <v>30.64</v>
      </c>
      <c r="AN29">
        <v>0</v>
      </c>
      <c r="AO29">
        <v>124.02</v>
      </c>
      <c r="AP29">
        <v>0</v>
      </c>
      <c r="AQ29">
        <v>15.9</v>
      </c>
      <c r="AR29">
        <v>0</v>
      </c>
      <c r="AS29">
        <v>0</v>
      </c>
      <c r="AT29">
        <v>91</v>
      </c>
      <c r="AU29">
        <v>52</v>
      </c>
      <c r="AV29">
        <v>1</v>
      </c>
      <c r="AW29">
        <v>1</v>
      </c>
      <c r="AZ29">
        <v>1</v>
      </c>
      <c r="BA29">
        <v>45.71</v>
      </c>
      <c r="BB29">
        <v>13.41</v>
      </c>
      <c r="BC29">
        <v>8.3800000000000008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46003</v>
      </c>
      <c r="BN29">
        <v>0</v>
      </c>
      <c r="BO29" t="s">
        <v>3</v>
      </c>
      <c r="BP29">
        <v>0</v>
      </c>
      <c r="BQ29">
        <v>2</v>
      </c>
      <c r="BR29">
        <v>0</v>
      </c>
      <c r="BS29">
        <v>45.71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91</v>
      </c>
      <c r="CA29">
        <v>52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5"/>
        <v>21887.420000000002</v>
      </c>
      <c r="CQ29">
        <f t="shared" si="36"/>
        <v>0</v>
      </c>
      <c r="CR29">
        <f>(((ET29)*BB29-(EU29)*BS29)+AE29*BS29)</f>
        <v>410.88240000000002</v>
      </c>
      <c r="CS29">
        <f t="shared" si="37"/>
        <v>0</v>
      </c>
      <c r="CT29">
        <f t="shared" si="38"/>
        <v>5668.9542000000001</v>
      </c>
      <c r="CU29">
        <f t="shared" si="39"/>
        <v>0</v>
      </c>
      <c r="CV29">
        <f t="shared" si="40"/>
        <v>15.9</v>
      </c>
      <c r="CW29">
        <f t="shared" si="41"/>
        <v>0</v>
      </c>
      <c r="CX29">
        <f t="shared" si="42"/>
        <v>0</v>
      </c>
      <c r="CY29">
        <f t="shared" si="43"/>
        <v>18571.4984</v>
      </c>
      <c r="CZ29">
        <f t="shared" si="44"/>
        <v>10612.284799999999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30</v>
      </c>
      <c r="DW29" t="s">
        <v>30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140625347</v>
      </c>
      <c r="EF29">
        <v>2</v>
      </c>
      <c r="EG29" t="s">
        <v>32</v>
      </c>
      <c r="EH29">
        <v>40</v>
      </c>
      <c r="EI29" t="s">
        <v>33</v>
      </c>
      <c r="EJ29">
        <v>1</v>
      </c>
      <c r="EK29">
        <v>46003</v>
      </c>
      <c r="EL29" t="s">
        <v>34</v>
      </c>
      <c r="EM29" t="s">
        <v>35</v>
      </c>
      <c r="EO29" t="s">
        <v>3</v>
      </c>
      <c r="EQ29">
        <v>0</v>
      </c>
      <c r="ER29">
        <v>154.66</v>
      </c>
      <c r="ES29">
        <v>0</v>
      </c>
      <c r="ET29">
        <v>30.64</v>
      </c>
      <c r="EU29">
        <v>0</v>
      </c>
      <c r="EV29">
        <v>124.02</v>
      </c>
      <c r="EW29">
        <v>15.9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91</v>
      </c>
      <c r="FY29">
        <v>52</v>
      </c>
      <c r="GA29" t="s">
        <v>3</v>
      </c>
      <c r="GD29">
        <v>1</v>
      </c>
      <c r="GF29">
        <v>2084206629</v>
      </c>
      <c r="GG29">
        <v>2</v>
      </c>
      <c r="GH29">
        <v>1</v>
      </c>
      <c r="GI29">
        <v>4</v>
      </c>
      <c r="GJ29">
        <v>0</v>
      </c>
      <c r="GK29">
        <v>0</v>
      </c>
      <c r="GL29">
        <f t="shared" si="46"/>
        <v>0</v>
      </c>
      <c r="GM29">
        <f t="shared" si="47"/>
        <v>51071.199999999997</v>
      </c>
      <c r="GN29">
        <f t="shared" si="48"/>
        <v>51071.199999999997</v>
      </c>
      <c r="GO29">
        <f t="shared" si="49"/>
        <v>0</v>
      </c>
      <c r="GP29">
        <f t="shared" si="50"/>
        <v>0</v>
      </c>
      <c r="GR29">
        <v>0</v>
      </c>
      <c r="GS29">
        <v>3</v>
      </c>
      <c r="GT29">
        <v>0</v>
      </c>
      <c r="GU29" t="s">
        <v>3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HE29" t="s">
        <v>3</v>
      </c>
      <c r="HF29" t="s">
        <v>3</v>
      </c>
      <c r="HM29" t="s">
        <v>3</v>
      </c>
      <c r="HN29" t="s">
        <v>36</v>
      </c>
      <c r="HO29" t="s">
        <v>37</v>
      </c>
      <c r="HP29" t="s">
        <v>34</v>
      </c>
      <c r="HQ29" t="s">
        <v>34</v>
      </c>
      <c r="IK29">
        <v>0</v>
      </c>
    </row>
    <row r="30" spans="1:245" x14ac:dyDescent="0.2">
      <c r="A30">
        <v>17</v>
      </c>
      <c r="B30">
        <v>1</v>
      </c>
      <c r="C30">
        <f>ROW(SmtRes!A26)</f>
        <v>26</v>
      </c>
      <c r="D30">
        <f>ROW(EtalonRes!A26)</f>
        <v>26</v>
      </c>
      <c r="E30" t="s">
        <v>38</v>
      </c>
      <c r="F30" t="s">
        <v>39</v>
      </c>
      <c r="G30" t="s">
        <v>40</v>
      </c>
      <c r="H30" t="s">
        <v>30</v>
      </c>
      <c r="I30">
        <f>ROUND(360/100,9)</f>
        <v>3.6</v>
      </c>
      <c r="J30">
        <v>0</v>
      </c>
      <c r="K30">
        <f>ROUND(360/100,9)</f>
        <v>3.6</v>
      </c>
      <c r="O30">
        <f t="shared" si="21"/>
        <v>85387.98</v>
      </c>
      <c r="P30">
        <f t="shared" si="22"/>
        <v>4644.67</v>
      </c>
      <c r="Q30">
        <f t="shared" si="23"/>
        <v>28312.48</v>
      </c>
      <c r="R30">
        <f t="shared" si="24"/>
        <v>8464.76</v>
      </c>
      <c r="S30">
        <f t="shared" si="25"/>
        <v>52430.83</v>
      </c>
      <c r="T30">
        <f t="shared" si="26"/>
        <v>0</v>
      </c>
      <c r="U30">
        <f t="shared" si="27"/>
        <v>131.238</v>
      </c>
      <c r="V30">
        <f t="shared" si="28"/>
        <v>13.185</v>
      </c>
      <c r="W30">
        <f t="shared" si="29"/>
        <v>0</v>
      </c>
      <c r="X30">
        <f t="shared" si="30"/>
        <v>56632.9</v>
      </c>
      <c r="Y30">
        <f t="shared" si="31"/>
        <v>32091.98</v>
      </c>
      <c r="AA30">
        <v>145185703</v>
      </c>
      <c r="AB30">
        <f t="shared" si="32"/>
        <v>1059.05</v>
      </c>
      <c r="AC30">
        <f>ROUND((ES30),2)</f>
        <v>153.96</v>
      </c>
      <c r="AD30">
        <f>ROUND(((((ET30*1.25))-((EU30*1.25)))+AE30),2)</f>
        <v>586.47</v>
      </c>
      <c r="AE30">
        <f>ROUND(((EU30*1.25)),2)</f>
        <v>51.44</v>
      </c>
      <c r="AF30">
        <f>ROUND(((EV30*1.15)),2)</f>
        <v>318.62</v>
      </c>
      <c r="AG30">
        <f t="shared" si="33"/>
        <v>0</v>
      </c>
      <c r="AH30">
        <f>((EW30*1.15))</f>
        <v>36.454999999999998</v>
      </c>
      <c r="AI30">
        <f>((EX30*1.25))</f>
        <v>3.6625000000000001</v>
      </c>
      <c r="AJ30">
        <f t="shared" si="34"/>
        <v>0</v>
      </c>
      <c r="AK30">
        <v>900.19</v>
      </c>
      <c r="AL30">
        <v>153.96</v>
      </c>
      <c r="AM30">
        <v>469.17</v>
      </c>
      <c r="AN30">
        <v>41.15</v>
      </c>
      <c r="AO30">
        <v>277.06</v>
      </c>
      <c r="AP30">
        <v>0</v>
      </c>
      <c r="AQ30">
        <v>31.7</v>
      </c>
      <c r="AR30">
        <v>2.93</v>
      </c>
      <c r="AS30">
        <v>0</v>
      </c>
      <c r="AT30">
        <v>93</v>
      </c>
      <c r="AU30">
        <v>52.7</v>
      </c>
      <c r="AV30">
        <v>1</v>
      </c>
      <c r="AW30">
        <v>1</v>
      </c>
      <c r="AZ30">
        <v>1</v>
      </c>
      <c r="BA30">
        <v>45.71</v>
      </c>
      <c r="BB30">
        <v>13.41</v>
      </c>
      <c r="BC30">
        <v>8.3800000000000008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41</v>
      </c>
      <c r="BM30">
        <v>9001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45.71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93</v>
      </c>
      <c r="CA30">
        <v>62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548</v>
      </c>
      <c r="CO30">
        <v>0</v>
      </c>
      <c r="CP30">
        <f t="shared" si="35"/>
        <v>85387.98000000001</v>
      </c>
      <c r="CQ30">
        <f t="shared" si="36"/>
        <v>1290.1848000000002</v>
      </c>
      <c r="CR30">
        <f>((((ET30*1.25))*BB30-((EU30*1.25))*BS30)+AE30*BS30)</f>
        <v>7864.5763999999999</v>
      </c>
      <c r="CS30">
        <f t="shared" si="37"/>
        <v>2351.3224</v>
      </c>
      <c r="CT30">
        <f t="shared" si="38"/>
        <v>14564.120200000001</v>
      </c>
      <c r="CU30">
        <f t="shared" si="39"/>
        <v>0</v>
      </c>
      <c r="CV30">
        <f t="shared" si="40"/>
        <v>36.454999999999998</v>
      </c>
      <c r="CW30">
        <f t="shared" si="41"/>
        <v>3.6625000000000001</v>
      </c>
      <c r="CX30">
        <f t="shared" si="42"/>
        <v>0</v>
      </c>
      <c r="CY30">
        <f t="shared" si="43"/>
        <v>56632.898699999998</v>
      </c>
      <c r="CZ30">
        <f t="shared" si="44"/>
        <v>32091.975930000004</v>
      </c>
      <c r="DC30" t="s">
        <v>3</v>
      </c>
      <c r="DD30" t="s">
        <v>3</v>
      </c>
      <c r="DE30" t="s">
        <v>42</v>
      </c>
      <c r="DF30" t="s">
        <v>42</v>
      </c>
      <c r="DG30" t="s">
        <v>43</v>
      </c>
      <c r="DH30" t="s">
        <v>3</v>
      </c>
      <c r="DI30" t="s">
        <v>43</v>
      </c>
      <c r="DJ30" t="s">
        <v>42</v>
      </c>
      <c r="DK30" t="s">
        <v>3</v>
      </c>
      <c r="DL30" t="s">
        <v>3</v>
      </c>
      <c r="DM30" t="s">
        <v>44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30</v>
      </c>
      <c r="DW30" t="s">
        <v>30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140625026</v>
      </c>
      <c r="EF30">
        <v>2</v>
      </c>
      <c r="EG30" t="s">
        <v>32</v>
      </c>
      <c r="EH30">
        <v>9</v>
      </c>
      <c r="EI30" t="s">
        <v>45</v>
      </c>
      <c r="EJ30">
        <v>1</v>
      </c>
      <c r="EK30">
        <v>9001</v>
      </c>
      <c r="EL30" t="s">
        <v>45</v>
      </c>
      <c r="EM30" t="s">
        <v>46</v>
      </c>
      <c r="EO30" t="s">
        <v>47</v>
      </c>
      <c r="EQ30">
        <v>0</v>
      </c>
      <c r="ER30">
        <v>900.19</v>
      </c>
      <c r="ES30">
        <v>153.96</v>
      </c>
      <c r="ET30">
        <v>469.17</v>
      </c>
      <c r="EU30">
        <v>41.15</v>
      </c>
      <c r="EV30">
        <v>277.06</v>
      </c>
      <c r="EW30">
        <v>31.7</v>
      </c>
      <c r="EX30">
        <v>2.93</v>
      </c>
      <c r="EY30">
        <v>0</v>
      </c>
      <c r="FQ30">
        <v>0</v>
      </c>
      <c r="FR30">
        <f t="shared" si="45"/>
        <v>0</v>
      </c>
      <c r="FS30">
        <v>0</v>
      </c>
      <c r="FX30">
        <v>93</v>
      </c>
      <c r="FY30">
        <v>52.7</v>
      </c>
      <c r="GA30" t="s">
        <v>3</v>
      </c>
      <c r="GD30">
        <v>1</v>
      </c>
      <c r="GF30">
        <v>-615305433</v>
      </c>
      <c r="GG30">
        <v>2</v>
      </c>
      <c r="GH30">
        <v>1</v>
      </c>
      <c r="GI30">
        <v>4</v>
      </c>
      <c r="GJ30">
        <v>0</v>
      </c>
      <c r="GK30">
        <v>0</v>
      </c>
      <c r="GL30">
        <f t="shared" si="46"/>
        <v>0</v>
      </c>
      <c r="GM30">
        <f t="shared" si="47"/>
        <v>174112.86</v>
      </c>
      <c r="GN30">
        <f t="shared" si="48"/>
        <v>174112.86</v>
      </c>
      <c r="GO30">
        <f t="shared" si="49"/>
        <v>0</v>
      </c>
      <c r="GP30">
        <f t="shared" si="50"/>
        <v>0</v>
      </c>
      <c r="GR30">
        <v>0</v>
      </c>
      <c r="GS30">
        <v>3</v>
      </c>
      <c r="GT30">
        <v>0</v>
      </c>
      <c r="GU30" t="s">
        <v>3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HE30" t="s">
        <v>3</v>
      </c>
      <c r="HF30" t="s">
        <v>3</v>
      </c>
      <c r="HM30" t="s">
        <v>3</v>
      </c>
      <c r="HN30" t="s">
        <v>48</v>
      </c>
      <c r="HO30" t="s">
        <v>49</v>
      </c>
      <c r="HP30" t="s">
        <v>45</v>
      </c>
      <c r="HQ30" t="s">
        <v>45</v>
      </c>
      <c r="IK30">
        <v>0</v>
      </c>
    </row>
    <row r="31" spans="1:245" x14ac:dyDescent="0.2">
      <c r="A31">
        <v>17</v>
      </c>
      <c r="B31">
        <v>1</v>
      </c>
      <c r="E31" t="s">
        <v>50</v>
      </c>
      <c r="F31" t="s">
        <v>51</v>
      </c>
      <c r="G31" t="s">
        <v>52</v>
      </c>
      <c r="H31" t="s">
        <v>53</v>
      </c>
      <c r="I31">
        <f>ROUND(I30*110,9)</f>
        <v>396</v>
      </c>
      <c r="J31">
        <v>0</v>
      </c>
      <c r="K31">
        <f>ROUND(I30*110,9)</f>
        <v>396</v>
      </c>
      <c r="O31">
        <f t="shared" si="21"/>
        <v>0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145185703</v>
      </c>
      <c r="AB31">
        <f t="shared" si="32"/>
        <v>0</v>
      </c>
      <c r="AC31">
        <f>ROUND((ES31),2)</f>
        <v>0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33"/>
        <v>0</v>
      </c>
      <c r="AH31">
        <f>(EW31)</f>
        <v>0</v>
      </c>
      <c r="AI31">
        <f>(EX31)</f>
        <v>0</v>
      </c>
      <c r="AJ31">
        <f t="shared" si="34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8.3800000000000008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3</v>
      </c>
      <c r="BM31">
        <v>1100</v>
      </c>
      <c r="BN31">
        <v>0</v>
      </c>
      <c r="BO31" t="s">
        <v>3</v>
      </c>
      <c r="BP31">
        <v>0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5"/>
        <v>0</v>
      </c>
      <c r="CQ31">
        <f t="shared" si="36"/>
        <v>0</v>
      </c>
      <c r="CR31">
        <f>(((ET31)*BB31-(EU31)*BS31)+AE31*BS31)</f>
        <v>0</v>
      </c>
      <c r="CS31">
        <f t="shared" si="37"/>
        <v>0</v>
      </c>
      <c r="CT31">
        <f t="shared" si="38"/>
        <v>0</v>
      </c>
      <c r="CU31">
        <f t="shared" si="39"/>
        <v>0</v>
      </c>
      <c r="CV31">
        <f t="shared" si="40"/>
        <v>0</v>
      </c>
      <c r="CW31">
        <f t="shared" si="41"/>
        <v>0</v>
      </c>
      <c r="CX31">
        <f t="shared" si="42"/>
        <v>0</v>
      </c>
      <c r="CY31">
        <f t="shared" si="43"/>
        <v>0</v>
      </c>
      <c r="CZ31">
        <f t="shared" si="44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53</v>
      </c>
      <c r="DW31" t="s">
        <v>53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140625274</v>
      </c>
      <c r="EF31">
        <v>8</v>
      </c>
      <c r="EG31" t="s">
        <v>22</v>
      </c>
      <c r="EH31">
        <v>0</v>
      </c>
      <c r="EI31" t="s">
        <v>3</v>
      </c>
      <c r="EJ31">
        <v>1</v>
      </c>
      <c r="EK31">
        <v>1100</v>
      </c>
      <c r="EL31" t="s">
        <v>23</v>
      </c>
      <c r="EM31" t="s">
        <v>24</v>
      </c>
      <c r="EO31" t="s">
        <v>3</v>
      </c>
      <c r="EQ31">
        <v>786432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0</v>
      </c>
      <c r="FY31">
        <v>0</v>
      </c>
      <c r="GA31" t="s">
        <v>54</v>
      </c>
      <c r="GD31">
        <v>1</v>
      </c>
      <c r="GF31">
        <v>1058232208</v>
      </c>
      <c r="GG31">
        <v>2</v>
      </c>
      <c r="GH31">
        <v>0</v>
      </c>
      <c r="GI31">
        <v>4</v>
      </c>
      <c r="GJ31">
        <v>0</v>
      </c>
      <c r="GK31">
        <v>0</v>
      </c>
      <c r="GL31">
        <f t="shared" si="46"/>
        <v>0</v>
      </c>
      <c r="GM31">
        <f t="shared" si="47"/>
        <v>0</v>
      </c>
      <c r="GN31">
        <f t="shared" si="48"/>
        <v>0</v>
      </c>
      <c r="GO31">
        <f t="shared" si="49"/>
        <v>0</v>
      </c>
      <c r="GP31">
        <f t="shared" si="50"/>
        <v>0</v>
      </c>
      <c r="GR31">
        <v>0</v>
      </c>
      <c r="GS31">
        <v>4</v>
      </c>
      <c r="GT31">
        <v>0</v>
      </c>
      <c r="GU31" t="s">
        <v>3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E32" t="s">
        <v>55</v>
      </c>
      <c r="F32" t="s">
        <v>56</v>
      </c>
      <c r="G32" t="s">
        <v>57</v>
      </c>
      <c r="H32" t="s">
        <v>58</v>
      </c>
      <c r="I32">
        <f>ROUND(I30*1000,9)</f>
        <v>3600</v>
      </c>
      <c r="J32">
        <v>0</v>
      </c>
      <c r="K32">
        <f>ROUND(I30*1000,9)</f>
        <v>3600</v>
      </c>
      <c r="O32">
        <f t="shared" si="21"/>
        <v>16290.72</v>
      </c>
      <c r="P32">
        <f t="shared" si="22"/>
        <v>16290.72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145185703</v>
      </c>
      <c r="AB32">
        <f t="shared" si="32"/>
        <v>0.54</v>
      </c>
      <c r="AC32">
        <f>ROUND((ES32),2)</f>
        <v>0.54</v>
      </c>
      <c r="AD32">
        <f>ROUND((((ET32)-(EU32))+AE32),2)</f>
        <v>0</v>
      </c>
      <c r="AE32">
        <f>ROUND((EU32),2)</f>
        <v>0</v>
      </c>
      <c r="AF32">
        <f>ROUND((EV32),2)</f>
        <v>0</v>
      </c>
      <c r="AG32">
        <f t="shared" si="33"/>
        <v>0</v>
      </c>
      <c r="AH32">
        <f>(EW32)</f>
        <v>0</v>
      </c>
      <c r="AI32">
        <f>(EX32)</f>
        <v>0</v>
      </c>
      <c r="AJ32">
        <f t="shared" si="34"/>
        <v>0</v>
      </c>
      <c r="AK32">
        <v>0.54</v>
      </c>
      <c r="AL32">
        <v>0.54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8.3800000000000008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3</v>
      </c>
      <c r="BM32">
        <v>1100</v>
      </c>
      <c r="BN32">
        <v>0</v>
      </c>
      <c r="BO32" t="s">
        <v>3</v>
      </c>
      <c r="BP32">
        <v>0</v>
      </c>
      <c r="BQ32">
        <v>8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5"/>
        <v>16290.72</v>
      </c>
      <c r="CQ32">
        <f t="shared" si="36"/>
        <v>4.5252000000000008</v>
      </c>
      <c r="CR32">
        <f>(((ET32)*BB32-(EU32)*BS32)+AE32*BS32)</f>
        <v>0</v>
      </c>
      <c r="CS32">
        <f t="shared" si="37"/>
        <v>0</v>
      </c>
      <c r="CT32">
        <f t="shared" si="38"/>
        <v>0</v>
      </c>
      <c r="CU32">
        <f t="shared" si="39"/>
        <v>0</v>
      </c>
      <c r="CV32">
        <f t="shared" si="40"/>
        <v>0</v>
      </c>
      <c r="CW32">
        <f t="shared" si="41"/>
        <v>0</v>
      </c>
      <c r="CX32">
        <f t="shared" si="42"/>
        <v>0</v>
      </c>
      <c r="CY32">
        <f t="shared" si="43"/>
        <v>0</v>
      </c>
      <c r="CZ32">
        <f t="shared" si="44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1010</v>
      </c>
      <c r="DV32" t="s">
        <v>58</v>
      </c>
      <c r="DW32" t="s">
        <v>58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140625274</v>
      </c>
      <c r="EF32">
        <v>8</v>
      </c>
      <c r="EG32" t="s">
        <v>22</v>
      </c>
      <c r="EH32">
        <v>0</v>
      </c>
      <c r="EI32" t="s">
        <v>3</v>
      </c>
      <c r="EJ32">
        <v>1</v>
      </c>
      <c r="EK32">
        <v>1100</v>
      </c>
      <c r="EL32" t="s">
        <v>23</v>
      </c>
      <c r="EM32" t="s">
        <v>24</v>
      </c>
      <c r="EO32" t="s">
        <v>3</v>
      </c>
      <c r="EQ32">
        <v>0</v>
      </c>
      <c r="ER32">
        <v>0.54</v>
      </c>
      <c r="ES32">
        <v>0.54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5</v>
      </c>
      <c r="FC32">
        <v>1</v>
      </c>
      <c r="FD32">
        <v>18</v>
      </c>
      <c r="FF32">
        <v>5</v>
      </c>
      <c r="FQ32">
        <v>0</v>
      </c>
      <c r="FR32">
        <f t="shared" si="45"/>
        <v>0</v>
      </c>
      <c r="FS32">
        <v>0</v>
      </c>
      <c r="FX32">
        <v>0</v>
      </c>
      <c r="FY32">
        <v>0</v>
      </c>
      <c r="GA32" t="s">
        <v>59</v>
      </c>
      <c r="GD32">
        <v>1</v>
      </c>
      <c r="GF32">
        <v>-1778612597</v>
      </c>
      <c r="GG32">
        <v>2</v>
      </c>
      <c r="GH32">
        <v>3</v>
      </c>
      <c r="GI32">
        <v>4</v>
      </c>
      <c r="GJ32">
        <v>0</v>
      </c>
      <c r="GK32">
        <v>0</v>
      </c>
      <c r="GL32">
        <f t="shared" si="46"/>
        <v>0</v>
      </c>
      <c r="GM32">
        <f t="shared" si="47"/>
        <v>16290.72</v>
      </c>
      <c r="GN32">
        <f t="shared" si="48"/>
        <v>16290.72</v>
      </c>
      <c r="GO32">
        <f t="shared" si="49"/>
        <v>0</v>
      </c>
      <c r="GP32">
        <f t="shared" si="50"/>
        <v>0</v>
      </c>
      <c r="GR32">
        <v>1</v>
      </c>
      <c r="GS32">
        <v>1</v>
      </c>
      <c r="GT32">
        <v>0</v>
      </c>
      <c r="GU32" t="s">
        <v>3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HE32" t="s">
        <v>55</v>
      </c>
      <c r="HF32" t="s">
        <v>27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ROW(SmtRes!A33)</f>
        <v>33</v>
      </c>
      <c r="D33">
        <f>ROW(EtalonRes!A33)</f>
        <v>33</v>
      </c>
      <c r="E33" t="s">
        <v>60</v>
      </c>
      <c r="F33" t="s">
        <v>61</v>
      </c>
      <c r="G33" t="s">
        <v>62</v>
      </c>
      <c r="H33" t="s">
        <v>30</v>
      </c>
      <c r="I33">
        <f>ROUND((49*0.2+21*0.6)/100,9)</f>
        <v>0.224</v>
      </c>
      <c r="J33">
        <v>0</v>
      </c>
      <c r="K33">
        <f>ROUND((49*0.2+21*0.6)/100,9)</f>
        <v>0.224</v>
      </c>
      <c r="O33">
        <f t="shared" si="21"/>
        <v>9845</v>
      </c>
      <c r="P33">
        <f t="shared" si="22"/>
        <v>0</v>
      </c>
      <c r="Q33">
        <f t="shared" si="23"/>
        <v>82.18</v>
      </c>
      <c r="R33">
        <f t="shared" si="24"/>
        <v>44.95</v>
      </c>
      <c r="S33">
        <f t="shared" si="25"/>
        <v>9762.82</v>
      </c>
      <c r="T33">
        <f t="shared" si="26"/>
        <v>0</v>
      </c>
      <c r="U33">
        <f t="shared" si="27"/>
        <v>25.038720000000001</v>
      </c>
      <c r="V33">
        <f t="shared" si="28"/>
        <v>7.5600000000000001E-2</v>
      </c>
      <c r="W33">
        <f t="shared" si="29"/>
        <v>0</v>
      </c>
      <c r="X33">
        <f t="shared" si="30"/>
        <v>10690.47</v>
      </c>
      <c r="Y33">
        <f t="shared" si="31"/>
        <v>4751.8599999999997</v>
      </c>
      <c r="AA33">
        <v>145185703</v>
      </c>
      <c r="AB33">
        <f t="shared" si="32"/>
        <v>980.84</v>
      </c>
      <c r="AC33">
        <f>ROUND(((ES33*0)),2)</f>
        <v>0</v>
      </c>
      <c r="AD33">
        <f>ROUND(((((ET33*1.25))-((EU33*1.25)))+AE33),2)</f>
        <v>27.35</v>
      </c>
      <c r="AE33">
        <f>ROUND(((EU33*1.25)),2)</f>
        <v>4.3899999999999997</v>
      </c>
      <c r="AF33">
        <f>ROUND(((EV33*1.15)),2)</f>
        <v>953.49</v>
      </c>
      <c r="AG33">
        <f t="shared" si="33"/>
        <v>0</v>
      </c>
      <c r="AH33">
        <f>((EW33*1.15))</f>
        <v>111.78</v>
      </c>
      <c r="AI33">
        <f>((EX33*1.25))</f>
        <v>0.33750000000000002</v>
      </c>
      <c r="AJ33">
        <f t="shared" si="34"/>
        <v>0</v>
      </c>
      <c r="AK33">
        <v>7367.18</v>
      </c>
      <c r="AL33">
        <v>6516.18</v>
      </c>
      <c r="AM33">
        <v>21.88</v>
      </c>
      <c r="AN33">
        <v>3.51</v>
      </c>
      <c r="AO33">
        <v>829.12</v>
      </c>
      <c r="AP33">
        <v>0</v>
      </c>
      <c r="AQ33">
        <v>97.2</v>
      </c>
      <c r="AR33">
        <v>0.27</v>
      </c>
      <c r="AS33">
        <v>0</v>
      </c>
      <c r="AT33">
        <v>109</v>
      </c>
      <c r="AU33">
        <v>48.45</v>
      </c>
      <c r="AV33">
        <v>1</v>
      </c>
      <c r="AW33">
        <v>1</v>
      </c>
      <c r="AZ33">
        <v>1</v>
      </c>
      <c r="BA33">
        <v>45.71</v>
      </c>
      <c r="BB33">
        <v>13.41</v>
      </c>
      <c r="BC33">
        <v>8.3800000000000008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63</v>
      </c>
      <c r="BM33">
        <v>12001</v>
      </c>
      <c r="BN33">
        <v>0</v>
      </c>
      <c r="BO33" t="s">
        <v>3</v>
      </c>
      <c r="BP33">
        <v>0</v>
      </c>
      <c r="BQ33">
        <v>2</v>
      </c>
      <c r="BR33">
        <v>0</v>
      </c>
      <c r="BS33">
        <v>45.71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109</v>
      </c>
      <c r="CA33">
        <v>57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548</v>
      </c>
      <c r="CO33">
        <v>0</v>
      </c>
      <c r="CP33">
        <f t="shared" si="35"/>
        <v>9845</v>
      </c>
      <c r="CQ33">
        <f t="shared" si="36"/>
        <v>0</v>
      </c>
      <c r="CR33">
        <f>((((ET33*1.25))*BB33-((EU33*1.25))*BS33)+AE33*BS33)</f>
        <v>366.87777499999999</v>
      </c>
      <c r="CS33">
        <f t="shared" si="37"/>
        <v>200.6669</v>
      </c>
      <c r="CT33">
        <f t="shared" si="38"/>
        <v>43584.027900000001</v>
      </c>
      <c r="CU33">
        <f t="shared" si="39"/>
        <v>0</v>
      </c>
      <c r="CV33">
        <f t="shared" si="40"/>
        <v>111.78</v>
      </c>
      <c r="CW33">
        <f t="shared" si="41"/>
        <v>0.33750000000000002</v>
      </c>
      <c r="CX33">
        <f t="shared" si="42"/>
        <v>0</v>
      </c>
      <c r="CY33">
        <f t="shared" si="43"/>
        <v>10690.469299999999</v>
      </c>
      <c r="CZ33">
        <f t="shared" si="44"/>
        <v>4751.8645649999999</v>
      </c>
      <c r="DC33" t="s">
        <v>3</v>
      </c>
      <c r="DD33" t="s">
        <v>64</v>
      </c>
      <c r="DE33" t="s">
        <v>42</v>
      </c>
      <c r="DF33" t="s">
        <v>42</v>
      </c>
      <c r="DG33" t="s">
        <v>43</v>
      </c>
      <c r="DH33" t="s">
        <v>3</v>
      </c>
      <c r="DI33" t="s">
        <v>43</v>
      </c>
      <c r="DJ33" t="s">
        <v>42</v>
      </c>
      <c r="DK33" t="s">
        <v>3</v>
      </c>
      <c r="DL33" t="s">
        <v>3</v>
      </c>
      <c r="DM33" t="s">
        <v>44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30</v>
      </c>
      <c r="DW33" t="s">
        <v>30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140625032</v>
      </c>
      <c r="EF33">
        <v>2</v>
      </c>
      <c r="EG33" t="s">
        <v>32</v>
      </c>
      <c r="EH33">
        <v>12</v>
      </c>
      <c r="EI33" t="s">
        <v>65</v>
      </c>
      <c r="EJ33">
        <v>1</v>
      </c>
      <c r="EK33">
        <v>12001</v>
      </c>
      <c r="EL33" t="s">
        <v>65</v>
      </c>
      <c r="EM33" t="s">
        <v>66</v>
      </c>
      <c r="EO33" t="s">
        <v>47</v>
      </c>
      <c r="EQ33">
        <v>0</v>
      </c>
      <c r="ER33">
        <v>7367.18</v>
      </c>
      <c r="ES33">
        <v>6516.18</v>
      </c>
      <c r="ET33">
        <v>21.88</v>
      </c>
      <c r="EU33">
        <v>3.51</v>
      </c>
      <c r="EV33">
        <v>829.12</v>
      </c>
      <c r="EW33">
        <v>97.2</v>
      </c>
      <c r="EX33">
        <v>0.27</v>
      </c>
      <c r="EY33">
        <v>0</v>
      </c>
      <c r="FQ33">
        <v>0</v>
      </c>
      <c r="FR33">
        <f t="shared" si="45"/>
        <v>0</v>
      </c>
      <c r="FS33">
        <v>0</v>
      </c>
      <c r="FX33">
        <v>109</v>
      </c>
      <c r="FY33">
        <v>48.45</v>
      </c>
      <c r="GA33" t="s">
        <v>3</v>
      </c>
      <c r="GD33">
        <v>1</v>
      </c>
      <c r="GF33">
        <v>-601591418</v>
      </c>
      <c r="GG33">
        <v>2</v>
      </c>
      <c r="GH33">
        <v>1</v>
      </c>
      <c r="GI33">
        <v>4</v>
      </c>
      <c r="GJ33">
        <v>0</v>
      </c>
      <c r="GK33">
        <v>0</v>
      </c>
      <c r="GL33">
        <f t="shared" si="46"/>
        <v>0</v>
      </c>
      <c r="GM33">
        <f t="shared" si="47"/>
        <v>25287.33</v>
      </c>
      <c r="GN33">
        <f t="shared" si="48"/>
        <v>25287.33</v>
      </c>
      <c r="GO33">
        <f t="shared" si="49"/>
        <v>0</v>
      </c>
      <c r="GP33">
        <f t="shared" si="50"/>
        <v>0</v>
      </c>
      <c r="GR33">
        <v>0</v>
      </c>
      <c r="GS33">
        <v>3</v>
      </c>
      <c r="GT33">
        <v>0</v>
      </c>
      <c r="GU33" t="s">
        <v>3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HE33" t="s">
        <v>3</v>
      </c>
      <c r="HF33" t="s">
        <v>3</v>
      </c>
      <c r="HM33" t="s">
        <v>3</v>
      </c>
      <c r="HN33" t="s">
        <v>67</v>
      </c>
      <c r="HO33" t="s">
        <v>68</v>
      </c>
      <c r="HP33" t="s">
        <v>65</v>
      </c>
      <c r="HQ33" t="s">
        <v>65</v>
      </c>
      <c r="IK33">
        <v>0</v>
      </c>
    </row>
    <row r="34" spans="1:245" x14ac:dyDescent="0.2">
      <c r="A34">
        <v>17</v>
      </c>
      <c r="B34">
        <v>1</v>
      </c>
      <c r="E34" t="s">
        <v>69</v>
      </c>
      <c r="F34" t="s">
        <v>70</v>
      </c>
      <c r="G34" t="s">
        <v>71</v>
      </c>
      <c r="H34" t="s">
        <v>72</v>
      </c>
      <c r="I34">
        <v>49.5</v>
      </c>
      <c r="J34">
        <v>0</v>
      </c>
      <c r="K34">
        <v>49.5</v>
      </c>
      <c r="O34">
        <f t="shared" si="21"/>
        <v>13253.18</v>
      </c>
      <c r="P34">
        <f t="shared" si="22"/>
        <v>13253.18</v>
      </c>
      <c r="Q34">
        <f t="shared" si="23"/>
        <v>0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1"/>
        <v>0</v>
      </c>
      <c r="AA34">
        <v>145185703</v>
      </c>
      <c r="AB34">
        <f t="shared" si="32"/>
        <v>31.95</v>
      </c>
      <c r="AC34">
        <f t="shared" ref="AC34:AC61" si="54">ROUND((ES34),2)</f>
        <v>31.95</v>
      </c>
      <c r="AD34">
        <f>ROUND((((ET34)-(EU34))+AE34),2)</f>
        <v>0</v>
      </c>
      <c r="AE34">
        <f t="shared" ref="AE34:AF36" si="55">ROUND((EU34),2)</f>
        <v>0</v>
      </c>
      <c r="AF34">
        <f t="shared" si="55"/>
        <v>0</v>
      </c>
      <c r="AG34">
        <f t="shared" si="33"/>
        <v>0</v>
      </c>
      <c r="AH34">
        <f t="shared" ref="AH34:AI36" si="56">(EW34)</f>
        <v>0</v>
      </c>
      <c r="AI34">
        <f t="shared" si="56"/>
        <v>0</v>
      </c>
      <c r="AJ34">
        <f t="shared" si="34"/>
        <v>0</v>
      </c>
      <c r="AK34">
        <v>31.949999999999996</v>
      </c>
      <c r="AL34">
        <v>31.949999999999996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8.3800000000000008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1</v>
      </c>
      <c r="BJ34" t="s">
        <v>3</v>
      </c>
      <c r="BM34">
        <v>1100</v>
      </c>
      <c r="BN34">
        <v>0</v>
      </c>
      <c r="BO34" t="s">
        <v>3</v>
      </c>
      <c r="BP34">
        <v>0</v>
      </c>
      <c r="BQ34">
        <v>8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5"/>
        <v>13253.18</v>
      </c>
      <c r="CQ34">
        <f t="shared" si="36"/>
        <v>267.74100000000004</v>
      </c>
      <c r="CR34">
        <f>(((ET34)*BB34-(EU34)*BS34)+AE34*BS34)</f>
        <v>0</v>
      </c>
      <c r="CS34">
        <f t="shared" si="37"/>
        <v>0</v>
      </c>
      <c r="CT34">
        <f t="shared" si="38"/>
        <v>0</v>
      </c>
      <c r="CU34">
        <f t="shared" si="39"/>
        <v>0</v>
      </c>
      <c r="CV34">
        <f t="shared" si="40"/>
        <v>0</v>
      </c>
      <c r="CW34">
        <f t="shared" si="41"/>
        <v>0</v>
      </c>
      <c r="CX34">
        <f t="shared" si="42"/>
        <v>0</v>
      </c>
      <c r="CY34">
        <f t="shared" si="43"/>
        <v>0</v>
      </c>
      <c r="CZ34">
        <f t="shared" si="44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72</v>
      </c>
      <c r="DW34" t="s">
        <v>72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140625274</v>
      </c>
      <c r="EF34">
        <v>8</v>
      </c>
      <c r="EG34" t="s">
        <v>22</v>
      </c>
      <c r="EH34">
        <v>0</v>
      </c>
      <c r="EI34" t="s">
        <v>3</v>
      </c>
      <c r="EJ34">
        <v>1</v>
      </c>
      <c r="EK34">
        <v>1100</v>
      </c>
      <c r="EL34" t="s">
        <v>23</v>
      </c>
      <c r="EM34" t="s">
        <v>24</v>
      </c>
      <c r="EO34" t="s">
        <v>3</v>
      </c>
      <c r="EQ34">
        <v>0</v>
      </c>
      <c r="ER34">
        <v>32.21</v>
      </c>
      <c r="ES34">
        <v>31.949999999999996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5</v>
      </c>
      <c r="FC34">
        <v>1</v>
      </c>
      <c r="FD34">
        <v>18</v>
      </c>
      <c r="FF34">
        <v>300</v>
      </c>
      <c r="FQ34">
        <v>0</v>
      </c>
      <c r="FR34">
        <f t="shared" si="45"/>
        <v>0</v>
      </c>
      <c r="FS34">
        <v>0</v>
      </c>
      <c r="FX34">
        <v>0</v>
      </c>
      <c r="FY34">
        <v>0</v>
      </c>
      <c r="GA34" t="s">
        <v>73</v>
      </c>
      <c r="GD34">
        <v>1</v>
      </c>
      <c r="GF34">
        <v>871757448</v>
      </c>
      <c r="GG34">
        <v>2</v>
      </c>
      <c r="GH34">
        <v>3</v>
      </c>
      <c r="GI34">
        <v>4</v>
      </c>
      <c r="GJ34">
        <v>0</v>
      </c>
      <c r="GK34">
        <v>0</v>
      </c>
      <c r="GL34">
        <f t="shared" si="46"/>
        <v>0</v>
      </c>
      <c r="GM34">
        <f t="shared" si="47"/>
        <v>13253.18</v>
      </c>
      <c r="GN34">
        <f t="shared" si="48"/>
        <v>13253.18</v>
      </c>
      <c r="GO34">
        <f t="shared" si="49"/>
        <v>0</v>
      </c>
      <c r="GP34">
        <f t="shared" si="50"/>
        <v>0</v>
      </c>
      <c r="GR34">
        <v>1</v>
      </c>
      <c r="GS34">
        <v>1</v>
      </c>
      <c r="GT34">
        <v>0</v>
      </c>
      <c r="GU34" t="s">
        <v>3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HE34" t="s">
        <v>55</v>
      </c>
      <c r="HF34" t="s">
        <v>27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E35" t="s">
        <v>74</v>
      </c>
      <c r="F35" t="s">
        <v>70</v>
      </c>
      <c r="G35" t="s">
        <v>75</v>
      </c>
      <c r="H35" t="s">
        <v>72</v>
      </c>
      <c r="I35">
        <v>21</v>
      </c>
      <c r="J35">
        <v>0</v>
      </c>
      <c r="K35">
        <v>21</v>
      </c>
      <c r="O35">
        <f t="shared" si="21"/>
        <v>7026.88</v>
      </c>
      <c r="P35">
        <f t="shared" si="22"/>
        <v>7026.88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145185703</v>
      </c>
      <c r="AB35">
        <f t="shared" si="32"/>
        <v>39.93</v>
      </c>
      <c r="AC35">
        <f t="shared" si="54"/>
        <v>39.93</v>
      </c>
      <c r="AD35">
        <f>ROUND((((ET35)-(EU35))+AE35),2)</f>
        <v>0</v>
      </c>
      <c r="AE35">
        <f t="shared" si="55"/>
        <v>0</v>
      </c>
      <c r="AF35">
        <f t="shared" si="55"/>
        <v>0</v>
      </c>
      <c r="AG35">
        <f t="shared" si="33"/>
        <v>0</v>
      </c>
      <c r="AH35">
        <f t="shared" si="56"/>
        <v>0</v>
      </c>
      <c r="AI35">
        <f t="shared" si="56"/>
        <v>0</v>
      </c>
      <c r="AJ35">
        <f t="shared" si="34"/>
        <v>0</v>
      </c>
      <c r="AK35">
        <v>39.93</v>
      </c>
      <c r="AL35">
        <v>39.93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8.3800000000000008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3</v>
      </c>
      <c r="BM35">
        <v>1100</v>
      </c>
      <c r="BN35">
        <v>0</v>
      </c>
      <c r="BO35" t="s">
        <v>3</v>
      </c>
      <c r="BP35">
        <v>0</v>
      </c>
      <c r="BQ35">
        <v>8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5"/>
        <v>7026.88</v>
      </c>
      <c r="CQ35">
        <f t="shared" si="36"/>
        <v>334.61340000000001</v>
      </c>
      <c r="CR35">
        <f>(((ET35)*BB35-(EU35)*BS35)+AE35*BS35)</f>
        <v>0</v>
      </c>
      <c r="CS35">
        <f t="shared" si="37"/>
        <v>0</v>
      </c>
      <c r="CT35">
        <f t="shared" si="38"/>
        <v>0</v>
      </c>
      <c r="CU35">
        <f t="shared" si="39"/>
        <v>0</v>
      </c>
      <c r="CV35">
        <f t="shared" si="40"/>
        <v>0</v>
      </c>
      <c r="CW35">
        <f t="shared" si="41"/>
        <v>0</v>
      </c>
      <c r="CX35">
        <f t="shared" si="42"/>
        <v>0</v>
      </c>
      <c r="CY35">
        <f t="shared" si="43"/>
        <v>0</v>
      </c>
      <c r="CZ35">
        <f t="shared" si="44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72</v>
      </c>
      <c r="DW35" t="s">
        <v>72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140625274</v>
      </c>
      <c r="EF35">
        <v>8</v>
      </c>
      <c r="EG35" t="s">
        <v>22</v>
      </c>
      <c r="EH35">
        <v>0</v>
      </c>
      <c r="EI35" t="s">
        <v>3</v>
      </c>
      <c r="EJ35">
        <v>1</v>
      </c>
      <c r="EK35">
        <v>1100</v>
      </c>
      <c r="EL35" t="s">
        <v>23</v>
      </c>
      <c r="EM35" t="s">
        <v>24</v>
      </c>
      <c r="EO35" t="s">
        <v>3</v>
      </c>
      <c r="EQ35">
        <v>0</v>
      </c>
      <c r="ER35">
        <v>40.28</v>
      </c>
      <c r="ES35">
        <v>39.93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5</v>
      </c>
      <c r="FC35">
        <v>1</v>
      </c>
      <c r="FD35">
        <v>18</v>
      </c>
      <c r="FF35">
        <v>375</v>
      </c>
      <c r="FQ35">
        <v>0</v>
      </c>
      <c r="FR35">
        <f t="shared" si="45"/>
        <v>0</v>
      </c>
      <c r="FS35">
        <v>0</v>
      </c>
      <c r="FX35">
        <v>0</v>
      </c>
      <c r="FY35">
        <v>0</v>
      </c>
      <c r="GA35" t="s">
        <v>76</v>
      </c>
      <c r="GD35">
        <v>1</v>
      </c>
      <c r="GF35">
        <v>-1064455655</v>
      </c>
      <c r="GG35">
        <v>2</v>
      </c>
      <c r="GH35">
        <v>3</v>
      </c>
      <c r="GI35">
        <v>4</v>
      </c>
      <c r="GJ35">
        <v>0</v>
      </c>
      <c r="GK35">
        <v>0</v>
      </c>
      <c r="GL35">
        <f t="shared" si="46"/>
        <v>0</v>
      </c>
      <c r="GM35">
        <f t="shared" si="47"/>
        <v>7026.88</v>
      </c>
      <c r="GN35">
        <f t="shared" si="48"/>
        <v>7026.88</v>
      </c>
      <c r="GO35">
        <f t="shared" si="49"/>
        <v>0</v>
      </c>
      <c r="GP35">
        <f t="shared" si="50"/>
        <v>0</v>
      </c>
      <c r="GR35">
        <v>1</v>
      </c>
      <c r="GS35">
        <v>1</v>
      </c>
      <c r="GT35">
        <v>0</v>
      </c>
      <c r="GU35" t="s">
        <v>3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HE35" t="s">
        <v>55</v>
      </c>
      <c r="HF35" t="s">
        <v>27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E36" t="s">
        <v>77</v>
      </c>
      <c r="F36" t="s">
        <v>56</v>
      </c>
      <c r="G36" t="s">
        <v>57</v>
      </c>
      <c r="H36" t="s">
        <v>58</v>
      </c>
      <c r="I36">
        <f>ROUND((I34+I35)/0.5*2,9)</f>
        <v>282</v>
      </c>
      <c r="J36">
        <v>0</v>
      </c>
      <c r="K36">
        <f>ROUND((I34+I35)/0.5*2,9)</f>
        <v>282</v>
      </c>
      <c r="O36">
        <f t="shared" si="21"/>
        <v>1276.1099999999999</v>
      </c>
      <c r="P36">
        <f t="shared" si="22"/>
        <v>1276.1099999999999</v>
      </c>
      <c r="Q36">
        <f t="shared" si="23"/>
        <v>0</v>
      </c>
      <c r="R36">
        <f t="shared" si="24"/>
        <v>0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1"/>
        <v>0</v>
      </c>
      <c r="AA36">
        <v>145185703</v>
      </c>
      <c r="AB36">
        <f t="shared" si="32"/>
        <v>0.54</v>
      </c>
      <c r="AC36">
        <f t="shared" si="54"/>
        <v>0.54</v>
      </c>
      <c r="AD36">
        <f>ROUND((((ET36)-(EU36))+AE36),2)</f>
        <v>0</v>
      </c>
      <c r="AE36">
        <f t="shared" si="55"/>
        <v>0</v>
      </c>
      <c r="AF36">
        <f t="shared" si="55"/>
        <v>0</v>
      </c>
      <c r="AG36">
        <f t="shared" si="33"/>
        <v>0</v>
      </c>
      <c r="AH36">
        <f t="shared" si="56"/>
        <v>0</v>
      </c>
      <c r="AI36">
        <f t="shared" si="56"/>
        <v>0</v>
      </c>
      <c r="AJ36">
        <f t="shared" si="34"/>
        <v>0</v>
      </c>
      <c r="AK36">
        <v>0.54</v>
      </c>
      <c r="AL36">
        <v>0.54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8.3800000000000008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1</v>
      </c>
      <c r="BJ36" t="s">
        <v>3</v>
      </c>
      <c r="BM36">
        <v>1100</v>
      </c>
      <c r="BN36">
        <v>0</v>
      </c>
      <c r="BO36" t="s">
        <v>3</v>
      </c>
      <c r="BP36">
        <v>0</v>
      </c>
      <c r="BQ36">
        <v>8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5"/>
        <v>1276.1099999999999</v>
      </c>
      <c r="CQ36">
        <f t="shared" si="36"/>
        <v>4.5252000000000008</v>
      </c>
      <c r="CR36">
        <f>(((ET36)*BB36-(EU36)*BS36)+AE36*BS36)</f>
        <v>0</v>
      </c>
      <c r="CS36">
        <f t="shared" si="37"/>
        <v>0</v>
      </c>
      <c r="CT36">
        <f t="shared" si="38"/>
        <v>0</v>
      </c>
      <c r="CU36">
        <f t="shared" si="39"/>
        <v>0</v>
      </c>
      <c r="CV36">
        <f t="shared" si="40"/>
        <v>0</v>
      </c>
      <c r="CW36">
        <f t="shared" si="41"/>
        <v>0</v>
      </c>
      <c r="CX36">
        <f t="shared" si="42"/>
        <v>0</v>
      </c>
      <c r="CY36">
        <f t="shared" si="43"/>
        <v>0</v>
      </c>
      <c r="CZ36">
        <f t="shared" si="44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1010</v>
      </c>
      <c r="DV36" t="s">
        <v>58</v>
      </c>
      <c r="DW36" t="s">
        <v>58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140625274</v>
      </c>
      <c r="EF36">
        <v>8</v>
      </c>
      <c r="EG36" t="s">
        <v>22</v>
      </c>
      <c r="EH36">
        <v>0</v>
      </c>
      <c r="EI36" t="s">
        <v>3</v>
      </c>
      <c r="EJ36">
        <v>1</v>
      </c>
      <c r="EK36">
        <v>1100</v>
      </c>
      <c r="EL36" t="s">
        <v>23</v>
      </c>
      <c r="EM36" t="s">
        <v>24</v>
      </c>
      <c r="EO36" t="s">
        <v>3</v>
      </c>
      <c r="EQ36">
        <v>0</v>
      </c>
      <c r="ER36">
        <v>0.54</v>
      </c>
      <c r="ES36">
        <v>0.54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5</v>
      </c>
      <c r="FC36">
        <v>1</v>
      </c>
      <c r="FD36">
        <v>18</v>
      </c>
      <c r="FF36">
        <v>5</v>
      </c>
      <c r="FQ36">
        <v>0</v>
      </c>
      <c r="FR36">
        <f t="shared" si="45"/>
        <v>0</v>
      </c>
      <c r="FS36">
        <v>0</v>
      </c>
      <c r="FX36">
        <v>0</v>
      </c>
      <c r="FY36">
        <v>0</v>
      </c>
      <c r="GA36" t="s">
        <v>59</v>
      </c>
      <c r="GD36">
        <v>1</v>
      </c>
      <c r="GF36">
        <v>-1778612597</v>
      </c>
      <c r="GG36">
        <v>2</v>
      </c>
      <c r="GH36">
        <v>3</v>
      </c>
      <c r="GI36">
        <v>4</v>
      </c>
      <c r="GJ36">
        <v>0</v>
      </c>
      <c r="GK36">
        <v>0</v>
      </c>
      <c r="GL36">
        <f t="shared" si="46"/>
        <v>0</v>
      </c>
      <c r="GM36">
        <f t="shared" si="47"/>
        <v>1276.1099999999999</v>
      </c>
      <c r="GN36">
        <f t="shared" si="48"/>
        <v>1276.1099999999999</v>
      </c>
      <c r="GO36">
        <f t="shared" si="49"/>
        <v>0</v>
      </c>
      <c r="GP36">
        <f t="shared" si="50"/>
        <v>0</v>
      </c>
      <c r="GR36">
        <v>1</v>
      </c>
      <c r="GS36">
        <v>1</v>
      </c>
      <c r="GT36">
        <v>0</v>
      </c>
      <c r="GU36" t="s">
        <v>3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HE36" t="s">
        <v>55</v>
      </c>
      <c r="HF36" t="s">
        <v>27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ROW(SmtRes!A41)</f>
        <v>41</v>
      </c>
      <c r="D37">
        <f>ROW(EtalonRes!A41)</f>
        <v>41</v>
      </c>
      <c r="E37" t="s">
        <v>78</v>
      </c>
      <c r="F37" t="s">
        <v>79</v>
      </c>
      <c r="G37" t="s">
        <v>80</v>
      </c>
      <c r="H37" t="s">
        <v>81</v>
      </c>
      <c r="I37">
        <f>ROUND(50/100,9)</f>
        <v>0.5</v>
      </c>
      <c r="J37">
        <v>0</v>
      </c>
      <c r="K37">
        <f>ROUND(50/100,9)</f>
        <v>0.5</v>
      </c>
      <c r="O37">
        <f t="shared" si="21"/>
        <v>27735.57</v>
      </c>
      <c r="P37">
        <f t="shared" si="22"/>
        <v>21325.55</v>
      </c>
      <c r="Q37">
        <f t="shared" si="23"/>
        <v>177.46</v>
      </c>
      <c r="R37">
        <f t="shared" si="24"/>
        <v>91.65</v>
      </c>
      <c r="S37">
        <f t="shared" si="25"/>
        <v>6232.56</v>
      </c>
      <c r="T37">
        <f t="shared" si="26"/>
        <v>0</v>
      </c>
      <c r="U37">
        <f t="shared" si="27"/>
        <v>15.984999999999999</v>
      </c>
      <c r="V37">
        <f t="shared" si="28"/>
        <v>0.15625</v>
      </c>
      <c r="W37">
        <f t="shared" si="29"/>
        <v>0</v>
      </c>
      <c r="X37">
        <f t="shared" si="30"/>
        <v>6893.39</v>
      </c>
      <c r="Y37">
        <f t="shared" si="31"/>
        <v>3064.08</v>
      </c>
      <c r="AA37">
        <v>145185703</v>
      </c>
      <c r="AB37">
        <f t="shared" si="32"/>
        <v>5388.8</v>
      </c>
      <c r="AC37">
        <f t="shared" si="54"/>
        <v>5089.63</v>
      </c>
      <c r="AD37">
        <f>ROUND(((((ET37*1.25))-((EU37*1.25)))+AE37),2)</f>
        <v>26.47</v>
      </c>
      <c r="AE37">
        <f>ROUND(((EU37*1.25)),2)</f>
        <v>4.01</v>
      </c>
      <c r="AF37">
        <f>ROUND(((EV37*1.15)),2)</f>
        <v>272.7</v>
      </c>
      <c r="AG37">
        <f t="shared" si="33"/>
        <v>0</v>
      </c>
      <c r="AH37">
        <f>((EW37*1.15))</f>
        <v>31.97</v>
      </c>
      <c r="AI37">
        <f>((EX37*1.25))</f>
        <v>0.3125</v>
      </c>
      <c r="AJ37">
        <f t="shared" si="34"/>
        <v>0</v>
      </c>
      <c r="AK37">
        <v>5347.94</v>
      </c>
      <c r="AL37">
        <v>5089.63</v>
      </c>
      <c r="AM37">
        <v>21.18</v>
      </c>
      <c r="AN37">
        <v>3.21</v>
      </c>
      <c r="AO37">
        <v>237.13</v>
      </c>
      <c r="AP37">
        <v>0</v>
      </c>
      <c r="AQ37">
        <v>27.8</v>
      </c>
      <c r="AR37">
        <v>0.25</v>
      </c>
      <c r="AS37">
        <v>0</v>
      </c>
      <c r="AT37">
        <v>109</v>
      </c>
      <c r="AU37">
        <v>48.45</v>
      </c>
      <c r="AV37">
        <v>1</v>
      </c>
      <c r="AW37">
        <v>1</v>
      </c>
      <c r="AZ37">
        <v>1</v>
      </c>
      <c r="BA37">
        <v>45.71</v>
      </c>
      <c r="BB37">
        <v>13.41</v>
      </c>
      <c r="BC37">
        <v>8.3800000000000008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82</v>
      </c>
      <c r="BM37">
        <v>12001</v>
      </c>
      <c r="BN37">
        <v>0</v>
      </c>
      <c r="BO37" t="s">
        <v>3</v>
      </c>
      <c r="BP37">
        <v>0</v>
      </c>
      <c r="BQ37">
        <v>2</v>
      </c>
      <c r="BR37">
        <v>0</v>
      </c>
      <c r="BS37">
        <v>45.71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109</v>
      </c>
      <c r="CA37">
        <v>57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548</v>
      </c>
      <c r="CO37">
        <v>0</v>
      </c>
      <c r="CP37">
        <f t="shared" si="35"/>
        <v>27735.57</v>
      </c>
      <c r="CQ37">
        <f t="shared" si="36"/>
        <v>42651.099400000006</v>
      </c>
      <c r="CR37">
        <f>((((ET37*1.25))*BB37-((EU37*1.25))*BS37)+AE37*BS37)</f>
        <v>354.91547500000001</v>
      </c>
      <c r="CS37">
        <f t="shared" si="37"/>
        <v>183.2971</v>
      </c>
      <c r="CT37">
        <f t="shared" si="38"/>
        <v>12465.117</v>
      </c>
      <c r="CU37">
        <f t="shared" si="39"/>
        <v>0</v>
      </c>
      <c r="CV37">
        <f t="shared" si="40"/>
        <v>31.97</v>
      </c>
      <c r="CW37">
        <f t="shared" si="41"/>
        <v>0.3125</v>
      </c>
      <c r="CX37">
        <f t="shared" si="42"/>
        <v>0</v>
      </c>
      <c r="CY37">
        <f t="shared" si="43"/>
        <v>6893.3888999999999</v>
      </c>
      <c r="CZ37">
        <f t="shared" si="44"/>
        <v>3064.079745</v>
      </c>
      <c r="DC37" t="s">
        <v>3</v>
      </c>
      <c r="DD37" t="s">
        <v>3</v>
      </c>
      <c r="DE37" t="s">
        <v>42</v>
      </c>
      <c r="DF37" t="s">
        <v>42</v>
      </c>
      <c r="DG37" t="s">
        <v>43</v>
      </c>
      <c r="DH37" t="s">
        <v>3</v>
      </c>
      <c r="DI37" t="s">
        <v>43</v>
      </c>
      <c r="DJ37" t="s">
        <v>42</v>
      </c>
      <c r="DK37" t="s">
        <v>3</v>
      </c>
      <c r="DL37" t="s">
        <v>3</v>
      </c>
      <c r="DM37" t="s">
        <v>44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81</v>
      </c>
      <c r="DW37" t="s">
        <v>81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140625032</v>
      </c>
      <c r="EF37">
        <v>2</v>
      </c>
      <c r="EG37" t="s">
        <v>32</v>
      </c>
      <c r="EH37">
        <v>12</v>
      </c>
      <c r="EI37" t="s">
        <v>65</v>
      </c>
      <c r="EJ37">
        <v>1</v>
      </c>
      <c r="EK37">
        <v>12001</v>
      </c>
      <c r="EL37" t="s">
        <v>65</v>
      </c>
      <c r="EM37" t="s">
        <v>66</v>
      </c>
      <c r="EO37" t="s">
        <v>47</v>
      </c>
      <c r="EQ37">
        <v>0</v>
      </c>
      <c r="ER37">
        <v>5347.94</v>
      </c>
      <c r="ES37">
        <v>5089.63</v>
      </c>
      <c r="ET37">
        <v>21.18</v>
      </c>
      <c r="EU37">
        <v>3.21</v>
      </c>
      <c r="EV37">
        <v>237.13</v>
      </c>
      <c r="EW37">
        <v>27.8</v>
      </c>
      <c r="EX37">
        <v>0.25</v>
      </c>
      <c r="EY37">
        <v>0</v>
      </c>
      <c r="FQ37">
        <v>0</v>
      </c>
      <c r="FR37">
        <f t="shared" si="45"/>
        <v>0</v>
      </c>
      <c r="FS37">
        <v>0</v>
      </c>
      <c r="FX37">
        <v>109</v>
      </c>
      <c r="FY37">
        <v>48.45</v>
      </c>
      <c r="GA37" t="s">
        <v>3</v>
      </c>
      <c r="GD37">
        <v>1</v>
      </c>
      <c r="GF37">
        <v>-1062366555</v>
      </c>
      <c r="GG37">
        <v>2</v>
      </c>
      <c r="GH37">
        <v>1</v>
      </c>
      <c r="GI37">
        <v>4</v>
      </c>
      <c r="GJ37">
        <v>0</v>
      </c>
      <c r="GK37">
        <v>0</v>
      </c>
      <c r="GL37">
        <f t="shared" si="46"/>
        <v>0</v>
      </c>
      <c r="GM37">
        <f t="shared" si="47"/>
        <v>37693.040000000001</v>
      </c>
      <c r="GN37">
        <f t="shared" si="48"/>
        <v>37693.040000000001</v>
      </c>
      <c r="GO37">
        <f t="shared" si="49"/>
        <v>0</v>
      </c>
      <c r="GP37">
        <f t="shared" si="50"/>
        <v>0</v>
      </c>
      <c r="GR37">
        <v>0</v>
      </c>
      <c r="GS37">
        <v>3</v>
      </c>
      <c r="GT37">
        <v>0</v>
      </c>
      <c r="GU37" t="s">
        <v>3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HE37" t="s">
        <v>3</v>
      </c>
      <c r="HF37" t="s">
        <v>3</v>
      </c>
      <c r="HM37" t="s">
        <v>3</v>
      </c>
      <c r="HN37" t="s">
        <v>67</v>
      </c>
      <c r="HO37" t="s">
        <v>68</v>
      </c>
      <c r="HP37" t="s">
        <v>65</v>
      </c>
      <c r="HQ37" t="s">
        <v>65</v>
      </c>
      <c r="IK37">
        <v>0</v>
      </c>
    </row>
    <row r="38" spans="1:245" x14ac:dyDescent="0.2">
      <c r="A38">
        <v>18</v>
      </c>
      <c r="B38">
        <v>1</v>
      </c>
      <c r="C38">
        <v>41</v>
      </c>
      <c r="E38" t="s">
        <v>83</v>
      </c>
      <c r="F38" t="s">
        <v>84</v>
      </c>
      <c r="G38" t="s">
        <v>85</v>
      </c>
      <c r="H38" t="s">
        <v>21</v>
      </c>
      <c r="I38">
        <f>I37*J38</f>
        <v>-0.16500000000000001</v>
      </c>
      <c r="J38">
        <v>-0.33</v>
      </c>
      <c r="K38">
        <v>-0.33</v>
      </c>
      <c r="O38">
        <f t="shared" si="21"/>
        <v>-15486.24</v>
      </c>
      <c r="P38">
        <f t="shared" si="22"/>
        <v>-15486.24</v>
      </c>
      <c r="Q38">
        <f t="shared" si="23"/>
        <v>0</v>
      </c>
      <c r="R38">
        <f t="shared" si="24"/>
        <v>0</v>
      </c>
      <c r="S38">
        <f t="shared" si="25"/>
        <v>0</v>
      </c>
      <c r="T38">
        <f t="shared" si="26"/>
        <v>0</v>
      </c>
      <c r="U38">
        <f t="shared" si="27"/>
        <v>0</v>
      </c>
      <c r="V38">
        <f t="shared" si="28"/>
        <v>0</v>
      </c>
      <c r="W38">
        <f t="shared" si="29"/>
        <v>0</v>
      </c>
      <c r="X38">
        <f t="shared" si="30"/>
        <v>0</v>
      </c>
      <c r="Y38">
        <f t="shared" si="31"/>
        <v>0</v>
      </c>
      <c r="AA38">
        <v>145185703</v>
      </c>
      <c r="AB38">
        <f t="shared" si="32"/>
        <v>11200</v>
      </c>
      <c r="AC38">
        <f t="shared" si="54"/>
        <v>11200</v>
      </c>
      <c r="AD38">
        <f>ROUND((((ET38)-(EU38))+AE38),2)</f>
        <v>0</v>
      </c>
      <c r="AE38">
        <f t="shared" ref="AE38:AF41" si="57">ROUND((EU38),2)</f>
        <v>0</v>
      </c>
      <c r="AF38">
        <f t="shared" si="57"/>
        <v>0</v>
      </c>
      <c r="AG38">
        <f t="shared" si="33"/>
        <v>0</v>
      </c>
      <c r="AH38">
        <f t="shared" ref="AH38:AI41" si="58">(EW38)</f>
        <v>0</v>
      </c>
      <c r="AI38">
        <f t="shared" si="58"/>
        <v>0</v>
      </c>
      <c r="AJ38">
        <f t="shared" si="34"/>
        <v>0</v>
      </c>
      <c r="AK38">
        <v>11200</v>
      </c>
      <c r="AL38">
        <v>11200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109</v>
      </c>
      <c r="AU38">
        <v>57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8.3800000000000008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1</v>
      </c>
      <c r="BJ38" t="s">
        <v>86</v>
      </c>
      <c r="BM38">
        <v>12001</v>
      </c>
      <c r="BN38">
        <v>0</v>
      </c>
      <c r="BO38" t="s">
        <v>3</v>
      </c>
      <c r="BP38">
        <v>0</v>
      </c>
      <c r="BQ38">
        <v>2</v>
      </c>
      <c r="BR38">
        <v>1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109</v>
      </c>
      <c r="CA38">
        <v>57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5"/>
        <v>-15486.24</v>
      </c>
      <c r="CQ38">
        <f t="shared" si="36"/>
        <v>93856.000000000015</v>
      </c>
      <c r="CR38">
        <f>(((ET38)*BB38-(EU38)*BS38)+AE38*BS38)</f>
        <v>0</v>
      </c>
      <c r="CS38">
        <f t="shared" si="37"/>
        <v>0</v>
      </c>
      <c r="CT38">
        <f t="shared" si="38"/>
        <v>0</v>
      </c>
      <c r="CU38">
        <f t="shared" si="39"/>
        <v>0</v>
      </c>
      <c r="CV38">
        <f t="shared" si="40"/>
        <v>0</v>
      </c>
      <c r="CW38">
        <f t="shared" si="41"/>
        <v>0</v>
      </c>
      <c r="CX38">
        <f t="shared" si="42"/>
        <v>0</v>
      </c>
      <c r="CY38">
        <f t="shared" si="43"/>
        <v>0</v>
      </c>
      <c r="CZ38">
        <f t="shared" si="44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1009</v>
      </c>
      <c r="DV38" t="s">
        <v>21</v>
      </c>
      <c r="DW38" t="s">
        <v>21</v>
      </c>
      <c r="DX38">
        <v>1000</v>
      </c>
      <c r="DZ38" t="s">
        <v>3</v>
      </c>
      <c r="EA38" t="s">
        <v>3</v>
      </c>
      <c r="EB38" t="s">
        <v>3</v>
      </c>
      <c r="EC38" t="s">
        <v>3</v>
      </c>
      <c r="EE38">
        <v>140625032</v>
      </c>
      <c r="EF38">
        <v>2</v>
      </c>
      <c r="EG38" t="s">
        <v>32</v>
      </c>
      <c r="EH38">
        <v>12</v>
      </c>
      <c r="EI38" t="s">
        <v>65</v>
      </c>
      <c r="EJ38">
        <v>1</v>
      </c>
      <c r="EK38">
        <v>12001</v>
      </c>
      <c r="EL38" t="s">
        <v>65</v>
      </c>
      <c r="EM38" t="s">
        <v>66</v>
      </c>
      <c r="EO38" t="s">
        <v>3</v>
      </c>
      <c r="EQ38">
        <v>0</v>
      </c>
      <c r="ER38">
        <v>11200</v>
      </c>
      <c r="ES38">
        <v>11200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45"/>
        <v>0</v>
      </c>
      <c r="FS38">
        <v>0</v>
      </c>
      <c r="FX38">
        <v>109</v>
      </c>
      <c r="FY38">
        <v>57</v>
      </c>
      <c r="GA38" t="s">
        <v>3</v>
      </c>
      <c r="GD38">
        <v>1</v>
      </c>
      <c r="GF38">
        <v>-509681559</v>
      </c>
      <c r="GG38">
        <v>2</v>
      </c>
      <c r="GH38">
        <v>1</v>
      </c>
      <c r="GI38">
        <v>4</v>
      </c>
      <c r="GJ38">
        <v>0</v>
      </c>
      <c r="GK38">
        <v>0</v>
      </c>
      <c r="GL38">
        <f t="shared" si="46"/>
        <v>0</v>
      </c>
      <c r="GM38">
        <f t="shared" si="47"/>
        <v>-15486.24</v>
      </c>
      <c r="GN38">
        <f t="shared" si="48"/>
        <v>-15486.24</v>
      </c>
      <c r="GO38">
        <f t="shared" si="49"/>
        <v>0</v>
      </c>
      <c r="GP38">
        <f t="shared" si="50"/>
        <v>0</v>
      </c>
      <c r="GR38">
        <v>0</v>
      </c>
      <c r="GS38">
        <v>3</v>
      </c>
      <c r="GT38">
        <v>0</v>
      </c>
      <c r="GU38" t="s">
        <v>3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HE38" t="s">
        <v>3</v>
      </c>
      <c r="HF38" t="s">
        <v>3</v>
      </c>
      <c r="HM38" t="s">
        <v>3</v>
      </c>
      <c r="HN38" t="s">
        <v>67</v>
      </c>
      <c r="HO38" t="s">
        <v>68</v>
      </c>
      <c r="HP38" t="s">
        <v>65</v>
      </c>
      <c r="HQ38" t="s">
        <v>65</v>
      </c>
      <c r="IK38">
        <v>0</v>
      </c>
    </row>
    <row r="39" spans="1:245" x14ac:dyDescent="0.2">
      <c r="A39">
        <v>17</v>
      </c>
      <c r="B39">
        <v>1</v>
      </c>
      <c r="E39" t="s">
        <v>87</v>
      </c>
      <c r="F39" t="s">
        <v>56</v>
      </c>
      <c r="G39" t="s">
        <v>88</v>
      </c>
      <c r="H39" t="s">
        <v>58</v>
      </c>
      <c r="I39">
        <v>25</v>
      </c>
      <c r="J39">
        <v>0</v>
      </c>
      <c r="K39">
        <v>25</v>
      </c>
      <c r="O39">
        <f t="shared" si="21"/>
        <v>37550.78</v>
      </c>
      <c r="P39">
        <f t="shared" si="22"/>
        <v>37550.78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145185703</v>
      </c>
      <c r="AB39">
        <f t="shared" si="32"/>
        <v>179.24</v>
      </c>
      <c r="AC39">
        <f t="shared" si="54"/>
        <v>179.24</v>
      </c>
      <c r="AD39">
        <f>ROUND((((ET39)-(EU39))+AE39),2)</f>
        <v>0</v>
      </c>
      <c r="AE39">
        <f t="shared" si="57"/>
        <v>0</v>
      </c>
      <c r="AF39">
        <f t="shared" si="57"/>
        <v>0</v>
      </c>
      <c r="AG39">
        <f t="shared" si="33"/>
        <v>0</v>
      </c>
      <c r="AH39">
        <f t="shared" si="58"/>
        <v>0</v>
      </c>
      <c r="AI39">
        <f t="shared" si="58"/>
        <v>0</v>
      </c>
      <c r="AJ39">
        <f t="shared" si="34"/>
        <v>0</v>
      </c>
      <c r="AK39">
        <v>179.24</v>
      </c>
      <c r="AL39">
        <v>179.24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8.3800000000000008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1</v>
      </c>
      <c r="BJ39" t="s">
        <v>3</v>
      </c>
      <c r="BM39">
        <v>1100</v>
      </c>
      <c r="BN39">
        <v>0</v>
      </c>
      <c r="BO39" t="s">
        <v>3</v>
      </c>
      <c r="BP39">
        <v>0</v>
      </c>
      <c r="BQ39">
        <v>8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0</v>
      </c>
      <c r="CA39">
        <v>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5"/>
        <v>37550.78</v>
      </c>
      <c r="CQ39">
        <f t="shared" si="36"/>
        <v>1502.0312000000001</v>
      </c>
      <c r="CR39">
        <f>(((ET39)*BB39-(EU39)*BS39)+AE39*BS39)</f>
        <v>0</v>
      </c>
      <c r="CS39">
        <f t="shared" si="37"/>
        <v>0</v>
      </c>
      <c r="CT39">
        <f t="shared" si="38"/>
        <v>0</v>
      </c>
      <c r="CU39">
        <f t="shared" si="39"/>
        <v>0</v>
      </c>
      <c r="CV39">
        <f t="shared" si="40"/>
        <v>0</v>
      </c>
      <c r="CW39">
        <f t="shared" si="41"/>
        <v>0</v>
      </c>
      <c r="CX39">
        <f t="shared" si="42"/>
        <v>0</v>
      </c>
      <c r="CY39">
        <f t="shared" si="43"/>
        <v>0</v>
      </c>
      <c r="CZ39">
        <f t="shared" si="44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58</v>
      </c>
      <c r="DW39" t="s">
        <v>58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140625274</v>
      </c>
      <c r="EF39">
        <v>8</v>
      </c>
      <c r="EG39" t="s">
        <v>22</v>
      </c>
      <c r="EH39">
        <v>0</v>
      </c>
      <c r="EI39" t="s">
        <v>3</v>
      </c>
      <c r="EJ39">
        <v>1</v>
      </c>
      <c r="EK39">
        <v>1100</v>
      </c>
      <c r="EL39" t="s">
        <v>23</v>
      </c>
      <c r="EM39" t="s">
        <v>24</v>
      </c>
      <c r="EO39" t="s">
        <v>3</v>
      </c>
      <c r="EQ39">
        <v>0</v>
      </c>
      <c r="ER39">
        <v>180.75</v>
      </c>
      <c r="ES39">
        <v>179.24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5</v>
      </c>
      <c r="FC39">
        <v>1</v>
      </c>
      <c r="FD39">
        <v>18</v>
      </c>
      <c r="FF39">
        <v>1683</v>
      </c>
      <c r="FQ39">
        <v>0</v>
      </c>
      <c r="FR39">
        <f t="shared" si="45"/>
        <v>0</v>
      </c>
      <c r="FS39">
        <v>0</v>
      </c>
      <c r="FX39">
        <v>0</v>
      </c>
      <c r="FY39">
        <v>0</v>
      </c>
      <c r="GA39" t="s">
        <v>89</v>
      </c>
      <c r="GD39">
        <v>1</v>
      </c>
      <c r="GF39">
        <v>-1892267403</v>
      </c>
      <c r="GG39">
        <v>2</v>
      </c>
      <c r="GH39">
        <v>3</v>
      </c>
      <c r="GI39">
        <v>4</v>
      </c>
      <c r="GJ39">
        <v>0</v>
      </c>
      <c r="GK39">
        <v>0</v>
      </c>
      <c r="GL39">
        <f t="shared" si="46"/>
        <v>0</v>
      </c>
      <c r="GM39">
        <f t="shared" si="47"/>
        <v>37550.78</v>
      </c>
      <c r="GN39">
        <f t="shared" si="48"/>
        <v>37550.78</v>
      </c>
      <c r="GO39">
        <f t="shared" si="49"/>
        <v>0</v>
      </c>
      <c r="GP39">
        <f t="shared" si="50"/>
        <v>0</v>
      </c>
      <c r="GR39">
        <v>1</v>
      </c>
      <c r="GS39">
        <v>1</v>
      </c>
      <c r="GT39">
        <v>0</v>
      </c>
      <c r="GU39" t="s">
        <v>3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HE39" t="s">
        <v>55</v>
      </c>
      <c r="HF39" t="s">
        <v>27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E40" t="s">
        <v>90</v>
      </c>
      <c r="F40" t="s">
        <v>56</v>
      </c>
      <c r="G40" t="s">
        <v>91</v>
      </c>
      <c r="H40" t="s">
        <v>58</v>
      </c>
      <c r="I40">
        <v>70</v>
      </c>
      <c r="J40">
        <v>0</v>
      </c>
      <c r="K40">
        <v>70</v>
      </c>
      <c r="O40">
        <f t="shared" si="21"/>
        <v>20114.509999999998</v>
      </c>
      <c r="P40">
        <f t="shared" si="22"/>
        <v>20114.509999999998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145185703</v>
      </c>
      <c r="AB40">
        <f t="shared" si="32"/>
        <v>34.29</v>
      </c>
      <c r="AC40">
        <f t="shared" si="54"/>
        <v>34.29</v>
      </c>
      <c r="AD40">
        <f>ROUND((((ET40)-(EU40))+AE40),2)</f>
        <v>0</v>
      </c>
      <c r="AE40">
        <f t="shared" si="57"/>
        <v>0</v>
      </c>
      <c r="AF40">
        <f t="shared" si="57"/>
        <v>0</v>
      </c>
      <c r="AG40">
        <f t="shared" si="33"/>
        <v>0</v>
      </c>
      <c r="AH40">
        <f t="shared" si="58"/>
        <v>0</v>
      </c>
      <c r="AI40">
        <f t="shared" si="58"/>
        <v>0</v>
      </c>
      <c r="AJ40">
        <f t="shared" si="34"/>
        <v>0</v>
      </c>
      <c r="AK40">
        <v>34.290000000000006</v>
      </c>
      <c r="AL40">
        <v>34.290000000000006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8.3800000000000008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3</v>
      </c>
      <c r="BM40">
        <v>1100</v>
      </c>
      <c r="BN40">
        <v>0</v>
      </c>
      <c r="BO40" t="s">
        <v>3</v>
      </c>
      <c r="BP40">
        <v>0</v>
      </c>
      <c r="BQ40">
        <v>8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5"/>
        <v>20114.509999999998</v>
      </c>
      <c r="CQ40">
        <f t="shared" si="36"/>
        <v>287.35020000000003</v>
      </c>
      <c r="CR40">
        <f>(((ET40)*BB40-(EU40)*BS40)+AE40*BS40)</f>
        <v>0</v>
      </c>
      <c r="CS40">
        <f t="shared" si="37"/>
        <v>0</v>
      </c>
      <c r="CT40">
        <f t="shared" si="38"/>
        <v>0</v>
      </c>
      <c r="CU40">
        <f t="shared" si="39"/>
        <v>0</v>
      </c>
      <c r="CV40">
        <f t="shared" si="40"/>
        <v>0</v>
      </c>
      <c r="CW40">
        <f t="shared" si="41"/>
        <v>0</v>
      </c>
      <c r="CX40">
        <f t="shared" si="42"/>
        <v>0</v>
      </c>
      <c r="CY40">
        <f t="shared" si="43"/>
        <v>0</v>
      </c>
      <c r="CZ40">
        <f t="shared" si="44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58</v>
      </c>
      <c r="DW40" t="s">
        <v>58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140625274</v>
      </c>
      <c r="EF40">
        <v>8</v>
      </c>
      <c r="EG40" t="s">
        <v>22</v>
      </c>
      <c r="EH40">
        <v>0</v>
      </c>
      <c r="EI40" t="s">
        <v>3</v>
      </c>
      <c r="EJ40">
        <v>1</v>
      </c>
      <c r="EK40">
        <v>1100</v>
      </c>
      <c r="EL40" t="s">
        <v>23</v>
      </c>
      <c r="EM40" t="s">
        <v>24</v>
      </c>
      <c r="EO40" t="s">
        <v>3</v>
      </c>
      <c r="EQ40">
        <v>0</v>
      </c>
      <c r="ER40">
        <v>34.58</v>
      </c>
      <c r="ES40">
        <v>34.290000000000006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5</v>
      </c>
      <c r="FC40">
        <v>1</v>
      </c>
      <c r="FD40">
        <v>18</v>
      </c>
      <c r="FF40">
        <v>322</v>
      </c>
      <c r="FQ40">
        <v>0</v>
      </c>
      <c r="FR40">
        <f t="shared" si="45"/>
        <v>0</v>
      </c>
      <c r="FS40">
        <v>0</v>
      </c>
      <c r="FX40">
        <v>0</v>
      </c>
      <c r="FY40">
        <v>0</v>
      </c>
      <c r="GA40" t="s">
        <v>92</v>
      </c>
      <c r="GD40">
        <v>1</v>
      </c>
      <c r="GF40">
        <v>-1890217126</v>
      </c>
      <c r="GG40">
        <v>2</v>
      </c>
      <c r="GH40">
        <v>3</v>
      </c>
      <c r="GI40">
        <v>4</v>
      </c>
      <c r="GJ40">
        <v>0</v>
      </c>
      <c r="GK40">
        <v>0</v>
      </c>
      <c r="GL40">
        <f t="shared" si="46"/>
        <v>0</v>
      </c>
      <c r="GM40">
        <f t="shared" si="47"/>
        <v>20114.509999999998</v>
      </c>
      <c r="GN40">
        <f t="shared" si="48"/>
        <v>20114.509999999998</v>
      </c>
      <c r="GO40">
        <f t="shared" si="49"/>
        <v>0</v>
      </c>
      <c r="GP40">
        <f t="shared" si="50"/>
        <v>0</v>
      </c>
      <c r="GR40">
        <v>1</v>
      </c>
      <c r="GS40">
        <v>1</v>
      </c>
      <c r="GT40">
        <v>0</v>
      </c>
      <c r="GU40" t="s">
        <v>3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HE40" t="s">
        <v>55</v>
      </c>
      <c r="HF40" t="s">
        <v>27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E41" t="s">
        <v>93</v>
      </c>
      <c r="F41" t="s">
        <v>56</v>
      </c>
      <c r="G41" t="s">
        <v>94</v>
      </c>
      <c r="H41" t="s">
        <v>58</v>
      </c>
      <c r="I41">
        <v>6</v>
      </c>
      <c r="J41">
        <v>0</v>
      </c>
      <c r="K41">
        <v>6</v>
      </c>
      <c r="O41">
        <f t="shared" si="21"/>
        <v>1076.49</v>
      </c>
      <c r="P41">
        <f t="shared" si="22"/>
        <v>1076.49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145185703</v>
      </c>
      <c r="AB41">
        <f t="shared" si="32"/>
        <v>21.41</v>
      </c>
      <c r="AC41">
        <f t="shared" si="54"/>
        <v>21.41</v>
      </c>
      <c r="AD41">
        <f>ROUND((((ET41)-(EU41))+AE41),2)</f>
        <v>0</v>
      </c>
      <c r="AE41">
        <f t="shared" si="57"/>
        <v>0</v>
      </c>
      <c r="AF41">
        <f t="shared" si="57"/>
        <v>0</v>
      </c>
      <c r="AG41">
        <f t="shared" si="33"/>
        <v>0</v>
      </c>
      <c r="AH41">
        <f t="shared" si="58"/>
        <v>0</v>
      </c>
      <c r="AI41">
        <f t="shared" si="58"/>
        <v>0</v>
      </c>
      <c r="AJ41">
        <f t="shared" si="34"/>
        <v>0</v>
      </c>
      <c r="AK41">
        <v>21.41</v>
      </c>
      <c r="AL41">
        <v>21.41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8.3800000000000008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3</v>
      </c>
      <c r="BM41">
        <v>1100</v>
      </c>
      <c r="BN41">
        <v>0</v>
      </c>
      <c r="BO41" t="s">
        <v>3</v>
      </c>
      <c r="BP41">
        <v>0</v>
      </c>
      <c r="BQ41">
        <v>8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5"/>
        <v>1076.49</v>
      </c>
      <c r="CQ41">
        <f t="shared" si="36"/>
        <v>179.41580000000002</v>
      </c>
      <c r="CR41">
        <f>(((ET41)*BB41-(EU41)*BS41)+AE41*BS41)</f>
        <v>0</v>
      </c>
      <c r="CS41">
        <f t="shared" si="37"/>
        <v>0</v>
      </c>
      <c r="CT41">
        <f t="shared" si="38"/>
        <v>0</v>
      </c>
      <c r="CU41">
        <f t="shared" si="39"/>
        <v>0</v>
      </c>
      <c r="CV41">
        <f t="shared" si="40"/>
        <v>0</v>
      </c>
      <c r="CW41">
        <f t="shared" si="41"/>
        <v>0</v>
      </c>
      <c r="CX41">
        <f t="shared" si="42"/>
        <v>0</v>
      </c>
      <c r="CY41">
        <f t="shared" si="43"/>
        <v>0</v>
      </c>
      <c r="CZ41">
        <f t="shared" si="44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1010</v>
      </c>
      <c r="DV41" t="s">
        <v>58</v>
      </c>
      <c r="DW41" t="s">
        <v>58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140625274</v>
      </c>
      <c r="EF41">
        <v>8</v>
      </c>
      <c r="EG41" t="s">
        <v>22</v>
      </c>
      <c r="EH41">
        <v>0</v>
      </c>
      <c r="EI41" t="s">
        <v>3</v>
      </c>
      <c r="EJ41">
        <v>1</v>
      </c>
      <c r="EK41">
        <v>1100</v>
      </c>
      <c r="EL41" t="s">
        <v>23</v>
      </c>
      <c r="EM41" t="s">
        <v>24</v>
      </c>
      <c r="EO41" t="s">
        <v>3</v>
      </c>
      <c r="EQ41">
        <v>0</v>
      </c>
      <c r="ER41">
        <v>21.590000000000003</v>
      </c>
      <c r="ES41">
        <v>21.41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5</v>
      </c>
      <c r="FC41">
        <v>1</v>
      </c>
      <c r="FD41">
        <v>18</v>
      </c>
      <c r="FF41">
        <v>201</v>
      </c>
      <c r="FQ41">
        <v>0</v>
      </c>
      <c r="FR41">
        <f t="shared" si="45"/>
        <v>0</v>
      </c>
      <c r="FS41">
        <v>0</v>
      </c>
      <c r="FX41">
        <v>0</v>
      </c>
      <c r="FY41">
        <v>0</v>
      </c>
      <c r="GA41" t="s">
        <v>95</v>
      </c>
      <c r="GD41">
        <v>1</v>
      </c>
      <c r="GF41">
        <v>-1872019135</v>
      </c>
      <c r="GG41">
        <v>2</v>
      </c>
      <c r="GH41">
        <v>3</v>
      </c>
      <c r="GI41">
        <v>4</v>
      </c>
      <c r="GJ41">
        <v>0</v>
      </c>
      <c r="GK41">
        <v>0</v>
      </c>
      <c r="GL41">
        <f t="shared" si="46"/>
        <v>0</v>
      </c>
      <c r="GM41">
        <f t="shared" si="47"/>
        <v>1076.49</v>
      </c>
      <c r="GN41">
        <f t="shared" si="48"/>
        <v>1076.49</v>
      </c>
      <c r="GO41">
        <f t="shared" si="49"/>
        <v>0</v>
      </c>
      <c r="GP41">
        <f t="shared" si="50"/>
        <v>0</v>
      </c>
      <c r="GR41">
        <v>1</v>
      </c>
      <c r="GS41">
        <v>1</v>
      </c>
      <c r="GT41">
        <v>0</v>
      </c>
      <c r="GU41" t="s">
        <v>3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HE41" t="s">
        <v>55</v>
      </c>
      <c r="HF41" t="s">
        <v>27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C42">
        <f>ROW(SmtRes!A45)</f>
        <v>45</v>
      </c>
      <c r="D42">
        <f>ROW(EtalonRes!A45)</f>
        <v>45</v>
      </c>
      <c r="E42" t="s">
        <v>96</v>
      </c>
      <c r="F42" t="s">
        <v>97</v>
      </c>
      <c r="G42" t="s">
        <v>98</v>
      </c>
      <c r="H42" t="s">
        <v>72</v>
      </c>
      <c r="I42">
        <v>43.5</v>
      </c>
      <c r="J42">
        <v>0</v>
      </c>
      <c r="K42">
        <v>43.5</v>
      </c>
      <c r="O42">
        <f t="shared" si="21"/>
        <v>5468</v>
      </c>
      <c r="P42">
        <f t="shared" si="22"/>
        <v>2843.33</v>
      </c>
      <c r="Q42">
        <f t="shared" si="23"/>
        <v>0</v>
      </c>
      <c r="R42">
        <f t="shared" si="24"/>
        <v>0</v>
      </c>
      <c r="S42">
        <f t="shared" si="25"/>
        <v>2624.67</v>
      </c>
      <c r="T42">
        <f t="shared" si="26"/>
        <v>0</v>
      </c>
      <c r="U42">
        <f t="shared" si="27"/>
        <v>6.0029999999999992</v>
      </c>
      <c r="V42">
        <f t="shared" si="28"/>
        <v>0</v>
      </c>
      <c r="W42">
        <f t="shared" si="29"/>
        <v>0</v>
      </c>
      <c r="X42">
        <f t="shared" si="30"/>
        <v>2860.89</v>
      </c>
      <c r="Y42">
        <f t="shared" si="31"/>
        <v>1271.6500000000001</v>
      </c>
      <c r="AA42">
        <v>145185703</v>
      </c>
      <c r="AB42">
        <f t="shared" si="32"/>
        <v>9.1199999999999992</v>
      </c>
      <c r="AC42">
        <f t="shared" si="54"/>
        <v>7.8</v>
      </c>
      <c r="AD42">
        <f>ROUND(((((ET42*1.25))-((EU42*1.25)))+AE42),2)</f>
        <v>0</v>
      </c>
      <c r="AE42">
        <f>ROUND(((EU42*1.25)),2)</f>
        <v>0</v>
      </c>
      <c r="AF42">
        <f>ROUND(((EV42*1.15)),2)</f>
        <v>1.32</v>
      </c>
      <c r="AG42">
        <f t="shared" si="33"/>
        <v>0</v>
      </c>
      <c r="AH42">
        <f>((EW42*1.15))</f>
        <v>0.13799999999999998</v>
      </c>
      <c r="AI42">
        <f>((EX42*1.25))</f>
        <v>0</v>
      </c>
      <c r="AJ42">
        <f t="shared" si="34"/>
        <v>0</v>
      </c>
      <c r="AK42">
        <v>8.9499999999999993</v>
      </c>
      <c r="AL42">
        <v>7.8</v>
      </c>
      <c r="AM42">
        <v>0</v>
      </c>
      <c r="AN42">
        <v>0</v>
      </c>
      <c r="AO42">
        <v>1.1499999999999999</v>
      </c>
      <c r="AP42">
        <v>0</v>
      </c>
      <c r="AQ42">
        <v>0.12</v>
      </c>
      <c r="AR42">
        <v>0</v>
      </c>
      <c r="AS42">
        <v>0</v>
      </c>
      <c r="AT42">
        <v>109</v>
      </c>
      <c r="AU42">
        <v>48.45</v>
      </c>
      <c r="AV42">
        <v>1</v>
      </c>
      <c r="AW42">
        <v>1</v>
      </c>
      <c r="AZ42">
        <v>1</v>
      </c>
      <c r="BA42">
        <v>45.71</v>
      </c>
      <c r="BB42">
        <v>13.41</v>
      </c>
      <c r="BC42">
        <v>8.3800000000000008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1</v>
      </c>
      <c r="BJ42" t="s">
        <v>99</v>
      </c>
      <c r="BM42">
        <v>12001</v>
      </c>
      <c r="BN42">
        <v>0</v>
      </c>
      <c r="BO42" t="s">
        <v>3</v>
      </c>
      <c r="BP42">
        <v>0</v>
      </c>
      <c r="BQ42">
        <v>2</v>
      </c>
      <c r="BR42">
        <v>0</v>
      </c>
      <c r="BS42">
        <v>45.71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109</v>
      </c>
      <c r="CA42">
        <v>57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548</v>
      </c>
      <c r="CO42">
        <v>0</v>
      </c>
      <c r="CP42">
        <f t="shared" si="35"/>
        <v>5468</v>
      </c>
      <c r="CQ42">
        <f t="shared" si="36"/>
        <v>65.364000000000004</v>
      </c>
      <c r="CR42">
        <f>((((ET42*1.25))*BB42-((EU42*1.25))*BS42)+AE42*BS42)</f>
        <v>0</v>
      </c>
      <c r="CS42">
        <f t="shared" si="37"/>
        <v>0</v>
      </c>
      <c r="CT42">
        <f t="shared" si="38"/>
        <v>60.337200000000003</v>
      </c>
      <c r="CU42">
        <f t="shared" si="39"/>
        <v>0</v>
      </c>
      <c r="CV42">
        <f t="shared" si="40"/>
        <v>0.13799999999999998</v>
      </c>
      <c r="CW42">
        <f t="shared" si="41"/>
        <v>0</v>
      </c>
      <c r="CX42">
        <f t="shared" si="42"/>
        <v>0</v>
      </c>
      <c r="CY42">
        <f t="shared" si="43"/>
        <v>2860.8903000000005</v>
      </c>
      <c r="CZ42">
        <f t="shared" si="44"/>
        <v>1271.652615</v>
      </c>
      <c r="DC42" t="s">
        <v>3</v>
      </c>
      <c r="DD42" t="s">
        <v>3</v>
      </c>
      <c r="DE42" t="s">
        <v>42</v>
      </c>
      <c r="DF42" t="s">
        <v>42</v>
      </c>
      <c r="DG42" t="s">
        <v>43</v>
      </c>
      <c r="DH42" t="s">
        <v>3</v>
      </c>
      <c r="DI42" t="s">
        <v>43</v>
      </c>
      <c r="DJ42" t="s">
        <v>42</v>
      </c>
      <c r="DK42" t="s">
        <v>3</v>
      </c>
      <c r="DL42" t="s">
        <v>3</v>
      </c>
      <c r="DM42" t="s">
        <v>44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72</v>
      </c>
      <c r="DW42" t="s">
        <v>72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140625032</v>
      </c>
      <c r="EF42">
        <v>2</v>
      </c>
      <c r="EG42" t="s">
        <v>32</v>
      </c>
      <c r="EH42">
        <v>12</v>
      </c>
      <c r="EI42" t="s">
        <v>65</v>
      </c>
      <c r="EJ42">
        <v>1</v>
      </c>
      <c r="EK42">
        <v>12001</v>
      </c>
      <c r="EL42" t="s">
        <v>65</v>
      </c>
      <c r="EM42" t="s">
        <v>66</v>
      </c>
      <c r="EO42" t="s">
        <v>47</v>
      </c>
      <c r="EQ42">
        <v>0</v>
      </c>
      <c r="ER42">
        <v>8.9499999999999993</v>
      </c>
      <c r="ES42">
        <v>7.8</v>
      </c>
      <c r="ET42">
        <v>0</v>
      </c>
      <c r="EU42">
        <v>0</v>
      </c>
      <c r="EV42">
        <v>1.1499999999999999</v>
      </c>
      <c r="EW42">
        <v>0.12</v>
      </c>
      <c r="EX42">
        <v>0</v>
      </c>
      <c r="EY42">
        <v>0</v>
      </c>
      <c r="FQ42">
        <v>0</v>
      </c>
      <c r="FR42">
        <f t="shared" si="45"/>
        <v>0</v>
      </c>
      <c r="FS42">
        <v>0</v>
      </c>
      <c r="FX42">
        <v>109</v>
      </c>
      <c r="FY42">
        <v>48.45</v>
      </c>
      <c r="GA42" t="s">
        <v>3</v>
      </c>
      <c r="GD42">
        <v>1</v>
      </c>
      <c r="GF42">
        <v>-768605888</v>
      </c>
      <c r="GG42">
        <v>2</v>
      </c>
      <c r="GH42">
        <v>1</v>
      </c>
      <c r="GI42">
        <v>4</v>
      </c>
      <c r="GJ42">
        <v>0</v>
      </c>
      <c r="GK42">
        <v>0</v>
      </c>
      <c r="GL42">
        <f t="shared" si="46"/>
        <v>0</v>
      </c>
      <c r="GM42">
        <f t="shared" si="47"/>
        <v>9600.5400000000009</v>
      </c>
      <c r="GN42">
        <f t="shared" si="48"/>
        <v>9600.5400000000009</v>
      </c>
      <c r="GO42">
        <f t="shared" si="49"/>
        <v>0</v>
      </c>
      <c r="GP42">
        <f t="shared" si="50"/>
        <v>0</v>
      </c>
      <c r="GR42">
        <v>0</v>
      </c>
      <c r="GS42">
        <v>3</v>
      </c>
      <c r="GT42">
        <v>0</v>
      </c>
      <c r="GU42" t="s">
        <v>3</v>
      </c>
      <c r="GV42">
        <f t="shared" si="51"/>
        <v>0</v>
      </c>
      <c r="GW42">
        <v>1</v>
      </c>
      <c r="GX42">
        <f t="shared" si="52"/>
        <v>0</v>
      </c>
      <c r="HA42">
        <v>0</v>
      </c>
      <c r="HB42">
        <v>0</v>
      </c>
      <c r="HC42">
        <f t="shared" si="53"/>
        <v>0</v>
      </c>
      <c r="HE42" t="s">
        <v>3</v>
      </c>
      <c r="HF42" t="s">
        <v>3</v>
      </c>
      <c r="HM42" t="s">
        <v>3</v>
      </c>
      <c r="HN42" t="s">
        <v>67</v>
      </c>
      <c r="HO42" t="s">
        <v>68</v>
      </c>
      <c r="HP42" t="s">
        <v>65</v>
      </c>
      <c r="HQ42" t="s">
        <v>65</v>
      </c>
      <c r="IK42">
        <v>0</v>
      </c>
    </row>
    <row r="43" spans="1:245" x14ac:dyDescent="0.2">
      <c r="A43">
        <v>17</v>
      </c>
      <c r="B43">
        <v>1</v>
      </c>
      <c r="E43" t="s">
        <v>100</v>
      </c>
      <c r="F43" t="s">
        <v>56</v>
      </c>
      <c r="G43" t="s">
        <v>101</v>
      </c>
      <c r="H43" t="s">
        <v>58</v>
      </c>
      <c r="I43">
        <v>36</v>
      </c>
      <c r="J43">
        <v>0</v>
      </c>
      <c r="K43">
        <v>36</v>
      </c>
      <c r="O43">
        <f t="shared" si="21"/>
        <v>36467.08</v>
      </c>
      <c r="P43">
        <f t="shared" si="22"/>
        <v>36467.08</v>
      </c>
      <c r="Q43">
        <f t="shared" si="23"/>
        <v>0</v>
      </c>
      <c r="R43">
        <f t="shared" si="24"/>
        <v>0</v>
      </c>
      <c r="S43">
        <f t="shared" si="25"/>
        <v>0</v>
      </c>
      <c r="T43">
        <f t="shared" si="26"/>
        <v>0</v>
      </c>
      <c r="U43">
        <f t="shared" si="27"/>
        <v>0</v>
      </c>
      <c r="V43">
        <f t="shared" si="28"/>
        <v>0</v>
      </c>
      <c r="W43">
        <f t="shared" si="29"/>
        <v>0</v>
      </c>
      <c r="X43">
        <f t="shared" si="30"/>
        <v>0</v>
      </c>
      <c r="Y43">
        <f t="shared" si="31"/>
        <v>0</v>
      </c>
      <c r="AA43">
        <v>145185703</v>
      </c>
      <c r="AB43">
        <f t="shared" si="32"/>
        <v>120.88</v>
      </c>
      <c r="AC43">
        <f t="shared" si="54"/>
        <v>120.88</v>
      </c>
      <c r="AD43">
        <f>ROUND((((ET43)-(EU43))+AE43),2)</f>
        <v>0</v>
      </c>
      <c r="AE43">
        <f t="shared" ref="AE43:AF45" si="59">ROUND((EU43),2)</f>
        <v>0</v>
      </c>
      <c r="AF43">
        <f t="shared" si="59"/>
        <v>0</v>
      </c>
      <c r="AG43">
        <f t="shared" si="33"/>
        <v>0</v>
      </c>
      <c r="AH43">
        <f t="shared" ref="AH43:AI45" si="60">(EW43)</f>
        <v>0</v>
      </c>
      <c r="AI43">
        <f t="shared" si="60"/>
        <v>0</v>
      </c>
      <c r="AJ43">
        <f t="shared" si="34"/>
        <v>0</v>
      </c>
      <c r="AK43">
        <v>120.88000000000001</v>
      </c>
      <c r="AL43">
        <v>120.88000000000001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8.3800000000000008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1</v>
      </c>
      <c r="BJ43" t="s">
        <v>3</v>
      </c>
      <c r="BM43">
        <v>1100</v>
      </c>
      <c r="BN43">
        <v>0</v>
      </c>
      <c r="BO43" t="s">
        <v>3</v>
      </c>
      <c r="BP43">
        <v>0</v>
      </c>
      <c r="BQ43">
        <v>8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0</v>
      </c>
      <c r="CA43">
        <v>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35"/>
        <v>36467.08</v>
      </c>
      <c r="CQ43">
        <f t="shared" si="36"/>
        <v>1012.9744000000001</v>
      </c>
      <c r="CR43">
        <f>(((ET43)*BB43-(EU43)*BS43)+AE43*BS43)</f>
        <v>0</v>
      </c>
      <c r="CS43">
        <f t="shared" si="37"/>
        <v>0</v>
      </c>
      <c r="CT43">
        <f t="shared" si="38"/>
        <v>0</v>
      </c>
      <c r="CU43">
        <f t="shared" si="39"/>
        <v>0</v>
      </c>
      <c r="CV43">
        <f t="shared" si="40"/>
        <v>0</v>
      </c>
      <c r="CW43">
        <f t="shared" si="41"/>
        <v>0</v>
      </c>
      <c r="CX43">
        <f t="shared" si="42"/>
        <v>0</v>
      </c>
      <c r="CY43">
        <f t="shared" si="43"/>
        <v>0</v>
      </c>
      <c r="CZ43">
        <f t="shared" si="44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58</v>
      </c>
      <c r="DW43" t="s">
        <v>58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140625274</v>
      </c>
      <c r="EF43">
        <v>8</v>
      </c>
      <c r="EG43" t="s">
        <v>22</v>
      </c>
      <c r="EH43">
        <v>0</v>
      </c>
      <c r="EI43" t="s">
        <v>3</v>
      </c>
      <c r="EJ43">
        <v>1</v>
      </c>
      <c r="EK43">
        <v>1100</v>
      </c>
      <c r="EL43" t="s">
        <v>23</v>
      </c>
      <c r="EM43" t="s">
        <v>24</v>
      </c>
      <c r="EO43" t="s">
        <v>3</v>
      </c>
      <c r="EQ43">
        <v>0</v>
      </c>
      <c r="ER43">
        <v>121.89999999999999</v>
      </c>
      <c r="ES43">
        <v>120.88000000000001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5</v>
      </c>
      <c r="FC43">
        <v>1</v>
      </c>
      <c r="FD43">
        <v>18</v>
      </c>
      <c r="FF43">
        <v>1135</v>
      </c>
      <c r="FQ43">
        <v>0</v>
      </c>
      <c r="FR43">
        <f t="shared" si="45"/>
        <v>0</v>
      </c>
      <c r="FS43">
        <v>0</v>
      </c>
      <c r="FX43">
        <v>0</v>
      </c>
      <c r="FY43">
        <v>0</v>
      </c>
      <c r="GA43" t="s">
        <v>102</v>
      </c>
      <c r="GD43">
        <v>1</v>
      </c>
      <c r="GF43">
        <v>-97933584</v>
      </c>
      <c r="GG43">
        <v>2</v>
      </c>
      <c r="GH43">
        <v>3</v>
      </c>
      <c r="GI43">
        <v>4</v>
      </c>
      <c r="GJ43">
        <v>0</v>
      </c>
      <c r="GK43">
        <v>0</v>
      </c>
      <c r="GL43">
        <f t="shared" si="46"/>
        <v>0</v>
      </c>
      <c r="GM43">
        <f t="shared" si="47"/>
        <v>36467.08</v>
      </c>
      <c r="GN43">
        <f t="shared" si="48"/>
        <v>36467.08</v>
      </c>
      <c r="GO43">
        <f t="shared" si="49"/>
        <v>0</v>
      </c>
      <c r="GP43">
        <f t="shared" si="50"/>
        <v>0</v>
      </c>
      <c r="GR43">
        <v>1</v>
      </c>
      <c r="GS43">
        <v>1</v>
      </c>
      <c r="GT43">
        <v>0</v>
      </c>
      <c r="GU43" t="s">
        <v>3</v>
      </c>
      <c r="GV43">
        <f t="shared" si="51"/>
        <v>0</v>
      </c>
      <c r="GW43">
        <v>1</v>
      </c>
      <c r="GX43">
        <f t="shared" si="52"/>
        <v>0</v>
      </c>
      <c r="HA43">
        <v>0</v>
      </c>
      <c r="HB43">
        <v>0</v>
      </c>
      <c r="HC43">
        <f t="shared" si="53"/>
        <v>0</v>
      </c>
      <c r="HE43" t="s">
        <v>55</v>
      </c>
      <c r="HF43" t="s">
        <v>27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E44" t="s">
        <v>103</v>
      </c>
      <c r="F44" t="s">
        <v>56</v>
      </c>
      <c r="G44" t="s">
        <v>104</v>
      </c>
      <c r="H44" t="s">
        <v>58</v>
      </c>
      <c r="I44">
        <v>5</v>
      </c>
      <c r="J44">
        <v>0</v>
      </c>
      <c r="K44">
        <v>5</v>
      </c>
      <c r="O44">
        <f t="shared" si="21"/>
        <v>3454.24</v>
      </c>
      <c r="P44">
        <f t="shared" si="22"/>
        <v>3454.24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145185703</v>
      </c>
      <c r="AB44">
        <f t="shared" si="32"/>
        <v>82.44</v>
      </c>
      <c r="AC44">
        <f t="shared" si="54"/>
        <v>82.44</v>
      </c>
      <c r="AD44">
        <f>ROUND((((ET44)-(EU44))+AE44),2)</f>
        <v>0</v>
      </c>
      <c r="AE44">
        <f t="shared" si="59"/>
        <v>0</v>
      </c>
      <c r="AF44">
        <f t="shared" si="59"/>
        <v>0</v>
      </c>
      <c r="AG44">
        <f t="shared" si="33"/>
        <v>0</v>
      </c>
      <c r="AH44">
        <f t="shared" si="60"/>
        <v>0</v>
      </c>
      <c r="AI44">
        <f t="shared" si="60"/>
        <v>0</v>
      </c>
      <c r="AJ44">
        <f t="shared" si="34"/>
        <v>0</v>
      </c>
      <c r="AK44">
        <v>82.44</v>
      </c>
      <c r="AL44">
        <v>82.44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8.3800000000000008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3</v>
      </c>
      <c r="BM44">
        <v>1100</v>
      </c>
      <c r="BN44">
        <v>0</v>
      </c>
      <c r="BO44" t="s">
        <v>3</v>
      </c>
      <c r="BP44">
        <v>0</v>
      </c>
      <c r="BQ44">
        <v>8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35"/>
        <v>3454.24</v>
      </c>
      <c r="CQ44">
        <f t="shared" si="36"/>
        <v>690.84720000000004</v>
      </c>
      <c r="CR44">
        <f>(((ET44)*BB44-(EU44)*BS44)+AE44*BS44)</f>
        <v>0</v>
      </c>
      <c r="CS44">
        <f t="shared" si="37"/>
        <v>0</v>
      </c>
      <c r="CT44">
        <f t="shared" si="38"/>
        <v>0</v>
      </c>
      <c r="CU44">
        <f t="shared" si="39"/>
        <v>0</v>
      </c>
      <c r="CV44">
        <f t="shared" si="40"/>
        <v>0</v>
      </c>
      <c r="CW44">
        <f t="shared" si="41"/>
        <v>0</v>
      </c>
      <c r="CX44">
        <f t="shared" si="42"/>
        <v>0</v>
      </c>
      <c r="CY44">
        <f t="shared" si="43"/>
        <v>0</v>
      </c>
      <c r="CZ44">
        <f t="shared" si="44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1010</v>
      </c>
      <c r="DV44" t="s">
        <v>58</v>
      </c>
      <c r="DW44" t="s">
        <v>58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140625274</v>
      </c>
      <c r="EF44">
        <v>8</v>
      </c>
      <c r="EG44" t="s">
        <v>22</v>
      </c>
      <c r="EH44">
        <v>0</v>
      </c>
      <c r="EI44" t="s">
        <v>3</v>
      </c>
      <c r="EJ44">
        <v>1</v>
      </c>
      <c r="EK44">
        <v>1100</v>
      </c>
      <c r="EL44" t="s">
        <v>23</v>
      </c>
      <c r="EM44" t="s">
        <v>24</v>
      </c>
      <c r="EO44" t="s">
        <v>3</v>
      </c>
      <c r="EQ44">
        <v>0</v>
      </c>
      <c r="ER44">
        <v>83.13</v>
      </c>
      <c r="ES44">
        <v>82.44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5</v>
      </c>
      <c r="FC44">
        <v>1</v>
      </c>
      <c r="FD44">
        <v>18</v>
      </c>
      <c r="FF44">
        <v>774</v>
      </c>
      <c r="FQ44">
        <v>0</v>
      </c>
      <c r="FR44">
        <f t="shared" si="45"/>
        <v>0</v>
      </c>
      <c r="FS44">
        <v>0</v>
      </c>
      <c r="FX44">
        <v>0</v>
      </c>
      <c r="FY44">
        <v>0</v>
      </c>
      <c r="GA44" t="s">
        <v>105</v>
      </c>
      <c r="GD44">
        <v>1</v>
      </c>
      <c r="GF44">
        <v>479115415</v>
      </c>
      <c r="GG44">
        <v>2</v>
      </c>
      <c r="GH44">
        <v>3</v>
      </c>
      <c r="GI44">
        <v>4</v>
      </c>
      <c r="GJ44">
        <v>0</v>
      </c>
      <c r="GK44">
        <v>0</v>
      </c>
      <c r="GL44">
        <f t="shared" si="46"/>
        <v>0</v>
      </c>
      <c r="GM44">
        <f t="shared" si="47"/>
        <v>3454.24</v>
      </c>
      <c r="GN44">
        <f t="shared" si="48"/>
        <v>3454.24</v>
      </c>
      <c r="GO44">
        <f t="shared" si="49"/>
        <v>0</v>
      </c>
      <c r="GP44">
        <f t="shared" si="50"/>
        <v>0</v>
      </c>
      <c r="GR44">
        <v>1</v>
      </c>
      <c r="GS44">
        <v>1</v>
      </c>
      <c r="GT44">
        <v>0</v>
      </c>
      <c r="GU44" t="s">
        <v>3</v>
      </c>
      <c r="GV44">
        <f t="shared" si="51"/>
        <v>0</v>
      </c>
      <c r="GW44">
        <v>1</v>
      </c>
      <c r="GX44">
        <f t="shared" si="52"/>
        <v>0</v>
      </c>
      <c r="HA44">
        <v>0</v>
      </c>
      <c r="HB44">
        <v>0</v>
      </c>
      <c r="HC44">
        <f t="shared" si="53"/>
        <v>0</v>
      </c>
      <c r="HE44" t="s">
        <v>55</v>
      </c>
      <c r="HF44" t="s">
        <v>27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E45" t="s">
        <v>106</v>
      </c>
      <c r="F45" t="s">
        <v>56</v>
      </c>
      <c r="G45" t="s">
        <v>107</v>
      </c>
      <c r="H45" t="s">
        <v>58</v>
      </c>
      <c r="I45">
        <v>36</v>
      </c>
      <c r="J45">
        <v>0</v>
      </c>
      <c r="K45">
        <v>36</v>
      </c>
      <c r="O45">
        <f t="shared" si="21"/>
        <v>8709.5</v>
      </c>
      <c r="P45">
        <f t="shared" si="22"/>
        <v>8709.5</v>
      </c>
      <c r="Q45">
        <f t="shared" si="23"/>
        <v>0</v>
      </c>
      <c r="R45">
        <f t="shared" si="24"/>
        <v>0</v>
      </c>
      <c r="S45">
        <f t="shared" si="25"/>
        <v>0</v>
      </c>
      <c r="T45">
        <f t="shared" si="26"/>
        <v>0</v>
      </c>
      <c r="U45">
        <f t="shared" si="27"/>
        <v>0</v>
      </c>
      <c r="V45">
        <f t="shared" si="28"/>
        <v>0</v>
      </c>
      <c r="W45">
        <f t="shared" si="29"/>
        <v>0</v>
      </c>
      <c r="X45">
        <f t="shared" si="30"/>
        <v>0</v>
      </c>
      <c r="Y45">
        <f t="shared" si="31"/>
        <v>0</v>
      </c>
      <c r="AA45">
        <v>145185703</v>
      </c>
      <c r="AB45">
        <f t="shared" si="32"/>
        <v>28.87</v>
      </c>
      <c r="AC45">
        <f t="shared" si="54"/>
        <v>28.87</v>
      </c>
      <c r="AD45">
        <f>ROUND((((ET45)-(EU45))+AE45),2)</f>
        <v>0</v>
      </c>
      <c r="AE45">
        <f t="shared" si="59"/>
        <v>0</v>
      </c>
      <c r="AF45">
        <f t="shared" si="59"/>
        <v>0</v>
      </c>
      <c r="AG45">
        <f t="shared" si="33"/>
        <v>0</v>
      </c>
      <c r="AH45">
        <f t="shared" si="60"/>
        <v>0</v>
      </c>
      <c r="AI45">
        <f t="shared" si="60"/>
        <v>0</v>
      </c>
      <c r="AJ45">
        <f t="shared" si="34"/>
        <v>0</v>
      </c>
      <c r="AK45">
        <v>28.87</v>
      </c>
      <c r="AL45">
        <v>28.87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8.3800000000000008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3</v>
      </c>
      <c r="BM45">
        <v>1100</v>
      </c>
      <c r="BN45">
        <v>0</v>
      </c>
      <c r="BO45" t="s">
        <v>3</v>
      </c>
      <c r="BP45">
        <v>0</v>
      </c>
      <c r="BQ45">
        <v>8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35"/>
        <v>8709.5</v>
      </c>
      <c r="CQ45">
        <f t="shared" si="36"/>
        <v>241.93060000000003</v>
      </c>
      <c r="CR45">
        <f>(((ET45)*BB45-(EU45)*BS45)+AE45*BS45)</f>
        <v>0</v>
      </c>
      <c r="CS45">
        <f t="shared" si="37"/>
        <v>0</v>
      </c>
      <c r="CT45">
        <f t="shared" si="38"/>
        <v>0</v>
      </c>
      <c r="CU45">
        <f t="shared" si="39"/>
        <v>0</v>
      </c>
      <c r="CV45">
        <f t="shared" si="40"/>
        <v>0</v>
      </c>
      <c r="CW45">
        <f t="shared" si="41"/>
        <v>0</v>
      </c>
      <c r="CX45">
        <f t="shared" si="42"/>
        <v>0</v>
      </c>
      <c r="CY45">
        <f t="shared" si="43"/>
        <v>0</v>
      </c>
      <c r="CZ45">
        <f t="shared" si="44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58</v>
      </c>
      <c r="DW45" t="s">
        <v>58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140625274</v>
      </c>
      <c r="EF45">
        <v>8</v>
      </c>
      <c r="EG45" t="s">
        <v>22</v>
      </c>
      <c r="EH45">
        <v>0</v>
      </c>
      <c r="EI45" t="s">
        <v>3</v>
      </c>
      <c r="EJ45">
        <v>1</v>
      </c>
      <c r="EK45">
        <v>1100</v>
      </c>
      <c r="EL45" t="s">
        <v>23</v>
      </c>
      <c r="EM45" t="s">
        <v>24</v>
      </c>
      <c r="EO45" t="s">
        <v>3</v>
      </c>
      <c r="EQ45">
        <v>0</v>
      </c>
      <c r="ER45">
        <v>29.11</v>
      </c>
      <c r="ES45">
        <v>28.87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5</v>
      </c>
      <c r="FC45">
        <v>1</v>
      </c>
      <c r="FD45">
        <v>18</v>
      </c>
      <c r="FF45">
        <v>271</v>
      </c>
      <c r="FQ45">
        <v>0</v>
      </c>
      <c r="FR45">
        <f t="shared" si="45"/>
        <v>0</v>
      </c>
      <c r="FS45">
        <v>0</v>
      </c>
      <c r="FX45">
        <v>0</v>
      </c>
      <c r="FY45">
        <v>0</v>
      </c>
      <c r="GA45" t="s">
        <v>108</v>
      </c>
      <c r="GD45">
        <v>1</v>
      </c>
      <c r="GF45">
        <v>-46133690</v>
      </c>
      <c r="GG45">
        <v>2</v>
      </c>
      <c r="GH45">
        <v>3</v>
      </c>
      <c r="GI45">
        <v>4</v>
      </c>
      <c r="GJ45">
        <v>0</v>
      </c>
      <c r="GK45">
        <v>0</v>
      </c>
      <c r="GL45">
        <f t="shared" si="46"/>
        <v>0</v>
      </c>
      <c r="GM45">
        <f t="shared" si="47"/>
        <v>8709.5</v>
      </c>
      <c r="GN45">
        <f t="shared" si="48"/>
        <v>8709.5</v>
      </c>
      <c r="GO45">
        <f t="shared" si="49"/>
        <v>0</v>
      </c>
      <c r="GP45">
        <f t="shared" si="50"/>
        <v>0</v>
      </c>
      <c r="GR45">
        <v>1</v>
      </c>
      <c r="GS45">
        <v>1</v>
      </c>
      <c r="GT45">
        <v>0</v>
      </c>
      <c r="GU45" t="s">
        <v>3</v>
      </c>
      <c r="GV45">
        <f t="shared" si="51"/>
        <v>0</v>
      </c>
      <c r="GW45">
        <v>1</v>
      </c>
      <c r="GX45">
        <f t="shared" si="52"/>
        <v>0</v>
      </c>
      <c r="HA45">
        <v>0</v>
      </c>
      <c r="HB45">
        <v>0</v>
      </c>
      <c r="HC45">
        <f t="shared" si="53"/>
        <v>0</v>
      </c>
      <c r="HE45" t="s">
        <v>55</v>
      </c>
      <c r="HF45" t="s">
        <v>27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C46">
        <f>ROW(SmtRes!A47)</f>
        <v>47</v>
      </c>
      <c r="D46">
        <f>ROW(EtalonRes!A47)</f>
        <v>47</v>
      </c>
      <c r="E46" t="s">
        <v>109</v>
      </c>
      <c r="F46" t="s">
        <v>110</v>
      </c>
      <c r="G46" t="s">
        <v>111</v>
      </c>
      <c r="H46" t="s">
        <v>112</v>
      </c>
      <c r="I46">
        <v>5</v>
      </c>
      <c r="J46">
        <v>0</v>
      </c>
      <c r="K46">
        <v>5</v>
      </c>
      <c r="O46">
        <f t="shared" si="21"/>
        <v>454.81</v>
      </c>
      <c r="P46">
        <f t="shared" si="22"/>
        <v>0</v>
      </c>
      <c r="Q46">
        <f t="shared" si="23"/>
        <v>0</v>
      </c>
      <c r="R46">
        <f t="shared" si="24"/>
        <v>0</v>
      </c>
      <c r="S46">
        <f t="shared" si="25"/>
        <v>454.81</v>
      </c>
      <c r="T46">
        <f t="shared" si="26"/>
        <v>0</v>
      </c>
      <c r="U46">
        <f t="shared" si="27"/>
        <v>1.0349999999999999</v>
      </c>
      <c r="V46">
        <f t="shared" si="28"/>
        <v>0</v>
      </c>
      <c r="W46">
        <f t="shared" si="29"/>
        <v>0</v>
      </c>
      <c r="X46">
        <f t="shared" si="30"/>
        <v>495.74</v>
      </c>
      <c r="Y46">
        <f t="shared" si="31"/>
        <v>220.36</v>
      </c>
      <c r="AA46">
        <v>145185703</v>
      </c>
      <c r="AB46">
        <f t="shared" si="32"/>
        <v>1.99</v>
      </c>
      <c r="AC46">
        <f t="shared" si="54"/>
        <v>0</v>
      </c>
      <c r="AD46">
        <f>ROUND(((((ET46*1.25))-((EU46*1.25)))+AE46),2)</f>
        <v>0</v>
      </c>
      <c r="AE46">
        <f>ROUND(((EU46*1.25)),2)</f>
        <v>0</v>
      </c>
      <c r="AF46">
        <f>ROUND(((EV46*1.15)),2)</f>
        <v>1.99</v>
      </c>
      <c r="AG46">
        <f t="shared" si="33"/>
        <v>0</v>
      </c>
      <c r="AH46">
        <f>((EW46*1.15))</f>
        <v>0.20699999999999999</v>
      </c>
      <c r="AI46">
        <f>((EX46*1.25))</f>
        <v>0</v>
      </c>
      <c r="AJ46">
        <f t="shared" si="34"/>
        <v>0</v>
      </c>
      <c r="AK46">
        <v>1.73</v>
      </c>
      <c r="AL46">
        <v>0</v>
      </c>
      <c r="AM46">
        <v>0</v>
      </c>
      <c r="AN46">
        <v>0</v>
      </c>
      <c r="AO46">
        <v>1.73</v>
      </c>
      <c r="AP46">
        <v>0</v>
      </c>
      <c r="AQ46">
        <v>0.18</v>
      </c>
      <c r="AR46">
        <v>0</v>
      </c>
      <c r="AS46">
        <v>0</v>
      </c>
      <c r="AT46">
        <v>109</v>
      </c>
      <c r="AU46">
        <v>48.45</v>
      </c>
      <c r="AV46">
        <v>1</v>
      </c>
      <c r="AW46">
        <v>1</v>
      </c>
      <c r="AZ46">
        <v>1</v>
      </c>
      <c r="BA46">
        <v>45.71</v>
      </c>
      <c r="BB46">
        <v>13.41</v>
      </c>
      <c r="BC46">
        <v>8.3800000000000008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1</v>
      </c>
      <c r="BJ46" t="s">
        <v>113</v>
      </c>
      <c r="BM46">
        <v>12001</v>
      </c>
      <c r="BN46">
        <v>0</v>
      </c>
      <c r="BO46" t="s">
        <v>3</v>
      </c>
      <c r="BP46">
        <v>0</v>
      </c>
      <c r="BQ46">
        <v>2</v>
      </c>
      <c r="BR46">
        <v>0</v>
      </c>
      <c r="BS46">
        <v>45.71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109</v>
      </c>
      <c r="CA46">
        <v>57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548</v>
      </c>
      <c r="CO46">
        <v>0</v>
      </c>
      <c r="CP46">
        <f t="shared" si="35"/>
        <v>454.81</v>
      </c>
      <c r="CQ46">
        <f t="shared" si="36"/>
        <v>0</v>
      </c>
      <c r="CR46">
        <f>((((ET46*1.25))*BB46-((EU46*1.25))*BS46)+AE46*BS46)</f>
        <v>0</v>
      </c>
      <c r="CS46">
        <f t="shared" si="37"/>
        <v>0</v>
      </c>
      <c r="CT46">
        <f t="shared" si="38"/>
        <v>90.962900000000005</v>
      </c>
      <c r="CU46">
        <f t="shared" si="39"/>
        <v>0</v>
      </c>
      <c r="CV46">
        <f t="shared" si="40"/>
        <v>0.20699999999999999</v>
      </c>
      <c r="CW46">
        <f t="shared" si="41"/>
        <v>0</v>
      </c>
      <c r="CX46">
        <f t="shared" si="42"/>
        <v>0</v>
      </c>
      <c r="CY46">
        <f t="shared" si="43"/>
        <v>495.74290000000002</v>
      </c>
      <c r="CZ46">
        <f t="shared" si="44"/>
        <v>220.355445</v>
      </c>
      <c r="DC46" t="s">
        <v>3</v>
      </c>
      <c r="DD46" t="s">
        <v>3</v>
      </c>
      <c r="DE46" t="s">
        <v>42</v>
      </c>
      <c r="DF46" t="s">
        <v>42</v>
      </c>
      <c r="DG46" t="s">
        <v>43</v>
      </c>
      <c r="DH46" t="s">
        <v>3</v>
      </c>
      <c r="DI46" t="s">
        <v>43</v>
      </c>
      <c r="DJ46" t="s">
        <v>42</v>
      </c>
      <c r="DK46" t="s">
        <v>3</v>
      </c>
      <c r="DL46" t="s">
        <v>3</v>
      </c>
      <c r="DM46" t="s">
        <v>44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112</v>
      </c>
      <c r="DW46" t="s">
        <v>112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140625032</v>
      </c>
      <c r="EF46">
        <v>2</v>
      </c>
      <c r="EG46" t="s">
        <v>32</v>
      </c>
      <c r="EH46">
        <v>12</v>
      </c>
      <c r="EI46" t="s">
        <v>65</v>
      </c>
      <c r="EJ46">
        <v>1</v>
      </c>
      <c r="EK46">
        <v>12001</v>
      </c>
      <c r="EL46" t="s">
        <v>65</v>
      </c>
      <c r="EM46" t="s">
        <v>66</v>
      </c>
      <c r="EO46" t="s">
        <v>47</v>
      </c>
      <c r="EQ46">
        <v>0</v>
      </c>
      <c r="ER46">
        <v>1.73</v>
      </c>
      <c r="ES46">
        <v>0</v>
      </c>
      <c r="ET46">
        <v>0</v>
      </c>
      <c r="EU46">
        <v>0</v>
      </c>
      <c r="EV46">
        <v>1.73</v>
      </c>
      <c r="EW46">
        <v>0.18</v>
      </c>
      <c r="EX46">
        <v>0</v>
      </c>
      <c r="EY46">
        <v>0</v>
      </c>
      <c r="FQ46">
        <v>0</v>
      </c>
      <c r="FR46">
        <f t="shared" si="45"/>
        <v>0</v>
      </c>
      <c r="FS46">
        <v>0</v>
      </c>
      <c r="FX46">
        <v>109</v>
      </c>
      <c r="FY46">
        <v>48.45</v>
      </c>
      <c r="GA46" t="s">
        <v>3</v>
      </c>
      <c r="GD46">
        <v>1</v>
      </c>
      <c r="GF46">
        <v>334947353</v>
      </c>
      <c r="GG46">
        <v>2</v>
      </c>
      <c r="GH46">
        <v>1</v>
      </c>
      <c r="GI46">
        <v>4</v>
      </c>
      <c r="GJ46">
        <v>0</v>
      </c>
      <c r="GK46">
        <v>0</v>
      </c>
      <c r="GL46">
        <f t="shared" si="46"/>
        <v>0</v>
      </c>
      <c r="GM46">
        <f t="shared" si="47"/>
        <v>1170.9100000000001</v>
      </c>
      <c r="GN46">
        <f t="shared" si="48"/>
        <v>1170.9100000000001</v>
      </c>
      <c r="GO46">
        <f t="shared" si="49"/>
        <v>0</v>
      </c>
      <c r="GP46">
        <f t="shared" si="50"/>
        <v>0</v>
      </c>
      <c r="GR46">
        <v>0</v>
      </c>
      <c r="GS46">
        <v>3</v>
      </c>
      <c r="GT46">
        <v>0</v>
      </c>
      <c r="GU46" t="s">
        <v>3</v>
      </c>
      <c r="GV46">
        <f t="shared" si="51"/>
        <v>0</v>
      </c>
      <c r="GW46">
        <v>1</v>
      </c>
      <c r="GX46">
        <f t="shared" si="52"/>
        <v>0</v>
      </c>
      <c r="HA46">
        <v>0</v>
      </c>
      <c r="HB46">
        <v>0</v>
      </c>
      <c r="HC46">
        <f t="shared" si="53"/>
        <v>0</v>
      </c>
      <c r="HE46" t="s">
        <v>3</v>
      </c>
      <c r="HF46" t="s">
        <v>3</v>
      </c>
      <c r="HM46" t="s">
        <v>3</v>
      </c>
      <c r="HN46" t="s">
        <v>67</v>
      </c>
      <c r="HO46" t="s">
        <v>68</v>
      </c>
      <c r="HP46" t="s">
        <v>65</v>
      </c>
      <c r="HQ46" t="s">
        <v>65</v>
      </c>
      <c r="IK46">
        <v>0</v>
      </c>
    </row>
    <row r="47" spans="1:245" x14ac:dyDescent="0.2">
      <c r="A47">
        <v>17</v>
      </c>
      <c r="B47">
        <v>1</v>
      </c>
      <c r="E47" t="s">
        <v>114</v>
      </c>
      <c r="F47" t="s">
        <v>56</v>
      </c>
      <c r="G47" t="s">
        <v>115</v>
      </c>
      <c r="H47" t="s">
        <v>58</v>
      </c>
      <c r="I47">
        <v>5</v>
      </c>
      <c r="J47">
        <v>0</v>
      </c>
      <c r="K47">
        <v>5</v>
      </c>
      <c r="O47">
        <f t="shared" si="21"/>
        <v>6430.81</v>
      </c>
      <c r="P47">
        <f t="shared" si="22"/>
        <v>6430.81</v>
      </c>
      <c r="Q47">
        <f t="shared" si="23"/>
        <v>0</v>
      </c>
      <c r="R47">
        <f t="shared" si="24"/>
        <v>0</v>
      </c>
      <c r="S47">
        <f t="shared" si="25"/>
        <v>0</v>
      </c>
      <c r="T47">
        <f t="shared" si="26"/>
        <v>0</v>
      </c>
      <c r="U47">
        <f t="shared" si="27"/>
        <v>0</v>
      </c>
      <c r="V47">
        <f t="shared" si="28"/>
        <v>0</v>
      </c>
      <c r="W47">
        <f t="shared" si="29"/>
        <v>0</v>
      </c>
      <c r="X47">
        <f t="shared" si="30"/>
        <v>0</v>
      </c>
      <c r="Y47">
        <f t="shared" si="31"/>
        <v>0</v>
      </c>
      <c r="AA47">
        <v>145185703</v>
      </c>
      <c r="AB47">
        <f t="shared" si="32"/>
        <v>153.47999999999999</v>
      </c>
      <c r="AC47">
        <f t="shared" si="54"/>
        <v>153.47999999999999</v>
      </c>
      <c r="AD47">
        <f>ROUND((((ET47)-(EU47))+AE47),2)</f>
        <v>0</v>
      </c>
      <c r="AE47">
        <f>ROUND((EU47),2)</f>
        <v>0</v>
      </c>
      <c r="AF47">
        <f>ROUND((EV47),2)</f>
        <v>0</v>
      </c>
      <c r="AG47">
        <f t="shared" si="33"/>
        <v>0</v>
      </c>
      <c r="AH47">
        <f>(EW47)</f>
        <v>0</v>
      </c>
      <c r="AI47">
        <f>(EX47)</f>
        <v>0</v>
      </c>
      <c r="AJ47">
        <f t="shared" si="34"/>
        <v>0</v>
      </c>
      <c r="AK47">
        <v>153.47999999999999</v>
      </c>
      <c r="AL47">
        <v>153.47999999999999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8.3800000000000008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1</v>
      </c>
      <c r="BJ47" t="s">
        <v>3</v>
      </c>
      <c r="BM47">
        <v>1100</v>
      </c>
      <c r="BN47">
        <v>0</v>
      </c>
      <c r="BO47" t="s">
        <v>3</v>
      </c>
      <c r="BP47">
        <v>0</v>
      </c>
      <c r="BQ47">
        <v>8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0</v>
      </c>
      <c r="CA47">
        <v>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35"/>
        <v>6430.81</v>
      </c>
      <c r="CQ47">
        <f t="shared" si="36"/>
        <v>1286.1623999999999</v>
      </c>
      <c r="CR47">
        <f>(((ET47)*BB47-(EU47)*BS47)+AE47*BS47)</f>
        <v>0</v>
      </c>
      <c r="CS47">
        <f t="shared" si="37"/>
        <v>0</v>
      </c>
      <c r="CT47">
        <f t="shared" si="38"/>
        <v>0</v>
      </c>
      <c r="CU47">
        <f t="shared" si="39"/>
        <v>0</v>
      </c>
      <c r="CV47">
        <f t="shared" si="40"/>
        <v>0</v>
      </c>
      <c r="CW47">
        <f t="shared" si="41"/>
        <v>0</v>
      </c>
      <c r="CX47">
        <f t="shared" si="42"/>
        <v>0</v>
      </c>
      <c r="CY47">
        <f t="shared" si="43"/>
        <v>0</v>
      </c>
      <c r="CZ47">
        <f t="shared" si="44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58</v>
      </c>
      <c r="DW47" t="s">
        <v>58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140625274</v>
      </c>
      <c r="EF47">
        <v>8</v>
      </c>
      <c r="EG47" t="s">
        <v>22</v>
      </c>
      <c r="EH47">
        <v>0</v>
      </c>
      <c r="EI47" t="s">
        <v>3</v>
      </c>
      <c r="EJ47">
        <v>1</v>
      </c>
      <c r="EK47">
        <v>1100</v>
      </c>
      <c r="EL47" t="s">
        <v>23</v>
      </c>
      <c r="EM47" t="s">
        <v>24</v>
      </c>
      <c r="EO47" t="s">
        <v>3</v>
      </c>
      <c r="EQ47">
        <v>0</v>
      </c>
      <c r="ER47">
        <v>154.76</v>
      </c>
      <c r="ES47">
        <v>153.47999999999999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5</v>
      </c>
      <c r="FC47">
        <v>1</v>
      </c>
      <c r="FD47">
        <v>18</v>
      </c>
      <c r="FF47">
        <v>1441</v>
      </c>
      <c r="FQ47">
        <v>0</v>
      </c>
      <c r="FR47">
        <f t="shared" si="45"/>
        <v>0</v>
      </c>
      <c r="FS47">
        <v>0</v>
      </c>
      <c r="FX47">
        <v>0</v>
      </c>
      <c r="FY47">
        <v>0</v>
      </c>
      <c r="GA47" t="s">
        <v>116</v>
      </c>
      <c r="GD47">
        <v>1</v>
      </c>
      <c r="GF47">
        <v>-1024083727</v>
      </c>
      <c r="GG47">
        <v>2</v>
      </c>
      <c r="GH47">
        <v>3</v>
      </c>
      <c r="GI47">
        <v>4</v>
      </c>
      <c r="GJ47">
        <v>0</v>
      </c>
      <c r="GK47">
        <v>0</v>
      </c>
      <c r="GL47">
        <f t="shared" si="46"/>
        <v>0</v>
      </c>
      <c r="GM47">
        <f t="shared" si="47"/>
        <v>6430.81</v>
      </c>
      <c r="GN47">
        <f t="shared" si="48"/>
        <v>6430.81</v>
      </c>
      <c r="GO47">
        <f t="shared" si="49"/>
        <v>0</v>
      </c>
      <c r="GP47">
        <f t="shared" si="50"/>
        <v>0</v>
      </c>
      <c r="GR47">
        <v>1</v>
      </c>
      <c r="GS47">
        <v>1</v>
      </c>
      <c r="GT47">
        <v>0</v>
      </c>
      <c r="GU47" t="s">
        <v>3</v>
      </c>
      <c r="GV47">
        <f t="shared" si="51"/>
        <v>0</v>
      </c>
      <c r="GW47">
        <v>1</v>
      </c>
      <c r="GX47">
        <f t="shared" si="52"/>
        <v>0</v>
      </c>
      <c r="HA47">
        <v>0</v>
      </c>
      <c r="HB47">
        <v>0</v>
      </c>
      <c r="HC47">
        <f t="shared" si="53"/>
        <v>0</v>
      </c>
      <c r="HE47" t="s">
        <v>55</v>
      </c>
      <c r="HF47" t="s">
        <v>27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17</v>
      </c>
      <c r="B48">
        <v>1</v>
      </c>
      <c r="C48">
        <f>ROW(SmtRes!A49)</f>
        <v>49</v>
      </c>
      <c r="D48">
        <f>ROW(EtalonRes!A49)</f>
        <v>49</v>
      </c>
      <c r="E48" t="s">
        <v>117</v>
      </c>
      <c r="F48" t="s">
        <v>118</v>
      </c>
      <c r="G48" t="s">
        <v>119</v>
      </c>
      <c r="H48" t="s">
        <v>112</v>
      </c>
      <c r="I48">
        <v>10</v>
      </c>
      <c r="J48">
        <v>0</v>
      </c>
      <c r="K48">
        <v>10</v>
      </c>
      <c r="O48">
        <f t="shared" si="21"/>
        <v>603.37</v>
      </c>
      <c r="P48">
        <f t="shared" si="22"/>
        <v>0</v>
      </c>
      <c r="Q48">
        <f t="shared" si="23"/>
        <v>0</v>
      </c>
      <c r="R48">
        <f t="shared" si="24"/>
        <v>0</v>
      </c>
      <c r="S48">
        <f t="shared" si="25"/>
        <v>603.37</v>
      </c>
      <c r="T48">
        <f t="shared" si="26"/>
        <v>0</v>
      </c>
      <c r="U48">
        <f t="shared" si="27"/>
        <v>1.38</v>
      </c>
      <c r="V48">
        <f t="shared" si="28"/>
        <v>0</v>
      </c>
      <c r="W48">
        <f t="shared" si="29"/>
        <v>0</v>
      </c>
      <c r="X48">
        <f t="shared" si="30"/>
        <v>657.67</v>
      </c>
      <c r="Y48">
        <f t="shared" si="31"/>
        <v>292.33</v>
      </c>
      <c r="AA48">
        <v>145185703</v>
      </c>
      <c r="AB48">
        <f t="shared" si="32"/>
        <v>1.32</v>
      </c>
      <c r="AC48">
        <f t="shared" si="54"/>
        <v>0</v>
      </c>
      <c r="AD48">
        <f>ROUND(((((ET48*1.25))-((EU48*1.25)))+AE48),2)</f>
        <v>0</v>
      </c>
      <c r="AE48">
        <f>ROUND(((EU48*1.25)),2)</f>
        <v>0</v>
      </c>
      <c r="AF48">
        <f>ROUND(((EV48*1.15)),2)</f>
        <v>1.32</v>
      </c>
      <c r="AG48">
        <f t="shared" si="33"/>
        <v>0</v>
      </c>
      <c r="AH48">
        <f>((EW48*1.15))</f>
        <v>0.13799999999999998</v>
      </c>
      <c r="AI48">
        <f>((EX48*1.25))</f>
        <v>0</v>
      </c>
      <c r="AJ48">
        <f t="shared" si="34"/>
        <v>0</v>
      </c>
      <c r="AK48">
        <v>1.1499999999999999</v>
      </c>
      <c r="AL48">
        <v>0</v>
      </c>
      <c r="AM48">
        <v>0</v>
      </c>
      <c r="AN48">
        <v>0</v>
      </c>
      <c r="AO48">
        <v>1.1499999999999999</v>
      </c>
      <c r="AP48">
        <v>0</v>
      </c>
      <c r="AQ48">
        <v>0.12</v>
      </c>
      <c r="AR48">
        <v>0</v>
      </c>
      <c r="AS48">
        <v>0</v>
      </c>
      <c r="AT48">
        <v>109</v>
      </c>
      <c r="AU48">
        <v>48.45</v>
      </c>
      <c r="AV48">
        <v>1</v>
      </c>
      <c r="AW48">
        <v>1</v>
      </c>
      <c r="AZ48">
        <v>1</v>
      </c>
      <c r="BA48">
        <v>45.71</v>
      </c>
      <c r="BB48">
        <v>13.41</v>
      </c>
      <c r="BC48">
        <v>8.3800000000000008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1</v>
      </c>
      <c r="BJ48" t="s">
        <v>120</v>
      </c>
      <c r="BM48">
        <v>12001</v>
      </c>
      <c r="BN48">
        <v>0</v>
      </c>
      <c r="BO48" t="s">
        <v>3</v>
      </c>
      <c r="BP48">
        <v>0</v>
      </c>
      <c r="BQ48">
        <v>2</v>
      </c>
      <c r="BR48">
        <v>0</v>
      </c>
      <c r="BS48">
        <v>45.71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109</v>
      </c>
      <c r="CA48">
        <v>57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548</v>
      </c>
      <c r="CO48">
        <v>0</v>
      </c>
      <c r="CP48">
        <f t="shared" si="35"/>
        <v>603.37</v>
      </c>
      <c r="CQ48">
        <f t="shared" si="36"/>
        <v>0</v>
      </c>
      <c r="CR48">
        <f>((((ET48*1.25))*BB48-((EU48*1.25))*BS48)+AE48*BS48)</f>
        <v>0</v>
      </c>
      <c r="CS48">
        <f t="shared" si="37"/>
        <v>0</v>
      </c>
      <c r="CT48">
        <f t="shared" si="38"/>
        <v>60.337200000000003</v>
      </c>
      <c r="CU48">
        <f t="shared" si="39"/>
        <v>0</v>
      </c>
      <c r="CV48">
        <f t="shared" si="40"/>
        <v>0.13799999999999998</v>
      </c>
      <c r="CW48">
        <f t="shared" si="41"/>
        <v>0</v>
      </c>
      <c r="CX48">
        <f t="shared" si="42"/>
        <v>0</v>
      </c>
      <c r="CY48">
        <f t="shared" si="43"/>
        <v>657.67330000000004</v>
      </c>
      <c r="CZ48">
        <f t="shared" si="44"/>
        <v>292.33276500000005</v>
      </c>
      <c r="DC48" t="s">
        <v>3</v>
      </c>
      <c r="DD48" t="s">
        <v>3</v>
      </c>
      <c r="DE48" t="s">
        <v>42</v>
      </c>
      <c r="DF48" t="s">
        <v>42</v>
      </c>
      <c r="DG48" t="s">
        <v>43</v>
      </c>
      <c r="DH48" t="s">
        <v>3</v>
      </c>
      <c r="DI48" t="s">
        <v>43</v>
      </c>
      <c r="DJ48" t="s">
        <v>42</v>
      </c>
      <c r="DK48" t="s">
        <v>3</v>
      </c>
      <c r="DL48" t="s">
        <v>3</v>
      </c>
      <c r="DM48" t="s">
        <v>44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112</v>
      </c>
      <c r="DW48" t="s">
        <v>112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140625032</v>
      </c>
      <c r="EF48">
        <v>2</v>
      </c>
      <c r="EG48" t="s">
        <v>32</v>
      </c>
      <c r="EH48">
        <v>12</v>
      </c>
      <c r="EI48" t="s">
        <v>65</v>
      </c>
      <c r="EJ48">
        <v>1</v>
      </c>
      <c r="EK48">
        <v>12001</v>
      </c>
      <c r="EL48" t="s">
        <v>65</v>
      </c>
      <c r="EM48" t="s">
        <v>66</v>
      </c>
      <c r="EO48" t="s">
        <v>47</v>
      </c>
      <c r="EQ48">
        <v>0</v>
      </c>
      <c r="ER48">
        <v>1.1499999999999999</v>
      </c>
      <c r="ES48">
        <v>0</v>
      </c>
      <c r="ET48">
        <v>0</v>
      </c>
      <c r="EU48">
        <v>0</v>
      </c>
      <c r="EV48">
        <v>1.1499999999999999</v>
      </c>
      <c r="EW48">
        <v>0.12</v>
      </c>
      <c r="EX48">
        <v>0</v>
      </c>
      <c r="EY48">
        <v>0</v>
      </c>
      <c r="FQ48">
        <v>0</v>
      </c>
      <c r="FR48">
        <f t="shared" si="45"/>
        <v>0</v>
      </c>
      <c r="FS48">
        <v>0</v>
      </c>
      <c r="FX48">
        <v>109</v>
      </c>
      <c r="FY48">
        <v>48.45</v>
      </c>
      <c r="GA48" t="s">
        <v>3</v>
      </c>
      <c r="GD48">
        <v>1</v>
      </c>
      <c r="GF48">
        <v>1529107583</v>
      </c>
      <c r="GG48">
        <v>2</v>
      </c>
      <c r="GH48">
        <v>1</v>
      </c>
      <c r="GI48">
        <v>4</v>
      </c>
      <c r="GJ48">
        <v>0</v>
      </c>
      <c r="GK48">
        <v>0</v>
      </c>
      <c r="GL48">
        <f t="shared" si="46"/>
        <v>0</v>
      </c>
      <c r="GM48">
        <f t="shared" si="47"/>
        <v>1553.37</v>
      </c>
      <c r="GN48">
        <f t="shared" si="48"/>
        <v>1553.37</v>
      </c>
      <c r="GO48">
        <f t="shared" si="49"/>
        <v>0</v>
      </c>
      <c r="GP48">
        <f t="shared" si="50"/>
        <v>0</v>
      </c>
      <c r="GR48">
        <v>0</v>
      </c>
      <c r="GS48">
        <v>3</v>
      </c>
      <c r="GT48">
        <v>0</v>
      </c>
      <c r="GU48" t="s">
        <v>3</v>
      </c>
      <c r="GV48">
        <f t="shared" si="51"/>
        <v>0</v>
      </c>
      <c r="GW48">
        <v>1</v>
      </c>
      <c r="GX48">
        <f t="shared" si="52"/>
        <v>0</v>
      </c>
      <c r="HA48">
        <v>0</v>
      </c>
      <c r="HB48">
        <v>0</v>
      </c>
      <c r="HC48">
        <f t="shared" si="53"/>
        <v>0</v>
      </c>
      <c r="HE48" t="s">
        <v>3</v>
      </c>
      <c r="HF48" t="s">
        <v>3</v>
      </c>
      <c r="HM48" t="s">
        <v>3</v>
      </c>
      <c r="HN48" t="s">
        <v>67</v>
      </c>
      <c r="HO48" t="s">
        <v>68</v>
      </c>
      <c r="HP48" t="s">
        <v>65</v>
      </c>
      <c r="HQ48" t="s">
        <v>65</v>
      </c>
      <c r="IK48">
        <v>0</v>
      </c>
    </row>
    <row r="49" spans="1:245" x14ac:dyDescent="0.2">
      <c r="A49">
        <v>17</v>
      </c>
      <c r="B49">
        <v>1</v>
      </c>
      <c r="E49" t="s">
        <v>121</v>
      </c>
      <c r="F49" t="s">
        <v>56</v>
      </c>
      <c r="G49" t="s">
        <v>122</v>
      </c>
      <c r="H49" t="s">
        <v>58</v>
      </c>
      <c r="I49">
        <v>10</v>
      </c>
      <c r="J49">
        <v>0</v>
      </c>
      <c r="K49">
        <v>10</v>
      </c>
      <c r="O49">
        <f t="shared" si="21"/>
        <v>6908.47</v>
      </c>
      <c r="P49">
        <f t="shared" si="22"/>
        <v>6908.47</v>
      </c>
      <c r="Q49">
        <f t="shared" si="23"/>
        <v>0</v>
      </c>
      <c r="R49">
        <f t="shared" si="24"/>
        <v>0</v>
      </c>
      <c r="S49">
        <f t="shared" si="25"/>
        <v>0</v>
      </c>
      <c r="T49">
        <f t="shared" si="26"/>
        <v>0</v>
      </c>
      <c r="U49">
        <f t="shared" si="27"/>
        <v>0</v>
      </c>
      <c r="V49">
        <f t="shared" si="28"/>
        <v>0</v>
      </c>
      <c r="W49">
        <f t="shared" si="29"/>
        <v>0</v>
      </c>
      <c r="X49">
        <f t="shared" si="30"/>
        <v>0</v>
      </c>
      <c r="Y49">
        <f t="shared" si="31"/>
        <v>0</v>
      </c>
      <c r="AA49">
        <v>145185703</v>
      </c>
      <c r="AB49">
        <f t="shared" si="32"/>
        <v>82.44</v>
      </c>
      <c r="AC49">
        <f t="shared" si="54"/>
        <v>82.44</v>
      </c>
      <c r="AD49">
        <f>ROUND((((ET49)-(EU49))+AE49),2)</f>
        <v>0</v>
      </c>
      <c r="AE49">
        <f>ROUND((EU49),2)</f>
        <v>0</v>
      </c>
      <c r="AF49">
        <f>ROUND((EV49),2)</f>
        <v>0</v>
      </c>
      <c r="AG49">
        <f t="shared" si="33"/>
        <v>0</v>
      </c>
      <c r="AH49">
        <f>(EW49)</f>
        <v>0</v>
      </c>
      <c r="AI49">
        <f>(EX49)</f>
        <v>0</v>
      </c>
      <c r="AJ49">
        <f t="shared" si="34"/>
        <v>0</v>
      </c>
      <c r="AK49">
        <v>82.44</v>
      </c>
      <c r="AL49">
        <v>82.44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8.3800000000000008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1</v>
      </c>
      <c r="BJ49" t="s">
        <v>3</v>
      </c>
      <c r="BM49">
        <v>1100</v>
      </c>
      <c r="BN49">
        <v>0</v>
      </c>
      <c r="BO49" t="s">
        <v>3</v>
      </c>
      <c r="BP49">
        <v>0</v>
      </c>
      <c r="BQ49">
        <v>8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0</v>
      </c>
      <c r="CA49">
        <v>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35"/>
        <v>6908.47</v>
      </c>
      <c r="CQ49">
        <f t="shared" si="36"/>
        <v>690.84720000000004</v>
      </c>
      <c r="CR49">
        <f>(((ET49)*BB49-(EU49)*BS49)+AE49*BS49)</f>
        <v>0</v>
      </c>
      <c r="CS49">
        <f t="shared" si="37"/>
        <v>0</v>
      </c>
      <c r="CT49">
        <f t="shared" si="38"/>
        <v>0</v>
      </c>
      <c r="CU49">
        <f t="shared" si="39"/>
        <v>0</v>
      </c>
      <c r="CV49">
        <f t="shared" si="40"/>
        <v>0</v>
      </c>
      <c r="CW49">
        <f t="shared" si="41"/>
        <v>0</v>
      </c>
      <c r="CX49">
        <f t="shared" si="42"/>
        <v>0</v>
      </c>
      <c r="CY49">
        <f t="shared" si="43"/>
        <v>0</v>
      </c>
      <c r="CZ49">
        <f t="shared" si="44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1010</v>
      </c>
      <c r="DV49" t="s">
        <v>58</v>
      </c>
      <c r="DW49" t="s">
        <v>58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140625274</v>
      </c>
      <c r="EF49">
        <v>8</v>
      </c>
      <c r="EG49" t="s">
        <v>22</v>
      </c>
      <c r="EH49">
        <v>0</v>
      </c>
      <c r="EI49" t="s">
        <v>3</v>
      </c>
      <c r="EJ49">
        <v>1</v>
      </c>
      <c r="EK49">
        <v>1100</v>
      </c>
      <c r="EL49" t="s">
        <v>23</v>
      </c>
      <c r="EM49" t="s">
        <v>24</v>
      </c>
      <c r="EO49" t="s">
        <v>3</v>
      </c>
      <c r="EQ49">
        <v>0</v>
      </c>
      <c r="ER49">
        <v>83.13</v>
      </c>
      <c r="ES49">
        <v>82.44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5</v>
      </c>
      <c r="FC49">
        <v>1</v>
      </c>
      <c r="FD49">
        <v>18</v>
      </c>
      <c r="FF49">
        <v>774</v>
      </c>
      <c r="FQ49">
        <v>0</v>
      </c>
      <c r="FR49">
        <f t="shared" si="45"/>
        <v>0</v>
      </c>
      <c r="FS49">
        <v>0</v>
      </c>
      <c r="FX49">
        <v>0</v>
      </c>
      <c r="FY49">
        <v>0</v>
      </c>
      <c r="GA49" t="s">
        <v>105</v>
      </c>
      <c r="GD49">
        <v>1</v>
      </c>
      <c r="GF49">
        <v>1479524019</v>
      </c>
      <c r="GG49">
        <v>2</v>
      </c>
      <c r="GH49">
        <v>3</v>
      </c>
      <c r="GI49">
        <v>4</v>
      </c>
      <c r="GJ49">
        <v>0</v>
      </c>
      <c r="GK49">
        <v>0</v>
      </c>
      <c r="GL49">
        <f t="shared" si="46"/>
        <v>0</v>
      </c>
      <c r="GM49">
        <f t="shared" si="47"/>
        <v>6908.47</v>
      </c>
      <c r="GN49">
        <f t="shared" si="48"/>
        <v>6908.47</v>
      </c>
      <c r="GO49">
        <f t="shared" si="49"/>
        <v>0</v>
      </c>
      <c r="GP49">
        <f t="shared" si="50"/>
        <v>0</v>
      </c>
      <c r="GR49">
        <v>1</v>
      </c>
      <c r="GS49">
        <v>1</v>
      </c>
      <c r="GT49">
        <v>0</v>
      </c>
      <c r="GU49" t="s">
        <v>3</v>
      </c>
      <c r="GV49">
        <f t="shared" si="51"/>
        <v>0</v>
      </c>
      <c r="GW49">
        <v>1</v>
      </c>
      <c r="GX49">
        <f t="shared" si="52"/>
        <v>0</v>
      </c>
      <c r="HA49">
        <v>0</v>
      </c>
      <c r="HB49">
        <v>0</v>
      </c>
      <c r="HC49">
        <f t="shared" si="53"/>
        <v>0</v>
      </c>
      <c r="HE49" t="s">
        <v>55</v>
      </c>
      <c r="HF49" t="s">
        <v>27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C50">
        <f>ROW(SmtRes!A56)</f>
        <v>56</v>
      </c>
      <c r="D50">
        <f>ROW(EtalonRes!A56)</f>
        <v>56</v>
      </c>
      <c r="E50" t="s">
        <v>123</v>
      </c>
      <c r="F50" t="s">
        <v>61</v>
      </c>
      <c r="G50" t="s">
        <v>62</v>
      </c>
      <c r="H50" t="s">
        <v>30</v>
      </c>
      <c r="I50">
        <f>ROUND(4.5/100,9)</f>
        <v>4.4999999999999998E-2</v>
      </c>
      <c r="J50">
        <v>0</v>
      </c>
      <c r="K50">
        <f>ROUND(4.5/100,9)</f>
        <v>4.4999999999999998E-2</v>
      </c>
      <c r="O50">
        <f t="shared" si="21"/>
        <v>4435.04</v>
      </c>
      <c r="P50">
        <f t="shared" si="22"/>
        <v>2457.25</v>
      </c>
      <c r="Q50">
        <f t="shared" si="23"/>
        <v>16.510000000000002</v>
      </c>
      <c r="R50">
        <f t="shared" si="24"/>
        <v>9.0299999999999994</v>
      </c>
      <c r="S50">
        <f t="shared" si="25"/>
        <v>1961.28</v>
      </c>
      <c r="T50">
        <f t="shared" si="26"/>
        <v>0</v>
      </c>
      <c r="U50">
        <f t="shared" si="27"/>
        <v>5.0301</v>
      </c>
      <c r="V50">
        <f t="shared" si="28"/>
        <v>1.51875E-2</v>
      </c>
      <c r="W50">
        <f t="shared" si="29"/>
        <v>0</v>
      </c>
      <c r="X50">
        <f t="shared" si="30"/>
        <v>2147.64</v>
      </c>
      <c r="Y50">
        <f t="shared" si="31"/>
        <v>954.62</v>
      </c>
      <c r="AA50">
        <v>145185703</v>
      </c>
      <c r="AB50">
        <f t="shared" si="32"/>
        <v>7497.02</v>
      </c>
      <c r="AC50">
        <f t="shared" si="54"/>
        <v>6516.18</v>
      </c>
      <c r="AD50">
        <f>ROUND(((((ET50*1.25))-((EU50*1.25)))+AE50),2)</f>
        <v>27.35</v>
      </c>
      <c r="AE50">
        <f>ROUND(((EU50*1.25)),2)</f>
        <v>4.3899999999999997</v>
      </c>
      <c r="AF50">
        <f>ROUND(((EV50*1.15)),2)</f>
        <v>953.49</v>
      </c>
      <c r="AG50">
        <f t="shared" si="33"/>
        <v>0</v>
      </c>
      <c r="AH50">
        <f>((EW50*1.15))</f>
        <v>111.78</v>
      </c>
      <c r="AI50">
        <f>((EX50*1.25))</f>
        <v>0.33750000000000002</v>
      </c>
      <c r="AJ50">
        <f t="shared" si="34"/>
        <v>0</v>
      </c>
      <c r="AK50">
        <v>7367.18</v>
      </c>
      <c r="AL50">
        <v>6516.18</v>
      </c>
      <c r="AM50">
        <v>21.88</v>
      </c>
      <c r="AN50">
        <v>3.51</v>
      </c>
      <c r="AO50">
        <v>829.12</v>
      </c>
      <c r="AP50">
        <v>0</v>
      </c>
      <c r="AQ50">
        <v>97.2</v>
      </c>
      <c r="AR50">
        <v>0.27</v>
      </c>
      <c r="AS50">
        <v>0</v>
      </c>
      <c r="AT50">
        <v>109</v>
      </c>
      <c r="AU50">
        <v>48.45</v>
      </c>
      <c r="AV50">
        <v>1</v>
      </c>
      <c r="AW50">
        <v>1</v>
      </c>
      <c r="AZ50">
        <v>1</v>
      </c>
      <c r="BA50">
        <v>45.71</v>
      </c>
      <c r="BB50">
        <v>13.41</v>
      </c>
      <c r="BC50">
        <v>8.3800000000000008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1</v>
      </c>
      <c r="BJ50" t="s">
        <v>63</v>
      </c>
      <c r="BM50">
        <v>12001</v>
      </c>
      <c r="BN50">
        <v>0</v>
      </c>
      <c r="BO50" t="s">
        <v>3</v>
      </c>
      <c r="BP50">
        <v>0</v>
      </c>
      <c r="BQ50">
        <v>2</v>
      </c>
      <c r="BR50">
        <v>0</v>
      </c>
      <c r="BS50">
        <v>45.71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109</v>
      </c>
      <c r="CA50">
        <v>57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548</v>
      </c>
      <c r="CO50">
        <v>0</v>
      </c>
      <c r="CP50">
        <f t="shared" si="35"/>
        <v>4435.04</v>
      </c>
      <c r="CQ50">
        <f t="shared" si="36"/>
        <v>54605.588400000008</v>
      </c>
      <c r="CR50">
        <f>((((ET50*1.25))*BB50-((EU50*1.25))*BS50)+AE50*BS50)</f>
        <v>366.87777499999999</v>
      </c>
      <c r="CS50">
        <f t="shared" si="37"/>
        <v>200.6669</v>
      </c>
      <c r="CT50">
        <f t="shared" si="38"/>
        <v>43584.027900000001</v>
      </c>
      <c r="CU50">
        <f t="shared" si="39"/>
        <v>0</v>
      </c>
      <c r="CV50">
        <f t="shared" si="40"/>
        <v>111.78</v>
      </c>
      <c r="CW50">
        <f t="shared" si="41"/>
        <v>0.33750000000000002</v>
      </c>
      <c r="CX50">
        <f t="shared" si="42"/>
        <v>0</v>
      </c>
      <c r="CY50">
        <f t="shared" si="43"/>
        <v>2147.6379000000002</v>
      </c>
      <c r="CZ50">
        <f t="shared" si="44"/>
        <v>954.61519500000009</v>
      </c>
      <c r="DC50" t="s">
        <v>3</v>
      </c>
      <c r="DD50" t="s">
        <v>3</v>
      </c>
      <c r="DE50" t="s">
        <v>42</v>
      </c>
      <c r="DF50" t="s">
        <v>42</v>
      </c>
      <c r="DG50" t="s">
        <v>43</v>
      </c>
      <c r="DH50" t="s">
        <v>3</v>
      </c>
      <c r="DI50" t="s">
        <v>43</v>
      </c>
      <c r="DJ50" t="s">
        <v>42</v>
      </c>
      <c r="DK50" t="s">
        <v>3</v>
      </c>
      <c r="DL50" t="s">
        <v>3</v>
      </c>
      <c r="DM50" t="s">
        <v>44</v>
      </c>
      <c r="DN50">
        <v>0</v>
      </c>
      <c r="DO50">
        <v>0</v>
      </c>
      <c r="DP50">
        <v>1</v>
      </c>
      <c r="DQ50">
        <v>1</v>
      </c>
      <c r="DU50">
        <v>1005</v>
      </c>
      <c r="DV50" t="s">
        <v>30</v>
      </c>
      <c r="DW50" t="s">
        <v>30</v>
      </c>
      <c r="DX50">
        <v>100</v>
      </c>
      <c r="DZ50" t="s">
        <v>3</v>
      </c>
      <c r="EA50" t="s">
        <v>3</v>
      </c>
      <c r="EB50" t="s">
        <v>3</v>
      </c>
      <c r="EC50" t="s">
        <v>3</v>
      </c>
      <c r="EE50">
        <v>140625032</v>
      </c>
      <c r="EF50">
        <v>2</v>
      </c>
      <c r="EG50" t="s">
        <v>32</v>
      </c>
      <c r="EH50">
        <v>12</v>
      </c>
      <c r="EI50" t="s">
        <v>65</v>
      </c>
      <c r="EJ50">
        <v>1</v>
      </c>
      <c r="EK50">
        <v>12001</v>
      </c>
      <c r="EL50" t="s">
        <v>65</v>
      </c>
      <c r="EM50" t="s">
        <v>66</v>
      </c>
      <c r="EO50" t="s">
        <v>47</v>
      </c>
      <c r="EQ50">
        <v>0</v>
      </c>
      <c r="ER50">
        <v>7367.18</v>
      </c>
      <c r="ES50">
        <v>6516.18</v>
      </c>
      <c r="ET50">
        <v>21.88</v>
      </c>
      <c r="EU50">
        <v>3.51</v>
      </c>
      <c r="EV50">
        <v>829.12</v>
      </c>
      <c r="EW50">
        <v>97.2</v>
      </c>
      <c r="EX50">
        <v>0.27</v>
      </c>
      <c r="EY50">
        <v>0</v>
      </c>
      <c r="FQ50">
        <v>0</v>
      </c>
      <c r="FR50">
        <f t="shared" si="45"/>
        <v>0</v>
      </c>
      <c r="FS50">
        <v>0</v>
      </c>
      <c r="FX50">
        <v>109</v>
      </c>
      <c r="FY50">
        <v>48.45</v>
      </c>
      <c r="GA50" t="s">
        <v>3</v>
      </c>
      <c r="GD50">
        <v>1</v>
      </c>
      <c r="GF50">
        <v>-601591418</v>
      </c>
      <c r="GG50">
        <v>2</v>
      </c>
      <c r="GH50">
        <v>1</v>
      </c>
      <c r="GI50">
        <v>4</v>
      </c>
      <c r="GJ50">
        <v>0</v>
      </c>
      <c r="GK50">
        <v>0</v>
      </c>
      <c r="GL50">
        <f t="shared" si="46"/>
        <v>0</v>
      </c>
      <c r="GM50">
        <f t="shared" si="47"/>
        <v>7537.3</v>
      </c>
      <c r="GN50">
        <f t="shared" si="48"/>
        <v>7537.3</v>
      </c>
      <c r="GO50">
        <f t="shared" si="49"/>
        <v>0</v>
      </c>
      <c r="GP50">
        <f t="shared" si="50"/>
        <v>0</v>
      </c>
      <c r="GR50">
        <v>0</v>
      </c>
      <c r="GS50">
        <v>3</v>
      </c>
      <c r="GT50">
        <v>0</v>
      </c>
      <c r="GU50" t="s">
        <v>3</v>
      </c>
      <c r="GV50">
        <f t="shared" si="51"/>
        <v>0</v>
      </c>
      <c r="GW50">
        <v>1</v>
      </c>
      <c r="GX50">
        <f t="shared" si="52"/>
        <v>0</v>
      </c>
      <c r="HA50">
        <v>0</v>
      </c>
      <c r="HB50">
        <v>0</v>
      </c>
      <c r="HC50">
        <f t="shared" si="53"/>
        <v>0</v>
      </c>
      <c r="HE50" t="s">
        <v>3</v>
      </c>
      <c r="HF50" t="s">
        <v>3</v>
      </c>
      <c r="HM50" t="s">
        <v>3</v>
      </c>
      <c r="HN50" t="s">
        <v>67</v>
      </c>
      <c r="HO50" t="s">
        <v>68</v>
      </c>
      <c r="HP50" t="s">
        <v>65</v>
      </c>
      <c r="HQ50" t="s">
        <v>65</v>
      </c>
      <c r="IK50">
        <v>0</v>
      </c>
    </row>
    <row r="51" spans="1:245" x14ac:dyDescent="0.2">
      <c r="A51">
        <v>18</v>
      </c>
      <c r="B51">
        <v>1</v>
      </c>
      <c r="C51">
        <v>56</v>
      </c>
      <c r="E51" t="s">
        <v>124</v>
      </c>
      <c r="F51" t="s">
        <v>84</v>
      </c>
      <c r="G51" t="s">
        <v>85</v>
      </c>
      <c r="H51" t="s">
        <v>21</v>
      </c>
      <c r="I51">
        <f>I50*J51</f>
        <v>-2.5649999999999996E-2</v>
      </c>
      <c r="J51">
        <v>-0.56999999999999995</v>
      </c>
      <c r="K51">
        <v>-0.56999999999999995</v>
      </c>
      <c r="O51">
        <f t="shared" si="21"/>
        <v>-2407.41</v>
      </c>
      <c r="P51">
        <f t="shared" si="22"/>
        <v>-2407.41</v>
      </c>
      <c r="Q51">
        <f t="shared" si="23"/>
        <v>0</v>
      </c>
      <c r="R51">
        <f t="shared" si="24"/>
        <v>0</v>
      </c>
      <c r="S51">
        <f t="shared" si="25"/>
        <v>0</v>
      </c>
      <c r="T51">
        <f t="shared" si="26"/>
        <v>0</v>
      </c>
      <c r="U51">
        <f t="shared" si="27"/>
        <v>0</v>
      </c>
      <c r="V51">
        <f t="shared" si="28"/>
        <v>0</v>
      </c>
      <c r="W51">
        <f t="shared" si="29"/>
        <v>0</v>
      </c>
      <c r="X51">
        <f t="shared" si="30"/>
        <v>0</v>
      </c>
      <c r="Y51">
        <f t="shared" si="31"/>
        <v>0</v>
      </c>
      <c r="AA51">
        <v>145185703</v>
      </c>
      <c r="AB51">
        <f t="shared" si="32"/>
        <v>11200</v>
      </c>
      <c r="AC51">
        <f t="shared" si="54"/>
        <v>11200</v>
      </c>
      <c r="AD51">
        <f>ROUND((((ET51)-(EU51))+AE51),2)</f>
        <v>0</v>
      </c>
      <c r="AE51">
        <f t="shared" ref="AE51:AF55" si="61">ROUND((EU51),2)</f>
        <v>0</v>
      </c>
      <c r="AF51">
        <f t="shared" si="61"/>
        <v>0</v>
      </c>
      <c r="AG51">
        <f t="shared" si="33"/>
        <v>0</v>
      </c>
      <c r="AH51">
        <f t="shared" ref="AH51:AI55" si="62">(EW51)</f>
        <v>0</v>
      </c>
      <c r="AI51">
        <f t="shared" si="62"/>
        <v>0</v>
      </c>
      <c r="AJ51">
        <f t="shared" si="34"/>
        <v>0</v>
      </c>
      <c r="AK51">
        <v>11200</v>
      </c>
      <c r="AL51">
        <v>11200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109</v>
      </c>
      <c r="AU51">
        <v>57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8.3800000000000008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86</v>
      </c>
      <c r="BM51">
        <v>12001</v>
      </c>
      <c r="BN51">
        <v>0</v>
      </c>
      <c r="BO51" t="s">
        <v>3</v>
      </c>
      <c r="BP51">
        <v>0</v>
      </c>
      <c r="BQ51">
        <v>2</v>
      </c>
      <c r="BR51">
        <v>1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109</v>
      </c>
      <c r="CA51">
        <v>57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35"/>
        <v>-2407.41</v>
      </c>
      <c r="CQ51">
        <f t="shared" si="36"/>
        <v>93856.000000000015</v>
      </c>
      <c r="CR51">
        <f>(((ET51)*BB51-(EU51)*BS51)+AE51*BS51)</f>
        <v>0</v>
      </c>
      <c r="CS51">
        <f t="shared" si="37"/>
        <v>0</v>
      </c>
      <c r="CT51">
        <f t="shared" si="38"/>
        <v>0</v>
      </c>
      <c r="CU51">
        <f t="shared" si="39"/>
        <v>0</v>
      </c>
      <c r="CV51">
        <f t="shared" si="40"/>
        <v>0</v>
      </c>
      <c r="CW51">
        <f t="shared" si="41"/>
        <v>0</v>
      </c>
      <c r="CX51">
        <f t="shared" si="42"/>
        <v>0</v>
      </c>
      <c r="CY51">
        <f t="shared" si="43"/>
        <v>0</v>
      </c>
      <c r="CZ51">
        <f t="shared" si="44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1009</v>
      </c>
      <c r="DV51" t="s">
        <v>21</v>
      </c>
      <c r="DW51" t="s">
        <v>21</v>
      </c>
      <c r="DX51">
        <v>1000</v>
      </c>
      <c r="DZ51" t="s">
        <v>3</v>
      </c>
      <c r="EA51" t="s">
        <v>3</v>
      </c>
      <c r="EB51" t="s">
        <v>3</v>
      </c>
      <c r="EC51" t="s">
        <v>3</v>
      </c>
      <c r="EE51">
        <v>140625032</v>
      </c>
      <c r="EF51">
        <v>2</v>
      </c>
      <c r="EG51" t="s">
        <v>32</v>
      </c>
      <c r="EH51">
        <v>12</v>
      </c>
      <c r="EI51" t="s">
        <v>65</v>
      </c>
      <c r="EJ51">
        <v>1</v>
      </c>
      <c r="EK51">
        <v>12001</v>
      </c>
      <c r="EL51" t="s">
        <v>65</v>
      </c>
      <c r="EM51" t="s">
        <v>66</v>
      </c>
      <c r="EO51" t="s">
        <v>3</v>
      </c>
      <c r="EQ51">
        <v>0</v>
      </c>
      <c r="ER51">
        <v>11200</v>
      </c>
      <c r="ES51">
        <v>11200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45"/>
        <v>0</v>
      </c>
      <c r="FS51">
        <v>0</v>
      </c>
      <c r="FX51">
        <v>109</v>
      </c>
      <c r="FY51">
        <v>57</v>
      </c>
      <c r="GA51" t="s">
        <v>3</v>
      </c>
      <c r="GD51">
        <v>1</v>
      </c>
      <c r="GF51">
        <v>-509681559</v>
      </c>
      <c r="GG51">
        <v>2</v>
      </c>
      <c r="GH51">
        <v>1</v>
      </c>
      <c r="GI51">
        <v>4</v>
      </c>
      <c r="GJ51">
        <v>0</v>
      </c>
      <c r="GK51">
        <v>0</v>
      </c>
      <c r="GL51">
        <f t="shared" si="46"/>
        <v>0</v>
      </c>
      <c r="GM51">
        <f t="shared" si="47"/>
        <v>-2407.41</v>
      </c>
      <c r="GN51">
        <f t="shared" si="48"/>
        <v>-2407.41</v>
      </c>
      <c r="GO51">
        <f t="shared" si="49"/>
        <v>0</v>
      </c>
      <c r="GP51">
        <f t="shared" si="50"/>
        <v>0</v>
      </c>
      <c r="GR51">
        <v>0</v>
      </c>
      <c r="GS51">
        <v>3</v>
      </c>
      <c r="GT51">
        <v>0</v>
      </c>
      <c r="GU51" t="s">
        <v>3</v>
      </c>
      <c r="GV51">
        <f t="shared" si="51"/>
        <v>0</v>
      </c>
      <c r="GW51">
        <v>1</v>
      </c>
      <c r="GX51">
        <f t="shared" si="52"/>
        <v>0</v>
      </c>
      <c r="HA51">
        <v>0</v>
      </c>
      <c r="HB51">
        <v>0</v>
      </c>
      <c r="HC51">
        <f t="shared" si="53"/>
        <v>0</v>
      </c>
      <c r="HE51" t="s">
        <v>3</v>
      </c>
      <c r="HF51" t="s">
        <v>3</v>
      </c>
      <c r="HM51" t="s">
        <v>3</v>
      </c>
      <c r="HN51" t="s">
        <v>67</v>
      </c>
      <c r="HO51" t="s">
        <v>68</v>
      </c>
      <c r="HP51" t="s">
        <v>65</v>
      </c>
      <c r="HQ51" t="s">
        <v>65</v>
      </c>
      <c r="IK51">
        <v>0</v>
      </c>
    </row>
    <row r="52" spans="1:245" x14ac:dyDescent="0.2">
      <c r="A52">
        <v>17</v>
      </c>
      <c r="B52">
        <v>1</v>
      </c>
      <c r="E52" t="s">
        <v>125</v>
      </c>
      <c r="F52" t="s">
        <v>56</v>
      </c>
      <c r="G52" t="s">
        <v>126</v>
      </c>
      <c r="H52" t="s">
        <v>21</v>
      </c>
      <c r="I52">
        <f>ROUND(ROUND(4.5*5.5*1.22/1000,4),9)</f>
        <v>3.0200000000000001E-2</v>
      </c>
      <c r="J52">
        <v>0</v>
      </c>
      <c r="K52">
        <f>ROUND(ROUND(4.5*5.5*1.22/1000,4),9)</f>
        <v>3.0200000000000001E-2</v>
      </c>
      <c r="O52">
        <f t="shared" si="21"/>
        <v>3037.66</v>
      </c>
      <c r="P52">
        <f t="shared" si="22"/>
        <v>3037.66</v>
      </c>
      <c r="Q52">
        <f t="shared" si="23"/>
        <v>0</v>
      </c>
      <c r="R52">
        <f t="shared" si="24"/>
        <v>0</v>
      </c>
      <c r="S52">
        <f t="shared" si="25"/>
        <v>0</v>
      </c>
      <c r="T52">
        <f t="shared" si="26"/>
        <v>0</v>
      </c>
      <c r="U52">
        <f t="shared" si="27"/>
        <v>0</v>
      </c>
      <c r="V52">
        <f t="shared" si="28"/>
        <v>0</v>
      </c>
      <c r="W52">
        <f t="shared" si="29"/>
        <v>0</v>
      </c>
      <c r="X52">
        <f t="shared" si="30"/>
        <v>0</v>
      </c>
      <c r="Y52">
        <f t="shared" si="31"/>
        <v>0</v>
      </c>
      <c r="AA52">
        <v>145185703</v>
      </c>
      <c r="AB52">
        <f t="shared" si="32"/>
        <v>12002.95</v>
      </c>
      <c r="AC52">
        <f t="shared" si="54"/>
        <v>12002.95</v>
      </c>
      <c r="AD52">
        <f>ROUND((((ET52)-(EU52))+AE52),2)</f>
        <v>0</v>
      </c>
      <c r="AE52">
        <f t="shared" si="61"/>
        <v>0</v>
      </c>
      <c r="AF52">
        <f t="shared" si="61"/>
        <v>0</v>
      </c>
      <c r="AG52">
        <f t="shared" si="33"/>
        <v>0</v>
      </c>
      <c r="AH52">
        <f t="shared" si="62"/>
        <v>0</v>
      </c>
      <c r="AI52">
        <f t="shared" si="62"/>
        <v>0</v>
      </c>
      <c r="AJ52">
        <f t="shared" si="34"/>
        <v>0</v>
      </c>
      <c r="AK52">
        <v>12002.95</v>
      </c>
      <c r="AL52">
        <v>12002.95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8.3800000000000008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1</v>
      </c>
      <c r="BJ52" t="s">
        <v>3</v>
      </c>
      <c r="BM52">
        <v>1100</v>
      </c>
      <c r="BN52">
        <v>0</v>
      </c>
      <c r="BO52" t="s">
        <v>3</v>
      </c>
      <c r="BP52">
        <v>0</v>
      </c>
      <c r="BQ52">
        <v>8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35"/>
        <v>3037.66</v>
      </c>
      <c r="CQ52">
        <f t="shared" si="36"/>
        <v>100584.72100000002</v>
      </c>
      <c r="CR52">
        <f>(((ET52)*BB52-(EU52)*BS52)+AE52*BS52)</f>
        <v>0</v>
      </c>
      <c r="CS52">
        <f t="shared" si="37"/>
        <v>0</v>
      </c>
      <c r="CT52">
        <f t="shared" si="38"/>
        <v>0</v>
      </c>
      <c r="CU52">
        <f t="shared" si="39"/>
        <v>0</v>
      </c>
      <c r="CV52">
        <f t="shared" si="40"/>
        <v>0</v>
      </c>
      <c r="CW52">
        <f t="shared" si="41"/>
        <v>0</v>
      </c>
      <c r="CX52">
        <f t="shared" si="42"/>
        <v>0</v>
      </c>
      <c r="CY52">
        <f t="shared" si="43"/>
        <v>0</v>
      </c>
      <c r="CZ52">
        <f t="shared" si="44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1009</v>
      </c>
      <c r="DV52" t="s">
        <v>21</v>
      </c>
      <c r="DW52" t="s">
        <v>21</v>
      </c>
      <c r="DX52">
        <v>1000</v>
      </c>
      <c r="DZ52" t="s">
        <v>3</v>
      </c>
      <c r="EA52" t="s">
        <v>3</v>
      </c>
      <c r="EB52" t="s">
        <v>3</v>
      </c>
      <c r="EC52" t="s">
        <v>3</v>
      </c>
      <c r="EE52">
        <v>140625274</v>
      </c>
      <c r="EF52">
        <v>8</v>
      </c>
      <c r="EG52" t="s">
        <v>22</v>
      </c>
      <c r="EH52">
        <v>0</v>
      </c>
      <c r="EI52" t="s">
        <v>3</v>
      </c>
      <c r="EJ52">
        <v>1</v>
      </c>
      <c r="EK52">
        <v>1100</v>
      </c>
      <c r="EL52" t="s">
        <v>23</v>
      </c>
      <c r="EM52" t="s">
        <v>24</v>
      </c>
      <c r="EO52" t="s">
        <v>3</v>
      </c>
      <c r="EQ52">
        <v>0</v>
      </c>
      <c r="ER52">
        <v>12104.05</v>
      </c>
      <c r="ES52">
        <v>12002.95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5</v>
      </c>
      <c r="FC52">
        <v>1</v>
      </c>
      <c r="FD52">
        <v>18</v>
      </c>
      <c r="FF52">
        <v>112700</v>
      </c>
      <c r="FQ52">
        <v>0</v>
      </c>
      <c r="FR52">
        <f t="shared" si="45"/>
        <v>0</v>
      </c>
      <c r="FS52">
        <v>0</v>
      </c>
      <c r="FX52">
        <v>0</v>
      </c>
      <c r="FY52">
        <v>0</v>
      </c>
      <c r="GA52" t="s">
        <v>127</v>
      </c>
      <c r="GD52">
        <v>1</v>
      </c>
      <c r="GF52">
        <v>-516843514</v>
      </c>
      <c r="GG52">
        <v>2</v>
      </c>
      <c r="GH52">
        <v>3</v>
      </c>
      <c r="GI52">
        <v>4</v>
      </c>
      <c r="GJ52">
        <v>0</v>
      </c>
      <c r="GK52">
        <v>0</v>
      </c>
      <c r="GL52">
        <f t="shared" si="46"/>
        <v>0</v>
      </c>
      <c r="GM52">
        <f t="shared" si="47"/>
        <v>3037.66</v>
      </c>
      <c r="GN52">
        <f t="shared" si="48"/>
        <v>3037.66</v>
      </c>
      <c r="GO52">
        <f t="shared" si="49"/>
        <v>0</v>
      </c>
      <c r="GP52">
        <f t="shared" si="50"/>
        <v>0</v>
      </c>
      <c r="GR52">
        <v>1</v>
      </c>
      <c r="GS52">
        <v>1</v>
      </c>
      <c r="GT52">
        <v>0</v>
      </c>
      <c r="GU52" t="s">
        <v>3</v>
      </c>
      <c r="GV52">
        <f t="shared" si="51"/>
        <v>0</v>
      </c>
      <c r="GW52">
        <v>1</v>
      </c>
      <c r="GX52">
        <f t="shared" si="52"/>
        <v>0</v>
      </c>
      <c r="HA52">
        <v>0</v>
      </c>
      <c r="HB52">
        <v>0</v>
      </c>
      <c r="HC52">
        <f t="shared" si="53"/>
        <v>0</v>
      </c>
      <c r="HE52" t="s">
        <v>55</v>
      </c>
      <c r="HF52" t="s">
        <v>27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E53" t="s">
        <v>128</v>
      </c>
      <c r="F53" t="s">
        <v>56</v>
      </c>
      <c r="G53" t="s">
        <v>57</v>
      </c>
      <c r="H53" t="s">
        <v>58</v>
      </c>
      <c r="I53">
        <f>ROUND(I50*1000,9)</f>
        <v>45</v>
      </c>
      <c r="J53">
        <v>0</v>
      </c>
      <c r="K53">
        <f>ROUND(I50*1000,9)</f>
        <v>45</v>
      </c>
      <c r="O53">
        <f t="shared" si="21"/>
        <v>203.63</v>
      </c>
      <c r="P53">
        <f t="shared" si="22"/>
        <v>203.63</v>
      </c>
      <c r="Q53">
        <f t="shared" si="23"/>
        <v>0</v>
      </c>
      <c r="R53">
        <f t="shared" si="24"/>
        <v>0</v>
      </c>
      <c r="S53">
        <f t="shared" si="25"/>
        <v>0</v>
      </c>
      <c r="T53">
        <f t="shared" si="26"/>
        <v>0</v>
      </c>
      <c r="U53">
        <f t="shared" si="27"/>
        <v>0</v>
      </c>
      <c r="V53">
        <f t="shared" si="28"/>
        <v>0</v>
      </c>
      <c r="W53">
        <f t="shared" si="29"/>
        <v>0</v>
      </c>
      <c r="X53">
        <f t="shared" si="30"/>
        <v>0</v>
      </c>
      <c r="Y53">
        <f t="shared" si="31"/>
        <v>0</v>
      </c>
      <c r="AA53">
        <v>145185703</v>
      </c>
      <c r="AB53">
        <f t="shared" si="32"/>
        <v>0.54</v>
      </c>
      <c r="AC53">
        <f t="shared" si="54"/>
        <v>0.54</v>
      </c>
      <c r="AD53">
        <f>ROUND((((ET53)-(EU53))+AE53),2)</f>
        <v>0</v>
      </c>
      <c r="AE53">
        <f t="shared" si="61"/>
        <v>0</v>
      </c>
      <c r="AF53">
        <f t="shared" si="61"/>
        <v>0</v>
      </c>
      <c r="AG53">
        <f t="shared" si="33"/>
        <v>0</v>
      </c>
      <c r="AH53">
        <f t="shared" si="62"/>
        <v>0</v>
      </c>
      <c r="AI53">
        <f t="shared" si="62"/>
        <v>0</v>
      </c>
      <c r="AJ53">
        <f t="shared" si="34"/>
        <v>0</v>
      </c>
      <c r="AK53">
        <v>0.54</v>
      </c>
      <c r="AL53">
        <v>0.54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8.3800000000000008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1</v>
      </c>
      <c r="BJ53" t="s">
        <v>3</v>
      </c>
      <c r="BM53">
        <v>1100</v>
      </c>
      <c r="BN53">
        <v>0</v>
      </c>
      <c r="BO53" t="s">
        <v>3</v>
      </c>
      <c r="BP53">
        <v>0</v>
      </c>
      <c r="BQ53">
        <v>8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0</v>
      </c>
      <c r="CA53">
        <v>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35"/>
        <v>203.63</v>
      </c>
      <c r="CQ53">
        <f t="shared" si="36"/>
        <v>4.5252000000000008</v>
      </c>
      <c r="CR53">
        <f>(((ET53)*BB53-(EU53)*BS53)+AE53*BS53)</f>
        <v>0</v>
      </c>
      <c r="CS53">
        <f t="shared" si="37"/>
        <v>0</v>
      </c>
      <c r="CT53">
        <f t="shared" si="38"/>
        <v>0</v>
      </c>
      <c r="CU53">
        <f t="shared" si="39"/>
        <v>0</v>
      </c>
      <c r="CV53">
        <f t="shared" si="40"/>
        <v>0</v>
      </c>
      <c r="CW53">
        <f t="shared" si="41"/>
        <v>0</v>
      </c>
      <c r="CX53">
        <f t="shared" si="42"/>
        <v>0</v>
      </c>
      <c r="CY53">
        <f t="shared" si="43"/>
        <v>0</v>
      </c>
      <c r="CZ53">
        <f t="shared" si="44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1010</v>
      </c>
      <c r="DV53" t="s">
        <v>58</v>
      </c>
      <c r="DW53" t="s">
        <v>58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140625274</v>
      </c>
      <c r="EF53">
        <v>8</v>
      </c>
      <c r="EG53" t="s">
        <v>22</v>
      </c>
      <c r="EH53">
        <v>0</v>
      </c>
      <c r="EI53" t="s">
        <v>3</v>
      </c>
      <c r="EJ53">
        <v>1</v>
      </c>
      <c r="EK53">
        <v>1100</v>
      </c>
      <c r="EL53" t="s">
        <v>23</v>
      </c>
      <c r="EM53" t="s">
        <v>24</v>
      </c>
      <c r="EO53" t="s">
        <v>3</v>
      </c>
      <c r="EQ53">
        <v>0</v>
      </c>
      <c r="ER53">
        <v>0.54</v>
      </c>
      <c r="ES53">
        <v>0.54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5</v>
      </c>
      <c r="FC53">
        <v>1</v>
      </c>
      <c r="FD53">
        <v>18</v>
      </c>
      <c r="FF53">
        <v>5</v>
      </c>
      <c r="FQ53">
        <v>0</v>
      </c>
      <c r="FR53">
        <f t="shared" si="45"/>
        <v>0</v>
      </c>
      <c r="FS53">
        <v>0</v>
      </c>
      <c r="FX53">
        <v>0</v>
      </c>
      <c r="FY53">
        <v>0</v>
      </c>
      <c r="GA53" t="s">
        <v>59</v>
      </c>
      <c r="GD53">
        <v>1</v>
      </c>
      <c r="GF53">
        <v>-1778612597</v>
      </c>
      <c r="GG53">
        <v>2</v>
      </c>
      <c r="GH53">
        <v>3</v>
      </c>
      <c r="GI53">
        <v>4</v>
      </c>
      <c r="GJ53">
        <v>0</v>
      </c>
      <c r="GK53">
        <v>0</v>
      </c>
      <c r="GL53">
        <f t="shared" si="46"/>
        <v>0</v>
      </c>
      <c r="GM53">
        <f t="shared" si="47"/>
        <v>203.63</v>
      </c>
      <c r="GN53">
        <f t="shared" si="48"/>
        <v>203.63</v>
      </c>
      <c r="GO53">
        <f t="shared" si="49"/>
        <v>0</v>
      </c>
      <c r="GP53">
        <f t="shared" si="50"/>
        <v>0</v>
      </c>
      <c r="GR53">
        <v>1</v>
      </c>
      <c r="GS53">
        <v>1</v>
      </c>
      <c r="GT53">
        <v>0</v>
      </c>
      <c r="GU53" t="s">
        <v>3</v>
      </c>
      <c r="GV53">
        <f t="shared" si="51"/>
        <v>0</v>
      </c>
      <c r="GW53">
        <v>1</v>
      </c>
      <c r="GX53">
        <f t="shared" si="52"/>
        <v>0</v>
      </c>
      <c r="HA53">
        <v>0</v>
      </c>
      <c r="HB53">
        <v>0</v>
      </c>
      <c r="HC53">
        <f t="shared" si="53"/>
        <v>0</v>
      </c>
      <c r="HE53" t="s">
        <v>55</v>
      </c>
      <c r="HF53" t="s">
        <v>27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17</v>
      </c>
      <c r="B54">
        <v>1</v>
      </c>
      <c r="C54">
        <f>ROW(SmtRes!A63)</f>
        <v>63</v>
      </c>
      <c r="D54">
        <f>ROW(EtalonRes!A63)</f>
        <v>63</v>
      </c>
      <c r="E54" t="s">
        <v>129</v>
      </c>
      <c r="F54" t="s">
        <v>130</v>
      </c>
      <c r="G54" t="s">
        <v>131</v>
      </c>
      <c r="H54" t="s">
        <v>30</v>
      </c>
      <c r="I54">
        <f>ROUND(100/100,9)</f>
        <v>1</v>
      </c>
      <c r="J54">
        <v>0</v>
      </c>
      <c r="K54">
        <f>ROUND(100/100,9)</f>
        <v>1</v>
      </c>
      <c r="O54">
        <f t="shared" si="21"/>
        <v>51386.07</v>
      </c>
      <c r="P54">
        <f t="shared" si="22"/>
        <v>100.39</v>
      </c>
      <c r="Q54">
        <f t="shared" si="23"/>
        <v>1022.51</v>
      </c>
      <c r="R54">
        <f t="shared" si="24"/>
        <v>593.77</v>
      </c>
      <c r="S54">
        <f t="shared" si="25"/>
        <v>50263.17</v>
      </c>
      <c r="T54">
        <f t="shared" si="26"/>
        <v>0</v>
      </c>
      <c r="U54">
        <f t="shared" si="27"/>
        <v>138.49</v>
      </c>
      <c r="V54">
        <f t="shared" si="28"/>
        <v>1.1200000000000001</v>
      </c>
      <c r="W54">
        <f t="shared" si="29"/>
        <v>0</v>
      </c>
      <c r="X54">
        <f t="shared" si="30"/>
        <v>45771.25</v>
      </c>
      <c r="Y54">
        <f t="shared" si="31"/>
        <v>23394.19</v>
      </c>
      <c r="AA54">
        <v>145185703</v>
      </c>
      <c r="AB54">
        <f t="shared" si="32"/>
        <v>1187.8399999999999</v>
      </c>
      <c r="AC54">
        <f t="shared" si="54"/>
        <v>11.98</v>
      </c>
      <c r="AD54">
        <f>ROUND((((ET54)-(EU54))+AE54),2)</f>
        <v>76.25</v>
      </c>
      <c r="AE54">
        <f t="shared" si="61"/>
        <v>12.99</v>
      </c>
      <c r="AF54">
        <f t="shared" si="61"/>
        <v>1099.6099999999999</v>
      </c>
      <c r="AG54">
        <f t="shared" si="33"/>
        <v>0</v>
      </c>
      <c r="AH54">
        <f t="shared" si="62"/>
        <v>138.49</v>
      </c>
      <c r="AI54">
        <f t="shared" si="62"/>
        <v>1.1200000000000001</v>
      </c>
      <c r="AJ54">
        <f t="shared" si="34"/>
        <v>0</v>
      </c>
      <c r="AK54">
        <v>1187.8399999999999</v>
      </c>
      <c r="AL54">
        <v>11.98</v>
      </c>
      <c r="AM54">
        <v>76.25</v>
      </c>
      <c r="AN54">
        <v>12.99</v>
      </c>
      <c r="AO54">
        <v>1099.6099999999999</v>
      </c>
      <c r="AP54">
        <v>0</v>
      </c>
      <c r="AQ54">
        <v>138.49</v>
      </c>
      <c r="AR54">
        <v>1.1200000000000001</v>
      </c>
      <c r="AS54">
        <v>0</v>
      </c>
      <c r="AT54">
        <v>90</v>
      </c>
      <c r="AU54">
        <v>46</v>
      </c>
      <c r="AV54">
        <v>1</v>
      </c>
      <c r="AW54">
        <v>1</v>
      </c>
      <c r="AZ54">
        <v>1</v>
      </c>
      <c r="BA54">
        <v>45.71</v>
      </c>
      <c r="BB54">
        <v>13.41</v>
      </c>
      <c r="BC54">
        <v>8.3800000000000008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1</v>
      </c>
      <c r="BJ54" t="s">
        <v>132</v>
      </c>
      <c r="BM54">
        <v>58001</v>
      </c>
      <c r="BN54">
        <v>0</v>
      </c>
      <c r="BO54" t="s">
        <v>3</v>
      </c>
      <c r="BP54">
        <v>0</v>
      </c>
      <c r="BQ54">
        <v>6</v>
      </c>
      <c r="BR54">
        <v>0</v>
      </c>
      <c r="BS54">
        <v>45.71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90</v>
      </c>
      <c r="CA54">
        <v>46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35"/>
        <v>51386.07</v>
      </c>
      <c r="CQ54">
        <f t="shared" si="36"/>
        <v>100.39240000000001</v>
      </c>
      <c r="CR54">
        <f>(((ET54)*BB54-(EU54)*BS54)+AE54*BS54)</f>
        <v>1022.5125</v>
      </c>
      <c r="CS54">
        <f t="shared" si="37"/>
        <v>593.77290000000005</v>
      </c>
      <c r="CT54">
        <f t="shared" si="38"/>
        <v>50263.1731</v>
      </c>
      <c r="CU54">
        <f t="shared" si="39"/>
        <v>0</v>
      </c>
      <c r="CV54">
        <f t="shared" si="40"/>
        <v>138.49</v>
      </c>
      <c r="CW54">
        <f t="shared" si="41"/>
        <v>1.1200000000000001</v>
      </c>
      <c r="CX54">
        <f t="shared" si="42"/>
        <v>0</v>
      </c>
      <c r="CY54">
        <f t="shared" si="43"/>
        <v>45771.245999999999</v>
      </c>
      <c r="CZ54">
        <f t="shared" si="44"/>
        <v>23394.192399999996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1005</v>
      </c>
      <c r="DV54" t="s">
        <v>30</v>
      </c>
      <c r="DW54" t="s">
        <v>30</v>
      </c>
      <c r="DX54">
        <v>100</v>
      </c>
      <c r="DZ54" t="s">
        <v>3</v>
      </c>
      <c r="EA54" t="s">
        <v>3</v>
      </c>
      <c r="EB54" t="s">
        <v>3</v>
      </c>
      <c r="EC54" t="s">
        <v>3</v>
      </c>
      <c r="EE54">
        <v>140625154</v>
      </c>
      <c r="EF54">
        <v>6</v>
      </c>
      <c r="EG54" t="s">
        <v>133</v>
      </c>
      <c r="EH54">
        <v>92</v>
      </c>
      <c r="EI54" t="s">
        <v>134</v>
      </c>
      <c r="EJ54">
        <v>1</v>
      </c>
      <c r="EK54">
        <v>58001</v>
      </c>
      <c r="EL54" t="s">
        <v>134</v>
      </c>
      <c r="EM54" t="s">
        <v>135</v>
      </c>
      <c r="EO54" t="s">
        <v>3</v>
      </c>
      <c r="EQ54">
        <v>0</v>
      </c>
      <c r="ER54">
        <v>1187.8399999999999</v>
      </c>
      <c r="ES54">
        <v>11.98</v>
      </c>
      <c r="ET54">
        <v>76.25</v>
      </c>
      <c r="EU54">
        <v>12.99</v>
      </c>
      <c r="EV54">
        <v>1099.6099999999999</v>
      </c>
      <c r="EW54">
        <v>138.49</v>
      </c>
      <c r="EX54">
        <v>1.1200000000000001</v>
      </c>
      <c r="EY54">
        <v>0</v>
      </c>
      <c r="FQ54">
        <v>0</v>
      </c>
      <c r="FR54">
        <f t="shared" si="45"/>
        <v>0</v>
      </c>
      <c r="FS54">
        <v>0</v>
      </c>
      <c r="FX54">
        <v>90</v>
      </c>
      <c r="FY54">
        <v>46</v>
      </c>
      <c r="GA54" t="s">
        <v>3</v>
      </c>
      <c r="GD54">
        <v>1</v>
      </c>
      <c r="GF54">
        <v>2030495340</v>
      </c>
      <c r="GG54">
        <v>2</v>
      </c>
      <c r="GH54">
        <v>1</v>
      </c>
      <c r="GI54">
        <v>4</v>
      </c>
      <c r="GJ54">
        <v>0</v>
      </c>
      <c r="GK54">
        <v>0</v>
      </c>
      <c r="GL54">
        <f t="shared" si="46"/>
        <v>0</v>
      </c>
      <c r="GM54">
        <f t="shared" si="47"/>
        <v>120551.51</v>
      </c>
      <c r="GN54">
        <f t="shared" si="48"/>
        <v>120551.51</v>
      </c>
      <c r="GO54">
        <f t="shared" si="49"/>
        <v>0</v>
      </c>
      <c r="GP54">
        <f t="shared" si="50"/>
        <v>0</v>
      </c>
      <c r="GR54">
        <v>0</v>
      </c>
      <c r="GS54">
        <v>3</v>
      </c>
      <c r="GT54">
        <v>0</v>
      </c>
      <c r="GU54" t="s">
        <v>3</v>
      </c>
      <c r="GV54">
        <f t="shared" si="51"/>
        <v>0</v>
      </c>
      <c r="GW54">
        <v>1</v>
      </c>
      <c r="GX54">
        <f t="shared" si="52"/>
        <v>0</v>
      </c>
      <c r="HA54">
        <v>0</v>
      </c>
      <c r="HB54">
        <v>0</v>
      </c>
      <c r="HC54">
        <f t="shared" si="53"/>
        <v>0</v>
      </c>
      <c r="HE54" t="s">
        <v>3</v>
      </c>
      <c r="HF54" t="s">
        <v>3</v>
      </c>
      <c r="HM54" t="s">
        <v>3</v>
      </c>
      <c r="HN54" t="s">
        <v>136</v>
      </c>
      <c r="HO54" t="s">
        <v>137</v>
      </c>
      <c r="HP54" t="s">
        <v>138</v>
      </c>
      <c r="HQ54" t="s">
        <v>138</v>
      </c>
      <c r="IK54">
        <v>0</v>
      </c>
    </row>
    <row r="55" spans="1:245" x14ac:dyDescent="0.2">
      <c r="A55">
        <v>17</v>
      </c>
      <c r="B55">
        <v>1</v>
      </c>
      <c r="E55" t="s">
        <v>139</v>
      </c>
      <c r="F55" t="s">
        <v>56</v>
      </c>
      <c r="G55" t="s">
        <v>140</v>
      </c>
      <c r="H55" t="s">
        <v>141</v>
      </c>
      <c r="I55">
        <v>5</v>
      </c>
      <c r="J55">
        <v>0</v>
      </c>
      <c r="K55">
        <v>5</v>
      </c>
      <c r="O55">
        <f t="shared" si="21"/>
        <v>58012.65</v>
      </c>
      <c r="P55">
        <f t="shared" si="22"/>
        <v>58012.65</v>
      </c>
      <c r="Q55">
        <f t="shared" si="23"/>
        <v>0</v>
      </c>
      <c r="R55">
        <f t="shared" si="24"/>
        <v>0</v>
      </c>
      <c r="S55">
        <f t="shared" si="25"/>
        <v>0</v>
      </c>
      <c r="T55">
        <f t="shared" si="26"/>
        <v>0</v>
      </c>
      <c r="U55">
        <f t="shared" si="27"/>
        <v>0</v>
      </c>
      <c r="V55">
        <f t="shared" si="28"/>
        <v>0</v>
      </c>
      <c r="W55">
        <f t="shared" si="29"/>
        <v>0</v>
      </c>
      <c r="X55">
        <f t="shared" si="30"/>
        <v>0</v>
      </c>
      <c r="Y55">
        <f t="shared" si="31"/>
        <v>0</v>
      </c>
      <c r="AA55">
        <v>145185703</v>
      </c>
      <c r="AB55">
        <f t="shared" si="32"/>
        <v>1384.55</v>
      </c>
      <c r="AC55">
        <f t="shared" si="54"/>
        <v>1384.55</v>
      </c>
      <c r="AD55">
        <f>ROUND((((ET55)-(EU55))+AE55),2)</f>
        <v>0</v>
      </c>
      <c r="AE55">
        <f t="shared" si="61"/>
        <v>0</v>
      </c>
      <c r="AF55">
        <f t="shared" si="61"/>
        <v>0</v>
      </c>
      <c r="AG55">
        <f t="shared" si="33"/>
        <v>0</v>
      </c>
      <c r="AH55">
        <f t="shared" si="62"/>
        <v>0</v>
      </c>
      <c r="AI55">
        <f t="shared" si="62"/>
        <v>0</v>
      </c>
      <c r="AJ55">
        <f t="shared" si="34"/>
        <v>0</v>
      </c>
      <c r="AK55">
        <v>1384.5500000000002</v>
      </c>
      <c r="AL55">
        <v>1384.5500000000002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8.3800000000000008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1</v>
      </c>
      <c r="BJ55" t="s">
        <v>3</v>
      </c>
      <c r="BM55">
        <v>1100</v>
      </c>
      <c r="BN55">
        <v>0</v>
      </c>
      <c r="BO55" t="s">
        <v>3</v>
      </c>
      <c r="BP55">
        <v>0</v>
      </c>
      <c r="BQ55">
        <v>8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B55" t="s">
        <v>3</v>
      </c>
      <c r="CE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35"/>
        <v>58012.65</v>
      </c>
      <c r="CQ55">
        <f t="shared" si="36"/>
        <v>11602.529</v>
      </c>
      <c r="CR55">
        <f>(((ET55)*BB55-(EU55)*BS55)+AE55*BS55)</f>
        <v>0</v>
      </c>
      <c r="CS55">
        <f t="shared" si="37"/>
        <v>0</v>
      </c>
      <c r="CT55">
        <f t="shared" si="38"/>
        <v>0</v>
      </c>
      <c r="CU55">
        <f t="shared" si="39"/>
        <v>0</v>
      </c>
      <c r="CV55">
        <f t="shared" si="40"/>
        <v>0</v>
      </c>
      <c r="CW55">
        <f t="shared" si="41"/>
        <v>0</v>
      </c>
      <c r="CX55">
        <f t="shared" si="42"/>
        <v>0</v>
      </c>
      <c r="CY55">
        <f t="shared" si="43"/>
        <v>0</v>
      </c>
      <c r="CZ55">
        <f t="shared" si="44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1007</v>
      </c>
      <c r="DV55" t="s">
        <v>141</v>
      </c>
      <c r="DW55" t="s">
        <v>141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140625274</v>
      </c>
      <c r="EF55">
        <v>8</v>
      </c>
      <c r="EG55" t="s">
        <v>22</v>
      </c>
      <c r="EH55">
        <v>0</v>
      </c>
      <c r="EI55" t="s">
        <v>3</v>
      </c>
      <c r="EJ55">
        <v>1</v>
      </c>
      <c r="EK55">
        <v>1100</v>
      </c>
      <c r="EL55" t="s">
        <v>23</v>
      </c>
      <c r="EM55" t="s">
        <v>24</v>
      </c>
      <c r="EO55" t="s">
        <v>3</v>
      </c>
      <c r="EQ55">
        <v>0</v>
      </c>
      <c r="ER55">
        <v>1396.2100000000003</v>
      </c>
      <c r="ES55">
        <v>1384.5500000000002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5</v>
      </c>
      <c r="FC55">
        <v>1</v>
      </c>
      <c r="FD55">
        <v>18</v>
      </c>
      <c r="FF55">
        <v>13000</v>
      </c>
      <c r="FQ55">
        <v>0</v>
      </c>
      <c r="FR55">
        <f t="shared" si="45"/>
        <v>0</v>
      </c>
      <c r="FS55">
        <v>0</v>
      </c>
      <c r="FX55">
        <v>0</v>
      </c>
      <c r="FY55">
        <v>0</v>
      </c>
      <c r="GA55" t="s">
        <v>142</v>
      </c>
      <c r="GD55">
        <v>1</v>
      </c>
      <c r="GF55">
        <v>-985016910</v>
      </c>
      <c r="GG55">
        <v>2</v>
      </c>
      <c r="GH55">
        <v>3</v>
      </c>
      <c r="GI55">
        <v>4</v>
      </c>
      <c r="GJ55">
        <v>0</v>
      </c>
      <c r="GK55">
        <v>0</v>
      </c>
      <c r="GL55">
        <f t="shared" si="46"/>
        <v>0</v>
      </c>
      <c r="GM55">
        <f t="shared" si="47"/>
        <v>58012.65</v>
      </c>
      <c r="GN55">
        <f t="shared" si="48"/>
        <v>58012.65</v>
      </c>
      <c r="GO55">
        <f t="shared" si="49"/>
        <v>0</v>
      </c>
      <c r="GP55">
        <f t="shared" si="50"/>
        <v>0</v>
      </c>
      <c r="GR55">
        <v>1</v>
      </c>
      <c r="GS55">
        <v>1</v>
      </c>
      <c r="GT55">
        <v>0</v>
      </c>
      <c r="GU55" t="s">
        <v>3</v>
      </c>
      <c r="GV55">
        <f t="shared" si="51"/>
        <v>0</v>
      </c>
      <c r="GW55">
        <v>1</v>
      </c>
      <c r="GX55">
        <f t="shared" si="52"/>
        <v>0</v>
      </c>
      <c r="HA55">
        <v>0</v>
      </c>
      <c r="HB55">
        <v>0</v>
      </c>
      <c r="HC55">
        <f t="shared" si="53"/>
        <v>0</v>
      </c>
      <c r="HE55" t="s">
        <v>55</v>
      </c>
      <c r="HF55" t="s">
        <v>27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IK55">
        <v>0</v>
      </c>
    </row>
    <row r="56" spans="1:245" x14ac:dyDescent="0.2">
      <c r="A56">
        <v>17</v>
      </c>
      <c r="B56">
        <v>1</v>
      </c>
      <c r="C56">
        <f>ROW(SmtRes!A70)</f>
        <v>70</v>
      </c>
      <c r="D56">
        <f>ROW(EtalonRes!A70)</f>
        <v>70</v>
      </c>
      <c r="E56" t="s">
        <v>143</v>
      </c>
      <c r="F56" t="s">
        <v>144</v>
      </c>
      <c r="G56" t="s">
        <v>145</v>
      </c>
      <c r="H56" t="s">
        <v>30</v>
      </c>
      <c r="I56">
        <f>ROUND(309/100,9)</f>
        <v>3.09</v>
      </c>
      <c r="J56">
        <v>0</v>
      </c>
      <c r="K56">
        <f>ROUND(309/100,9)</f>
        <v>3.09</v>
      </c>
      <c r="O56">
        <f t="shared" si="21"/>
        <v>10607.62</v>
      </c>
      <c r="P56">
        <f t="shared" si="22"/>
        <v>4461.3100000000004</v>
      </c>
      <c r="Q56">
        <f t="shared" si="23"/>
        <v>425.93</v>
      </c>
      <c r="R56">
        <f t="shared" si="24"/>
        <v>128.53</v>
      </c>
      <c r="S56">
        <f t="shared" si="25"/>
        <v>5720.38</v>
      </c>
      <c r="T56">
        <f t="shared" si="26"/>
        <v>0</v>
      </c>
      <c r="U56">
        <f t="shared" si="27"/>
        <v>14.320604999999999</v>
      </c>
      <c r="V56">
        <f t="shared" si="28"/>
        <v>0.23174999999999998</v>
      </c>
      <c r="W56">
        <f t="shared" si="29"/>
        <v>0</v>
      </c>
      <c r="X56">
        <f t="shared" si="30"/>
        <v>6316.82</v>
      </c>
      <c r="Y56">
        <f t="shared" si="31"/>
        <v>2734.37</v>
      </c>
      <c r="AA56">
        <v>145185703</v>
      </c>
      <c r="AB56">
        <f t="shared" si="32"/>
        <v>223.08</v>
      </c>
      <c r="AC56">
        <f t="shared" si="54"/>
        <v>172.29</v>
      </c>
      <c r="AD56">
        <f>ROUND(((((ET56*1.25))-((EU56*1.25)))+AE56),2)</f>
        <v>10.29</v>
      </c>
      <c r="AE56">
        <f>ROUND(((EU56*1.25)),2)</f>
        <v>0.91</v>
      </c>
      <c r="AF56">
        <f>ROUND(((EV56*1.15)),2)</f>
        <v>40.5</v>
      </c>
      <c r="AG56">
        <f t="shared" si="33"/>
        <v>0</v>
      </c>
      <c r="AH56">
        <f>((EW56*1.15))</f>
        <v>4.6345000000000001</v>
      </c>
      <c r="AI56">
        <f>((EX56*1.25))</f>
        <v>7.4999999999999997E-2</v>
      </c>
      <c r="AJ56">
        <f t="shared" si="34"/>
        <v>0</v>
      </c>
      <c r="AK56">
        <v>215.74</v>
      </c>
      <c r="AL56">
        <v>172.29</v>
      </c>
      <c r="AM56">
        <v>8.23</v>
      </c>
      <c r="AN56">
        <v>0.73</v>
      </c>
      <c r="AO56">
        <v>35.22</v>
      </c>
      <c r="AP56">
        <v>0</v>
      </c>
      <c r="AQ56">
        <v>4.03</v>
      </c>
      <c r="AR56">
        <v>0.06</v>
      </c>
      <c r="AS56">
        <v>0</v>
      </c>
      <c r="AT56">
        <v>108</v>
      </c>
      <c r="AU56">
        <v>46.75</v>
      </c>
      <c r="AV56">
        <v>1</v>
      </c>
      <c r="AW56">
        <v>1</v>
      </c>
      <c r="AZ56">
        <v>1</v>
      </c>
      <c r="BA56">
        <v>45.71</v>
      </c>
      <c r="BB56">
        <v>13.41</v>
      </c>
      <c r="BC56">
        <v>8.3800000000000008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1</v>
      </c>
      <c r="BJ56" t="s">
        <v>146</v>
      </c>
      <c r="BM56">
        <v>10001</v>
      </c>
      <c r="BN56">
        <v>0</v>
      </c>
      <c r="BO56" t="s">
        <v>3</v>
      </c>
      <c r="BP56">
        <v>0</v>
      </c>
      <c r="BQ56">
        <v>2</v>
      </c>
      <c r="BR56">
        <v>0</v>
      </c>
      <c r="BS56">
        <v>45.71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108</v>
      </c>
      <c r="CA56">
        <v>55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548</v>
      </c>
      <c r="CO56">
        <v>0</v>
      </c>
      <c r="CP56">
        <f t="shared" si="35"/>
        <v>10607.62</v>
      </c>
      <c r="CQ56">
        <f t="shared" si="36"/>
        <v>1443.7902000000001</v>
      </c>
      <c r="CR56">
        <f>((((ET56*1.25))*BB56-((EU56*1.25))*BS56)+AE56*BS56)</f>
        <v>137.84110000000004</v>
      </c>
      <c r="CS56">
        <f t="shared" si="37"/>
        <v>41.5961</v>
      </c>
      <c r="CT56">
        <f t="shared" si="38"/>
        <v>1851.2550000000001</v>
      </c>
      <c r="CU56">
        <f t="shared" si="39"/>
        <v>0</v>
      </c>
      <c r="CV56">
        <f t="shared" si="40"/>
        <v>4.6345000000000001</v>
      </c>
      <c r="CW56">
        <f t="shared" si="41"/>
        <v>7.4999999999999997E-2</v>
      </c>
      <c r="CX56">
        <f t="shared" si="42"/>
        <v>0</v>
      </c>
      <c r="CY56">
        <f t="shared" si="43"/>
        <v>6316.8227999999999</v>
      </c>
      <c r="CZ56">
        <f t="shared" si="44"/>
        <v>2734.365425</v>
      </c>
      <c r="DC56" t="s">
        <v>3</v>
      </c>
      <c r="DD56" t="s">
        <v>3</v>
      </c>
      <c r="DE56" t="s">
        <v>42</v>
      </c>
      <c r="DF56" t="s">
        <v>42</v>
      </c>
      <c r="DG56" t="s">
        <v>43</v>
      </c>
      <c r="DH56" t="s">
        <v>3</v>
      </c>
      <c r="DI56" t="s">
        <v>43</v>
      </c>
      <c r="DJ56" t="s">
        <v>42</v>
      </c>
      <c r="DK56" t="s">
        <v>3</v>
      </c>
      <c r="DL56" t="s">
        <v>3</v>
      </c>
      <c r="DM56" t="s">
        <v>44</v>
      </c>
      <c r="DN56">
        <v>0</v>
      </c>
      <c r="DO56">
        <v>0</v>
      </c>
      <c r="DP56">
        <v>1</v>
      </c>
      <c r="DQ56">
        <v>1</v>
      </c>
      <c r="DU56">
        <v>1005</v>
      </c>
      <c r="DV56" t="s">
        <v>30</v>
      </c>
      <c r="DW56" t="s">
        <v>30</v>
      </c>
      <c r="DX56">
        <v>100</v>
      </c>
      <c r="DZ56" t="s">
        <v>3</v>
      </c>
      <c r="EA56" t="s">
        <v>3</v>
      </c>
      <c r="EB56" t="s">
        <v>3</v>
      </c>
      <c r="EC56" t="s">
        <v>3</v>
      </c>
      <c r="EE56">
        <v>140625028</v>
      </c>
      <c r="EF56">
        <v>2</v>
      </c>
      <c r="EG56" t="s">
        <v>32</v>
      </c>
      <c r="EH56">
        <v>10</v>
      </c>
      <c r="EI56" t="s">
        <v>147</v>
      </c>
      <c r="EJ56">
        <v>1</v>
      </c>
      <c r="EK56">
        <v>10001</v>
      </c>
      <c r="EL56" t="s">
        <v>147</v>
      </c>
      <c r="EM56" t="s">
        <v>148</v>
      </c>
      <c r="EO56" t="s">
        <v>47</v>
      </c>
      <c r="EQ56">
        <v>0</v>
      </c>
      <c r="ER56">
        <v>215.74</v>
      </c>
      <c r="ES56">
        <v>172.29</v>
      </c>
      <c r="ET56">
        <v>8.23</v>
      </c>
      <c r="EU56">
        <v>0.73</v>
      </c>
      <c r="EV56">
        <v>35.22</v>
      </c>
      <c r="EW56">
        <v>4.03</v>
      </c>
      <c r="EX56">
        <v>0.06</v>
      </c>
      <c r="EY56">
        <v>0</v>
      </c>
      <c r="FQ56">
        <v>0</v>
      </c>
      <c r="FR56">
        <f t="shared" si="45"/>
        <v>0</v>
      </c>
      <c r="FS56">
        <v>0</v>
      </c>
      <c r="FX56">
        <v>108</v>
      </c>
      <c r="FY56">
        <v>46.75</v>
      </c>
      <c r="GA56" t="s">
        <v>3</v>
      </c>
      <c r="GD56">
        <v>1</v>
      </c>
      <c r="GF56">
        <v>-1464338674</v>
      </c>
      <c r="GG56">
        <v>2</v>
      </c>
      <c r="GH56">
        <v>1</v>
      </c>
      <c r="GI56">
        <v>4</v>
      </c>
      <c r="GJ56">
        <v>0</v>
      </c>
      <c r="GK56">
        <v>0</v>
      </c>
      <c r="GL56">
        <f t="shared" si="46"/>
        <v>0</v>
      </c>
      <c r="GM56">
        <f t="shared" si="47"/>
        <v>19658.810000000001</v>
      </c>
      <c r="GN56">
        <f t="shared" si="48"/>
        <v>19658.810000000001</v>
      </c>
      <c r="GO56">
        <f t="shared" si="49"/>
        <v>0</v>
      </c>
      <c r="GP56">
        <f t="shared" si="50"/>
        <v>0</v>
      </c>
      <c r="GR56">
        <v>0</v>
      </c>
      <c r="GS56">
        <v>3</v>
      </c>
      <c r="GT56">
        <v>0</v>
      </c>
      <c r="GU56" t="s">
        <v>3</v>
      </c>
      <c r="GV56">
        <f t="shared" si="51"/>
        <v>0</v>
      </c>
      <c r="GW56">
        <v>1</v>
      </c>
      <c r="GX56">
        <f t="shared" si="52"/>
        <v>0</v>
      </c>
      <c r="HA56">
        <v>0</v>
      </c>
      <c r="HB56">
        <v>0</v>
      </c>
      <c r="HC56">
        <f t="shared" si="53"/>
        <v>0</v>
      </c>
      <c r="HE56" t="s">
        <v>3</v>
      </c>
      <c r="HF56" t="s">
        <v>3</v>
      </c>
      <c r="HM56" t="s">
        <v>3</v>
      </c>
      <c r="HN56" t="s">
        <v>149</v>
      </c>
      <c r="HO56" t="s">
        <v>150</v>
      </c>
      <c r="HP56" t="s">
        <v>147</v>
      </c>
      <c r="HQ56" t="s">
        <v>147</v>
      </c>
      <c r="IK56">
        <v>0</v>
      </c>
    </row>
    <row r="57" spans="1:245" x14ac:dyDescent="0.2">
      <c r="A57">
        <v>18</v>
      </c>
      <c r="B57">
        <v>1</v>
      </c>
      <c r="C57">
        <v>69</v>
      </c>
      <c r="E57" t="s">
        <v>151</v>
      </c>
      <c r="F57" t="s">
        <v>152</v>
      </c>
      <c r="G57" t="s">
        <v>153</v>
      </c>
      <c r="H57" t="s">
        <v>21</v>
      </c>
      <c r="I57">
        <f>I56*J57</f>
        <v>-2.7810000000000001E-2</v>
      </c>
      <c r="J57">
        <v>-9.0000000000000011E-3</v>
      </c>
      <c r="K57">
        <v>-8.9999999999999993E-3</v>
      </c>
      <c r="O57">
        <f t="shared" si="21"/>
        <v>-4451.21</v>
      </c>
      <c r="P57">
        <f t="shared" si="22"/>
        <v>-4451.21</v>
      </c>
      <c r="Q57">
        <f t="shared" si="23"/>
        <v>0</v>
      </c>
      <c r="R57">
        <f t="shared" si="24"/>
        <v>0</v>
      </c>
      <c r="S57">
        <f t="shared" si="25"/>
        <v>0</v>
      </c>
      <c r="T57">
        <f t="shared" si="26"/>
        <v>0</v>
      </c>
      <c r="U57">
        <f t="shared" si="27"/>
        <v>0</v>
      </c>
      <c r="V57">
        <f t="shared" si="28"/>
        <v>0</v>
      </c>
      <c r="W57">
        <f t="shared" si="29"/>
        <v>0</v>
      </c>
      <c r="X57">
        <f t="shared" si="30"/>
        <v>0</v>
      </c>
      <c r="Y57">
        <f t="shared" si="31"/>
        <v>0</v>
      </c>
      <c r="AA57">
        <v>145185703</v>
      </c>
      <c r="AB57">
        <f t="shared" si="32"/>
        <v>19100</v>
      </c>
      <c r="AC57">
        <f t="shared" si="54"/>
        <v>19100</v>
      </c>
      <c r="AD57">
        <f>ROUND((((ET57)-(EU57))+AE57),2)</f>
        <v>0</v>
      </c>
      <c r="AE57">
        <f t="shared" ref="AE57:AF61" si="63">ROUND((EU57),2)</f>
        <v>0</v>
      </c>
      <c r="AF57">
        <f t="shared" si="63"/>
        <v>0</v>
      </c>
      <c r="AG57">
        <f t="shared" si="33"/>
        <v>0</v>
      </c>
      <c r="AH57">
        <f t="shared" ref="AH57:AI61" si="64">(EW57)</f>
        <v>0</v>
      </c>
      <c r="AI57">
        <f t="shared" si="64"/>
        <v>0</v>
      </c>
      <c r="AJ57">
        <f t="shared" si="34"/>
        <v>0</v>
      </c>
      <c r="AK57">
        <v>19100</v>
      </c>
      <c r="AL57">
        <v>19100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108</v>
      </c>
      <c r="AU57">
        <v>55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8.3800000000000008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1</v>
      </c>
      <c r="BJ57" t="s">
        <v>154</v>
      </c>
      <c r="BM57">
        <v>10001</v>
      </c>
      <c r="BN57">
        <v>0</v>
      </c>
      <c r="BO57" t="s">
        <v>3</v>
      </c>
      <c r="BP57">
        <v>0</v>
      </c>
      <c r="BQ57">
        <v>2</v>
      </c>
      <c r="BR57">
        <v>1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108</v>
      </c>
      <c r="CA57">
        <v>55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35"/>
        <v>-4451.21</v>
      </c>
      <c r="CQ57">
        <f t="shared" si="36"/>
        <v>160058.00000000003</v>
      </c>
      <c r="CR57">
        <f>(((ET57)*BB57-(EU57)*BS57)+AE57*BS57)</f>
        <v>0</v>
      </c>
      <c r="CS57">
        <f t="shared" si="37"/>
        <v>0</v>
      </c>
      <c r="CT57">
        <f t="shared" si="38"/>
        <v>0</v>
      </c>
      <c r="CU57">
        <f t="shared" si="39"/>
        <v>0</v>
      </c>
      <c r="CV57">
        <f t="shared" si="40"/>
        <v>0</v>
      </c>
      <c r="CW57">
        <f t="shared" si="41"/>
        <v>0</v>
      </c>
      <c r="CX57">
        <f t="shared" si="42"/>
        <v>0</v>
      </c>
      <c r="CY57">
        <f t="shared" si="43"/>
        <v>0</v>
      </c>
      <c r="CZ57">
        <f t="shared" si="44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1009</v>
      </c>
      <c r="DV57" t="s">
        <v>21</v>
      </c>
      <c r="DW57" t="s">
        <v>21</v>
      </c>
      <c r="DX57">
        <v>1000</v>
      </c>
      <c r="DZ57" t="s">
        <v>3</v>
      </c>
      <c r="EA57" t="s">
        <v>3</v>
      </c>
      <c r="EB57" t="s">
        <v>3</v>
      </c>
      <c r="EC57" t="s">
        <v>3</v>
      </c>
      <c r="EE57">
        <v>140625028</v>
      </c>
      <c r="EF57">
        <v>2</v>
      </c>
      <c r="EG57" t="s">
        <v>32</v>
      </c>
      <c r="EH57">
        <v>10</v>
      </c>
      <c r="EI57" t="s">
        <v>147</v>
      </c>
      <c r="EJ57">
        <v>1</v>
      </c>
      <c r="EK57">
        <v>10001</v>
      </c>
      <c r="EL57" t="s">
        <v>147</v>
      </c>
      <c r="EM57" t="s">
        <v>148</v>
      </c>
      <c r="EO57" t="s">
        <v>3</v>
      </c>
      <c r="EQ57">
        <v>0</v>
      </c>
      <c r="ER57">
        <v>19100</v>
      </c>
      <c r="ES57">
        <v>19100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45"/>
        <v>0</v>
      </c>
      <c r="FS57">
        <v>0</v>
      </c>
      <c r="FX57">
        <v>108</v>
      </c>
      <c r="FY57">
        <v>55</v>
      </c>
      <c r="GA57" t="s">
        <v>3</v>
      </c>
      <c r="GD57">
        <v>1</v>
      </c>
      <c r="GF57">
        <v>-1616928744</v>
      </c>
      <c r="GG57">
        <v>2</v>
      </c>
      <c r="GH57">
        <v>1</v>
      </c>
      <c r="GI57">
        <v>4</v>
      </c>
      <c r="GJ57">
        <v>0</v>
      </c>
      <c r="GK57">
        <v>0</v>
      </c>
      <c r="GL57">
        <f t="shared" si="46"/>
        <v>0</v>
      </c>
      <c r="GM57">
        <f t="shared" si="47"/>
        <v>-4451.21</v>
      </c>
      <c r="GN57">
        <f t="shared" si="48"/>
        <v>-4451.21</v>
      </c>
      <c r="GO57">
        <f t="shared" si="49"/>
        <v>0</v>
      </c>
      <c r="GP57">
        <f t="shared" si="50"/>
        <v>0</v>
      </c>
      <c r="GR57">
        <v>0</v>
      </c>
      <c r="GS57">
        <v>3</v>
      </c>
      <c r="GT57">
        <v>0</v>
      </c>
      <c r="GU57" t="s">
        <v>3</v>
      </c>
      <c r="GV57">
        <f t="shared" si="51"/>
        <v>0</v>
      </c>
      <c r="GW57">
        <v>1</v>
      </c>
      <c r="GX57">
        <f t="shared" si="52"/>
        <v>0</v>
      </c>
      <c r="HA57">
        <v>0</v>
      </c>
      <c r="HB57">
        <v>0</v>
      </c>
      <c r="HC57">
        <f t="shared" si="53"/>
        <v>0</v>
      </c>
      <c r="HE57" t="s">
        <v>3</v>
      </c>
      <c r="HF57" t="s">
        <v>3</v>
      </c>
      <c r="HM57" t="s">
        <v>3</v>
      </c>
      <c r="HN57" t="s">
        <v>149</v>
      </c>
      <c r="HO57" t="s">
        <v>150</v>
      </c>
      <c r="HP57" t="s">
        <v>147</v>
      </c>
      <c r="HQ57" t="s">
        <v>147</v>
      </c>
      <c r="IK57">
        <v>0</v>
      </c>
    </row>
    <row r="58" spans="1:245" x14ac:dyDescent="0.2">
      <c r="A58">
        <v>17</v>
      </c>
      <c r="B58">
        <v>1</v>
      </c>
      <c r="E58" t="s">
        <v>155</v>
      </c>
      <c r="F58" t="s">
        <v>56</v>
      </c>
      <c r="G58" t="s">
        <v>156</v>
      </c>
      <c r="H58" t="s">
        <v>157</v>
      </c>
      <c r="I58">
        <f>ROUND(I56*33.3,9)</f>
        <v>102.89700000000001</v>
      </c>
      <c r="J58">
        <v>0</v>
      </c>
      <c r="K58">
        <f>ROUND(I56*33.3,9)</f>
        <v>102.89700000000001</v>
      </c>
      <c r="O58">
        <f t="shared" si="21"/>
        <v>9114.27</v>
      </c>
      <c r="P58">
        <f t="shared" si="22"/>
        <v>9114.27</v>
      </c>
      <c r="Q58">
        <f t="shared" si="23"/>
        <v>0</v>
      </c>
      <c r="R58">
        <f t="shared" si="24"/>
        <v>0</v>
      </c>
      <c r="S58">
        <f t="shared" si="25"/>
        <v>0</v>
      </c>
      <c r="T58">
        <f t="shared" si="26"/>
        <v>0</v>
      </c>
      <c r="U58">
        <f t="shared" si="27"/>
        <v>0</v>
      </c>
      <c r="V58">
        <f t="shared" si="28"/>
        <v>0</v>
      </c>
      <c r="W58">
        <f t="shared" si="29"/>
        <v>0</v>
      </c>
      <c r="X58">
        <f t="shared" si="30"/>
        <v>0</v>
      </c>
      <c r="Y58">
        <f t="shared" si="31"/>
        <v>0</v>
      </c>
      <c r="AA58">
        <v>145185703</v>
      </c>
      <c r="AB58">
        <f t="shared" si="32"/>
        <v>10.57</v>
      </c>
      <c r="AC58">
        <f t="shared" si="54"/>
        <v>10.57</v>
      </c>
      <c r="AD58">
        <f>ROUND((((ET58)-(EU58))+AE58),2)</f>
        <v>0</v>
      </c>
      <c r="AE58">
        <f t="shared" si="63"/>
        <v>0</v>
      </c>
      <c r="AF58">
        <f t="shared" si="63"/>
        <v>0</v>
      </c>
      <c r="AG58">
        <f t="shared" si="33"/>
        <v>0</v>
      </c>
      <c r="AH58">
        <f t="shared" si="64"/>
        <v>0</v>
      </c>
      <c r="AI58">
        <f t="shared" si="64"/>
        <v>0</v>
      </c>
      <c r="AJ58">
        <f t="shared" si="34"/>
        <v>0</v>
      </c>
      <c r="AK58">
        <v>10.57</v>
      </c>
      <c r="AL58">
        <v>10.57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8.3800000000000008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1</v>
      </c>
      <c r="BJ58" t="s">
        <v>3</v>
      </c>
      <c r="BM58">
        <v>1100</v>
      </c>
      <c r="BN58">
        <v>0</v>
      </c>
      <c r="BO58" t="s">
        <v>3</v>
      </c>
      <c r="BP58">
        <v>0</v>
      </c>
      <c r="BQ58">
        <v>8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0</v>
      </c>
      <c r="CA58">
        <v>0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35"/>
        <v>9114.27</v>
      </c>
      <c r="CQ58">
        <f t="shared" si="36"/>
        <v>88.576600000000013</v>
      </c>
      <c r="CR58">
        <f>(((ET58)*BB58-(EU58)*BS58)+AE58*BS58)</f>
        <v>0</v>
      </c>
      <c r="CS58">
        <f t="shared" si="37"/>
        <v>0</v>
      </c>
      <c r="CT58">
        <f t="shared" si="38"/>
        <v>0</v>
      </c>
      <c r="CU58">
        <f t="shared" si="39"/>
        <v>0</v>
      </c>
      <c r="CV58">
        <f t="shared" si="40"/>
        <v>0</v>
      </c>
      <c r="CW58">
        <f t="shared" si="41"/>
        <v>0</v>
      </c>
      <c r="CX58">
        <f t="shared" si="42"/>
        <v>0</v>
      </c>
      <c r="CY58">
        <f t="shared" si="43"/>
        <v>0</v>
      </c>
      <c r="CZ58">
        <f t="shared" si="44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1002</v>
      </c>
      <c r="DV58" t="s">
        <v>157</v>
      </c>
      <c r="DW58" t="s">
        <v>157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140625274</v>
      </c>
      <c r="EF58">
        <v>8</v>
      </c>
      <c r="EG58" t="s">
        <v>22</v>
      </c>
      <c r="EH58">
        <v>0</v>
      </c>
      <c r="EI58" t="s">
        <v>3</v>
      </c>
      <c r="EJ58">
        <v>1</v>
      </c>
      <c r="EK58">
        <v>1100</v>
      </c>
      <c r="EL58" t="s">
        <v>23</v>
      </c>
      <c r="EM58" t="s">
        <v>24</v>
      </c>
      <c r="EO58" t="s">
        <v>3</v>
      </c>
      <c r="EQ58">
        <v>0</v>
      </c>
      <c r="ER58">
        <v>10.670000000000002</v>
      </c>
      <c r="ES58">
        <v>10.57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5</v>
      </c>
      <c r="FC58">
        <v>1</v>
      </c>
      <c r="FD58">
        <v>18</v>
      </c>
      <c r="FF58">
        <v>99.3</v>
      </c>
      <c r="FQ58">
        <v>0</v>
      </c>
      <c r="FR58">
        <f t="shared" si="45"/>
        <v>0</v>
      </c>
      <c r="FS58">
        <v>0</v>
      </c>
      <c r="FX58">
        <v>0</v>
      </c>
      <c r="FY58">
        <v>0</v>
      </c>
      <c r="GA58" t="s">
        <v>158</v>
      </c>
      <c r="GD58">
        <v>1</v>
      </c>
      <c r="GF58">
        <v>1310772798</v>
      </c>
      <c r="GG58">
        <v>2</v>
      </c>
      <c r="GH58">
        <v>3</v>
      </c>
      <c r="GI58">
        <v>4</v>
      </c>
      <c r="GJ58">
        <v>0</v>
      </c>
      <c r="GK58">
        <v>0</v>
      </c>
      <c r="GL58">
        <f t="shared" si="46"/>
        <v>0</v>
      </c>
      <c r="GM58">
        <f t="shared" si="47"/>
        <v>9114.27</v>
      </c>
      <c r="GN58">
        <f t="shared" si="48"/>
        <v>9114.27</v>
      </c>
      <c r="GO58">
        <f t="shared" si="49"/>
        <v>0</v>
      </c>
      <c r="GP58">
        <f t="shared" si="50"/>
        <v>0</v>
      </c>
      <c r="GR58">
        <v>1</v>
      </c>
      <c r="GS58">
        <v>1</v>
      </c>
      <c r="GT58">
        <v>0</v>
      </c>
      <c r="GU58" t="s">
        <v>3</v>
      </c>
      <c r="GV58">
        <f t="shared" si="51"/>
        <v>0</v>
      </c>
      <c r="GW58">
        <v>1</v>
      </c>
      <c r="GX58">
        <f t="shared" si="52"/>
        <v>0</v>
      </c>
      <c r="HA58">
        <v>0</v>
      </c>
      <c r="HB58">
        <v>0</v>
      </c>
      <c r="HC58">
        <f t="shared" si="53"/>
        <v>0</v>
      </c>
      <c r="HE58" t="s">
        <v>55</v>
      </c>
      <c r="HF58" t="s">
        <v>27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45" x14ac:dyDescent="0.2">
      <c r="A59">
        <v>17</v>
      </c>
      <c r="B59">
        <v>1</v>
      </c>
      <c r="C59">
        <f>ROW(SmtRes!A78)</f>
        <v>78</v>
      </c>
      <c r="D59">
        <f>ROW(EtalonRes!A78)</f>
        <v>78</v>
      </c>
      <c r="E59" t="s">
        <v>159</v>
      </c>
      <c r="F59" t="s">
        <v>160</v>
      </c>
      <c r="G59" t="s">
        <v>161</v>
      </c>
      <c r="H59" t="s">
        <v>81</v>
      </c>
      <c r="I59">
        <f>ROUND(23/0.8/100,9)</f>
        <v>0.28749999999999998</v>
      </c>
      <c r="J59">
        <v>0</v>
      </c>
      <c r="K59">
        <f>ROUND(23/0.8/100,9)</f>
        <v>0.28749999999999998</v>
      </c>
      <c r="O59">
        <f t="shared" si="21"/>
        <v>8261.69</v>
      </c>
      <c r="P59">
        <f t="shared" si="22"/>
        <v>347.39</v>
      </c>
      <c r="Q59">
        <f t="shared" si="23"/>
        <v>39.44</v>
      </c>
      <c r="R59">
        <f t="shared" si="24"/>
        <v>42.58</v>
      </c>
      <c r="S59">
        <f t="shared" si="25"/>
        <v>7874.86</v>
      </c>
      <c r="T59">
        <f t="shared" si="26"/>
        <v>0</v>
      </c>
      <c r="U59">
        <f t="shared" si="27"/>
        <v>20.196874999999999</v>
      </c>
      <c r="V59">
        <f t="shared" si="28"/>
        <v>7.1874999999999994E-2</v>
      </c>
      <c r="W59">
        <f t="shared" si="29"/>
        <v>0</v>
      </c>
      <c r="X59">
        <f t="shared" si="30"/>
        <v>7125.7</v>
      </c>
      <c r="Y59">
        <f t="shared" si="31"/>
        <v>3642.02</v>
      </c>
      <c r="AA59">
        <v>145185703</v>
      </c>
      <c r="AB59">
        <f t="shared" si="32"/>
        <v>753.65</v>
      </c>
      <c r="AC59">
        <f t="shared" si="54"/>
        <v>144.19</v>
      </c>
      <c r="AD59">
        <f>ROUND((((ET59)-(EU59))+AE59),2)</f>
        <v>10.23</v>
      </c>
      <c r="AE59">
        <f t="shared" si="63"/>
        <v>3.24</v>
      </c>
      <c r="AF59">
        <f t="shared" si="63"/>
        <v>599.23</v>
      </c>
      <c r="AG59">
        <f t="shared" si="33"/>
        <v>0</v>
      </c>
      <c r="AH59">
        <f t="shared" si="64"/>
        <v>70.25</v>
      </c>
      <c r="AI59">
        <f t="shared" si="64"/>
        <v>0.25</v>
      </c>
      <c r="AJ59">
        <f t="shared" si="34"/>
        <v>0</v>
      </c>
      <c r="AK59">
        <v>753.65</v>
      </c>
      <c r="AL59">
        <v>144.19</v>
      </c>
      <c r="AM59">
        <v>10.23</v>
      </c>
      <c r="AN59">
        <v>3.24</v>
      </c>
      <c r="AO59">
        <v>599.23</v>
      </c>
      <c r="AP59">
        <v>0</v>
      </c>
      <c r="AQ59">
        <v>70.25</v>
      </c>
      <c r="AR59">
        <v>0.25</v>
      </c>
      <c r="AS59">
        <v>0</v>
      </c>
      <c r="AT59">
        <v>90</v>
      </c>
      <c r="AU59">
        <v>46</v>
      </c>
      <c r="AV59">
        <v>1</v>
      </c>
      <c r="AW59">
        <v>1</v>
      </c>
      <c r="AZ59">
        <v>1</v>
      </c>
      <c r="BA59">
        <v>45.71</v>
      </c>
      <c r="BB59">
        <v>13.41</v>
      </c>
      <c r="BC59">
        <v>8.3800000000000008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1</v>
      </c>
      <c r="BJ59" t="s">
        <v>162</v>
      </c>
      <c r="BM59">
        <v>58001</v>
      </c>
      <c r="BN59">
        <v>0</v>
      </c>
      <c r="BO59" t="s">
        <v>3</v>
      </c>
      <c r="BP59">
        <v>0</v>
      </c>
      <c r="BQ59">
        <v>6</v>
      </c>
      <c r="BR59">
        <v>0</v>
      </c>
      <c r="BS59">
        <v>45.71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90</v>
      </c>
      <c r="CA59">
        <v>46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35"/>
        <v>8261.69</v>
      </c>
      <c r="CQ59">
        <f t="shared" si="36"/>
        <v>1208.3122000000001</v>
      </c>
      <c r="CR59">
        <f>(((ET59)*BB59-(EU59)*BS59)+AE59*BS59)</f>
        <v>137.18430000000001</v>
      </c>
      <c r="CS59">
        <f t="shared" si="37"/>
        <v>148.10040000000001</v>
      </c>
      <c r="CT59">
        <f t="shared" si="38"/>
        <v>27390.8033</v>
      </c>
      <c r="CU59">
        <f t="shared" si="39"/>
        <v>0</v>
      </c>
      <c r="CV59">
        <f t="shared" si="40"/>
        <v>70.25</v>
      </c>
      <c r="CW59">
        <f t="shared" si="41"/>
        <v>0.25</v>
      </c>
      <c r="CX59">
        <f t="shared" si="42"/>
        <v>0</v>
      </c>
      <c r="CY59">
        <f t="shared" si="43"/>
        <v>7125.6959999999999</v>
      </c>
      <c r="CZ59">
        <f t="shared" si="44"/>
        <v>3642.0223999999998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1003</v>
      </c>
      <c r="DV59" t="s">
        <v>81</v>
      </c>
      <c r="DW59" t="s">
        <v>81</v>
      </c>
      <c r="DX59">
        <v>100</v>
      </c>
      <c r="DZ59" t="s">
        <v>3</v>
      </c>
      <c r="EA59" t="s">
        <v>3</v>
      </c>
      <c r="EB59" t="s">
        <v>3</v>
      </c>
      <c r="EC59" t="s">
        <v>3</v>
      </c>
      <c r="EE59">
        <v>140625154</v>
      </c>
      <c r="EF59">
        <v>6</v>
      </c>
      <c r="EG59" t="s">
        <v>133</v>
      </c>
      <c r="EH59">
        <v>92</v>
      </c>
      <c r="EI59" t="s">
        <v>134</v>
      </c>
      <c r="EJ59">
        <v>1</v>
      </c>
      <c r="EK59">
        <v>58001</v>
      </c>
      <c r="EL59" t="s">
        <v>134</v>
      </c>
      <c r="EM59" t="s">
        <v>135</v>
      </c>
      <c r="EO59" t="s">
        <v>3</v>
      </c>
      <c r="EQ59">
        <v>0</v>
      </c>
      <c r="ER59">
        <v>753.65</v>
      </c>
      <c r="ES59">
        <v>144.19</v>
      </c>
      <c r="ET59">
        <v>10.23</v>
      </c>
      <c r="EU59">
        <v>3.24</v>
      </c>
      <c r="EV59">
        <v>599.23</v>
      </c>
      <c r="EW59">
        <v>70.25</v>
      </c>
      <c r="EX59">
        <v>0.25</v>
      </c>
      <c r="EY59">
        <v>0</v>
      </c>
      <c r="FQ59">
        <v>0</v>
      </c>
      <c r="FR59">
        <f t="shared" si="45"/>
        <v>0</v>
      </c>
      <c r="FS59">
        <v>0</v>
      </c>
      <c r="FX59">
        <v>90</v>
      </c>
      <c r="FY59">
        <v>46</v>
      </c>
      <c r="GA59" t="s">
        <v>3</v>
      </c>
      <c r="GD59">
        <v>1</v>
      </c>
      <c r="GF59">
        <v>-1314138178</v>
      </c>
      <c r="GG59">
        <v>2</v>
      </c>
      <c r="GH59">
        <v>1</v>
      </c>
      <c r="GI59">
        <v>4</v>
      </c>
      <c r="GJ59">
        <v>0</v>
      </c>
      <c r="GK59">
        <v>0</v>
      </c>
      <c r="GL59">
        <f t="shared" si="46"/>
        <v>0</v>
      </c>
      <c r="GM59">
        <f t="shared" si="47"/>
        <v>19029.41</v>
      </c>
      <c r="GN59">
        <f t="shared" si="48"/>
        <v>19029.41</v>
      </c>
      <c r="GO59">
        <f t="shared" si="49"/>
        <v>0</v>
      </c>
      <c r="GP59">
        <f t="shared" si="50"/>
        <v>0</v>
      </c>
      <c r="GR59">
        <v>0</v>
      </c>
      <c r="GS59">
        <v>3</v>
      </c>
      <c r="GT59">
        <v>0</v>
      </c>
      <c r="GU59" t="s">
        <v>3</v>
      </c>
      <c r="GV59">
        <f t="shared" si="51"/>
        <v>0</v>
      </c>
      <c r="GW59">
        <v>1</v>
      </c>
      <c r="GX59">
        <f t="shared" si="52"/>
        <v>0</v>
      </c>
      <c r="HA59">
        <v>0</v>
      </c>
      <c r="HB59">
        <v>0</v>
      </c>
      <c r="HC59">
        <f t="shared" si="53"/>
        <v>0</v>
      </c>
      <c r="HE59" t="s">
        <v>3</v>
      </c>
      <c r="HF59" t="s">
        <v>3</v>
      </c>
      <c r="HM59" t="s">
        <v>3</v>
      </c>
      <c r="HN59" t="s">
        <v>136</v>
      </c>
      <c r="HO59" t="s">
        <v>137</v>
      </c>
      <c r="HP59" t="s">
        <v>138</v>
      </c>
      <c r="HQ59" t="s">
        <v>138</v>
      </c>
      <c r="IK59">
        <v>0</v>
      </c>
    </row>
    <row r="60" spans="1:245" x14ac:dyDescent="0.2">
      <c r="A60">
        <v>17</v>
      </c>
      <c r="B60">
        <v>1</v>
      </c>
      <c r="E60" t="s">
        <v>163</v>
      </c>
      <c r="F60" t="s">
        <v>56</v>
      </c>
      <c r="G60" t="s">
        <v>126</v>
      </c>
      <c r="H60" t="s">
        <v>21</v>
      </c>
      <c r="I60">
        <f>ROUND(ROUND(23*5.5*1.22/1000,4),9)</f>
        <v>0.15429999999999999</v>
      </c>
      <c r="J60">
        <v>0</v>
      </c>
      <c r="K60">
        <f>ROUND(ROUND(23*5.5*1.22/1000,4),9)</f>
        <v>0.15429999999999999</v>
      </c>
      <c r="O60">
        <f t="shared" si="21"/>
        <v>15520.22</v>
      </c>
      <c r="P60">
        <f t="shared" si="22"/>
        <v>15520.22</v>
      </c>
      <c r="Q60">
        <f t="shared" si="23"/>
        <v>0</v>
      </c>
      <c r="R60">
        <f t="shared" si="24"/>
        <v>0</v>
      </c>
      <c r="S60">
        <f t="shared" si="25"/>
        <v>0</v>
      </c>
      <c r="T60">
        <f t="shared" si="26"/>
        <v>0</v>
      </c>
      <c r="U60">
        <f t="shared" si="27"/>
        <v>0</v>
      </c>
      <c r="V60">
        <f t="shared" si="28"/>
        <v>0</v>
      </c>
      <c r="W60">
        <f t="shared" si="29"/>
        <v>0</v>
      </c>
      <c r="X60">
        <f t="shared" si="30"/>
        <v>0</v>
      </c>
      <c r="Y60">
        <f t="shared" si="31"/>
        <v>0</v>
      </c>
      <c r="AA60">
        <v>145185703</v>
      </c>
      <c r="AB60">
        <f t="shared" si="32"/>
        <v>12002.95</v>
      </c>
      <c r="AC60">
        <f t="shared" si="54"/>
        <v>12002.95</v>
      </c>
      <c r="AD60">
        <f>ROUND((((ET60)-(EU60))+AE60),2)</f>
        <v>0</v>
      </c>
      <c r="AE60">
        <f t="shared" si="63"/>
        <v>0</v>
      </c>
      <c r="AF60">
        <f t="shared" si="63"/>
        <v>0</v>
      </c>
      <c r="AG60">
        <f t="shared" si="33"/>
        <v>0</v>
      </c>
      <c r="AH60">
        <f t="shared" si="64"/>
        <v>0</v>
      </c>
      <c r="AI60">
        <f t="shared" si="64"/>
        <v>0</v>
      </c>
      <c r="AJ60">
        <f t="shared" si="34"/>
        <v>0</v>
      </c>
      <c r="AK60">
        <v>12002.95</v>
      </c>
      <c r="AL60">
        <v>12002.95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8.3800000000000008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1</v>
      </c>
      <c r="BJ60" t="s">
        <v>3</v>
      </c>
      <c r="BM60">
        <v>1100</v>
      </c>
      <c r="BN60">
        <v>0</v>
      </c>
      <c r="BO60" t="s">
        <v>3</v>
      </c>
      <c r="BP60">
        <v>0</v>
      </c>
      <c r="BQ60">
        <v>8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0</v>
      </c>
      <c r="CA60">
        <v>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35"/>
        <v>15520.22</v>
      </c>
      <c r="CQ60">
        <f t="shared" si="36"/>
        <v>100584.72100000002</v>
      </c>
      <c r="CR60">
        <f>(((ET60)*BB60-(EU60)*BS60)+AE60*BS60)</f>
        <v>0</v>
      </c>
      <c r="CS60">
        <f t="shared" si="37"/>
        <v>0</v>
      </c>
      <c r="CT60">
        <f t="shared" si="38"/>
        <v>0</v>
      </c>
      <c r="CU60">
        <f t="shared" si="39"/>
        <v>0</v>
      </c>
      <c r="CV60">
        <f t="shared" si="40"/>
        <v>0</v>
      </c>
      <c r="CW60">
        <f t="shared" si="41"/>
        <v>0</v>
      </c>
      <c r="CX60">
        <f t="shared" si="42"/>
        <v>0</v>
      </c>
      <c r="CY60">
        <f t="shared" si="43"/>
        <v>0</v>
      </c>
      <c r="CZ60">
        <f t="shared" si="44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1009</v>
      </c>
      <c r="DV60" t="s">
        <v>21</v>
      </c>
      <c r="DW60" t="s">
        <v>21</v>
      </c>
      <c r="DX60">
        <v>1000</v>
      </c>
      <c r="DZ60" t="s">
        <v>3</v>
      </c>
      <c r="EA60" t="s">
        <v>3</v>
      </c>
      <c r="EB60" t="s">
        <v>3</v>
      </c>
      <c r="EC60" t="s">
        <v>3</v>
      </c>
      <c r="EE60">
        <v>140625274</v>
      </c>
      <c r="EF60">
        <v>8</v>
      </c>
      <c r="EG60" t="s">
        <v>22</v>
      </c>
      <c r="EH60">
        <v>0</v>
      </c>
      <c r="EI60" t="s">
        <v>3</v>
      </c>
      <c r="EJ60">
        <v>1</v>
      </c>
      <c r="EK60">
        <v>1100</v>
      </c>
      <c r="EL60" t="s">
        <v>23</v>
      </c>
      <c r="EM60" t="s">
        <v>24</v>
      </c>
      <c r="EO60" t="s">
        <v>3</v>
      </c>
      <c r="EQ60">
        <v>0</v>
      </c>
      <c r="ER60">
        <v>12104.05</v>
      </c>
      <c r="ES60">
        <v>12002.95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5</v>
      </c>
      <c r="FC60">
        <v>1</v>
      </c>
      <c r="FD60">
        <v>18</v>
      </c>
      <c r="FF60">
        <v>112700</v>
      </c>
      <c r="FQ60">
        <v>0</v>
      </c>
      <c r="FR60">
        <f t="shared" si="45"/>
        <v>0</v>
      </c>
      <c r="FS60">
        <v>0</v>
      </c>
      <c r="FX60">
        <v>0</v>
      </c>
      <c r="FY60">
        <v>0</v>
      </c>
      <c r="GA60" t="s">
        <v>127</v>
      </c>
      <c r="GD60">
        <v>1</v>
      </c>
      <c r="GF60">
        <v>-516843514</v>
      </c>
      <c r="GG60">
        <v>2</v>
      </c>
      <c r="GH60">
        <v>3</v>
      </c>
      <c r="GI60">
        <v>4</v>
      </c>
      <c r="GJ60">
        <v>0</v>
      </c>
      <c r="GK60">
        <v>0</v>
      </c>
      <c r="GL60">
        <f t="shared" si="46"/>
        <v>0</v>
      </c>
      <c r="GM60">
        <f t="shared" si="47"/>
        <v>15520.22</v>
      </c>
      <c r="GN60">
        <f t="shared" si="48"/>
        <v>15520.22</v>
      </c>
      <c r="GO60">
        <f t="shared" si="49"/>
        <v>0</v>
      </c>
      <c r="GP60">
        <f t="shared" si="50"/>
        <v>0</v>
      </c>
      <c r="GR60">
        <v>1</v>
      </c>
      <c r="GS60">
        <v>1</v>
      </c>
      <c r="GT60">
        <v>0</v>
      </c>
      <c r="GU60" t="s">
        <v>3</v>
      </c>
      <c r="GV60">
        <f t="shared" si="51"/>
        <v>0</v>
      </c>
      <c r="GW60">
        <v>1</v>
      </c>
      <c r="GX60">
        <f t="shared" si="52"/>
        <v>0</v>
      </c>
      <c r="HA60">
        <v>0</v>
      </c>
      <c r="HB60">
        <v>0</v>
      </c>
      <c r="HC60">
        <f t="shared" si="53"/>
        <v>0</v>
      </c>
      <c r="HE60" t="s">
        <v>55</v>
      </c>
      <c r="HF60" t="s">
        <v>27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45" x14ac:dyDescent="0.2">
      <c r="A61">
        <v>17</v>
      </c>
      <c r="B61">
        <v>1</v>
      </c>
      <c r="E61" t="s">
        <v>164</v>
      </c>
      <c r="F61" t="s">
        <v>56</v>
      </c>
      <c r="G61" t="s">
        <v>57</v>
      </c>
      <c r="H61" t="s">
        <v>58</v>
      </c>
      <c r="I61">
        <f>ROUND(I59*500,9)</f>
        <v>143.75</v>
      </c>
      <c r="J61">
        <v>0</v>
      </c>
      <c r="K61">
        <f>ROUND(I59*500,9)</f>
        <v>143.75</v>
      </c>
      <c r="O61">
        <f t="shared" si="21"/>
        <v>650.5</v>
      </c>
      <c r="P61">
        <f t="shared" si="22"/>
        <v>650.5</v>
      </c>
      <c r="Q61">
        <f t="shared" si="23"/>
        <v>0</v>
      </c>
      <c r="R61">
        <f t="shared" si="24"/>
        <v>0</v>
      </c>
      <c r="S61">
        <f t="shared" si="25"/>
        <v>0</v>
      </c>
      <c r="T61">
        <f t="shared" si="26"/>
        <v>0</v>
      </c>
      <c r="U61">
        <f t="shared" si="27"/>
        <v>0</v>
      </c>
      <c r="V61">
        <f t="shared" si="28"/>
        <v>0</v>
      </c>
      <c r="W61">
        <f t="shared" si="29"/>
        <v>0</v>
      </c>
      <c r="X61">
        <f t="shared" si="30"/>
        <v>0</v>
      </c>
      <c r="Y61">
        <f t="shared" si="31"/>
        <v>0</v>
      </c>
      <c r="AA61">
        <v>145185703</v>
      </c>
      <c r="AB61">
        <f t="shared" si="32"/>
        <v>0.54</v>
      </c>
      <c r="AC61">
        <f t="shared" si="54"/>
        <v>0.54</v>
      </c>
      <c r="AD61">
        <f>ROUND((((ET61)-(EU61))+AE61),2)</f>
        <v>0</v>
      </c>
      <c r="AE61">
        <f t="shared" si="63"/>
        <v>0</v>
      </c>
      <c r="AF61">
        <f t="shared" si="63"/>
        <v>0</v>
      </c>
      <c r="AG61">
        <f t="shared" si="33"/>
        <v>0</v>
      </c>
      <c r="AH61">
        <f t="shared" si="64"/>
        <v>0</v>
      </c>
      <c r="AI61">
        <f t="shared" si="64"/>
        <v>0</v>
      </c>
      <c r="AJ61">
        <f t="shared" si="34"/>
        <v>0</v>
      </c>
      <c r="AK61">
        <v>0.54</v>
      </c>
      <c r="AL61">
        <v>0.54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8.3800000000000008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1</v>
      </c>
      <c r="BJ61" t="s">
        <v>3</v>
      </c>
      <c r="BM61">
        <v>1100</v>
      </c>
      <c r="BN61">
        <v>0</v>
      </c>
      <c r="BO61" t="s">
        <v>3</v>
      </c>
      <c r="BP61">
        <v>0</v>
      </c>
      <c r="BQ61">
        <v>8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0</v>
      </c>
      <c r="CA61">
        <v>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35"/>
        <v>650.5</v>
      </c>
      <c r="CQ61">
        <f t="shared" si="36"/>
        <v>4.5252000000000008</v>
      </c>
      <c r="CR61">
        <f>(((ET61)*BB61-(EU61)*BS61)+AE61*BS61)</f>
        <v>0</v>
      </c>
      <c r="CS61">
        <f t="shared" si="37"/>
        <v>0</v>
      </c>
      <c r="CT61">
        <f t="shared" si="38"/>
        <v>0</v>
      </c>
      <c r="CU61">
        <f t="shared" si="39"/>
        <v>0</v>
      </c>
      <c r="CV61">
        <f t="shared" si="40"/>
        <v>0</v>
      </c>
      <c r="CW61">
        <f t="shared" si="41"/>
        <v>0</v>
      </c>
      <c r="CX61">
        <f t="shared" si="42"/>
        <v>0</v>
      </c>
      <c r="CY61">
        <f t="shared" si="43"/>
        <v>0</v>
      </c>
      <c r="CZ61">
        <f t="shared" si="44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1010</v>
      </c>
      <c r="DV61" t="s">
        <v>58</v>
      </c>
      <c r="DW61" t="s">
        <v>58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140625274</v>
      </c>
      <c r="EF61">
        <v>8</v>
      </c>
      <c r="EG61" t="s">
        <v>22</v>
      </c>
      <c r="EH61">
        <v>0</v>
      </c>
      <c r="EI61" t="s">
        <v>3</v>
      </c>
      <c r="EJ61">
        <v>1</v>
      </c>
      <c r="EK61">
        <v>1100</v>
      </c>
      <c r="EL61" t="s">
        <v>23</v>
      </c>
      <c r="EM61" t="s">
        <v>24</v>
      </c>
      <c r="EO61" t="s">
        <v>3</v>
      </c>
      <c r="EQ61">
        <v>0</v>
      </c>
      <c r="ER61">
        <v>0.54</v>
      </c>
      <c r="ES61">
        <v>0.54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5</v>
      </c>
      <c r="FC61">
        <v>1</v>
      </c>
      <c r="FD61">
        <v>18</v>
      </c>
      <c r="FF61">
        <v>5</v>
      </c>
      <c r="FQ61">
        <v>0</v>
      </c>
      <c r="FR61">
        <f t="shared" si="45"/>
        <v>0</v>
      </c>
      <c r="FS61">
        <v>0</v>
      </c>
      <c r="FX61">
        <v>0</v>
      </c>
      <c r="FY61">
        <v>0</v>
      </c>
      <c r="GA61" t="s">
        <v>59</v>
      </c>
      <c r="GD61">
        <v>1</v>
      </c>
      <c r="GF61">
        <v>-1778612597</v>
      </c>
      <c r="GG61">
        <v>2</v>
      </c>
      <c r="GH61">
        <v>3</v>
      </c>
      <c r="GI61">
        <v>4</v>
      </c>
      <c r="GJ61">
        <v>0</v>
      </c>
      <c r="GK61">
        <v>0</v>
      </c>
      <c r="GL61">
        <f t="shared" si="46"/>
        <v>0</v>
      </c>
      <c r="GM61">
        <f t="shared" si="47"/>
        <v>650.5</v>
      </c>
      <c r="GN61">
        <f t="shared" si="48"/>
        <v>650.5</v>
      </c>
      <c r="GO61">
        <f t="shared" si="49"/>
        <v>0</v>
      </c>
      <c r="GP61">
        <f t="shared" si="50"/>
        <v>0</v>
      </c>
      <c r="GR61">
        <v>1</v>
      </c>
      <c r="GS61">
        <v>1</v>
      </c>
      <c r="GT61">
        <v>0</v>
      </c>
      <c r="GU61" t="s">
        <v>3</v>
      </c>
      <c r="GV61">
        <f t="shared" si="51"/>
        <v>0</v>
      </c>
      <c r="GW61">
        <v>1</v>
      </c>
      <c r="GX61">
        <f t="shared" si="52"/>
        <v>0</v>
      </c>
      <c r="HA61">
        <v>0</v>
      </c>
      <c r="HB61">
        <v>0</v>
      </c>
      <c r="HC61">
        <f t="shared" si="53"/>
        <v>0</v>
      </c>
      <c r="HE61" t="s">
        <v>55</v>
      </c>
      <c r="HF61" t="s">
        <v>27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IK61">
        <v>0</v>
      </c>
    </row>
    <row r="62" spans="1:245" x14ac:dyDescent="0.2">
      <c r="A62">
        <v>17</v>
      </c>
      <c r="B62">
        <v>1</v>
      </c>
      <c r="E62" t="s">
        <v>165</v>
      </c>
      <c r="F62" t="s">
        <v>166</v>
      </c>
      <c r="G62" t="s">
        <v>167</v>
      </c>
      <c r="H62" t="s">
        <v>168</v>
      </c>
      <c r="I62">
        <f>ROUND((63.77-57.6)*0.1,9)</f>
        <v>0.61699999999999999</v>
      </c>
      <c r="J62">
        <v>0</v>
      </c>
      <c r="K62">
        <f>ROUND((63.77-57.6)*0.1,9)</f>
        <v>0.61699999999999999</v>
      </c>
      <c r="O62">
        <f>0</f>
        <v>0</v>
      </c>
      <c r="P62">
        <f>0</f>
        <v>0</v>
      </c>
      <c r="Q62">
        <f>0</f>
        <v>0</v>
      </c>
      <c r="R62">
        <f>0</f>
        <v>0</v>
      </c>
      <c r="S62">
        <f>0</f>
        <v>0</v>
      </c>
      <c r="T62">
        <f>0</f>
        <v>0</v>
      </c>
      <c r="U62">
        <f>0</f>
        <v>0</v>
      </c>
      <c r="V62">
        <f>0</f>
        <v>0</v>
      </c>
      <c r="W62">
        <f>0</f>
        <v>0</v>
      </c>
      <c r="X62">
        <f>0</f>
        <v>0</v>
      </c>
      <c r="Y62">
        <f>0</f>
        <v>0</v>
      </c>
      <c r="AA62">
        <v>145185703</v>
      </c>
      <c r="AB62">
        <f>ROUND((AK62),2)</f>
        <v>42.98</v>
      </c>
      <c r="AC62">
        <f>0</f>
        <v>0</v>
      </c>
      <c r="AD62">
        <f>0</f>
        <v>0</v>
      </c>
      <c r="AE62">
        <f>0</f>
        <v>0</v>
      </c>
      <c r="AF62">
        <f>0</f>
        <v>0</v>
      </c>
      <c r="AG62">
        <f>0</f>
        <v>0</v>
      </c>
      <c r="AH62">
        <f>0</f>
        <v>0</v>
      </c>
      <c r="AI62">
        <f>0</f>
        <v>0</v>
      </c>
      <c r="AJ62">
        <f>0</f>
        <v>0</v>
      </c>
      <c r="AK62">
        <v>42.98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14.68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169</v>
      </c>
      <c r="BM62">
        <v>700004</v>
      </c>
      <c r="BN62">
        <v>0</v>
      </c>
      <c r="BO62" t="s">
        <v>3</v>
      </c>
      <c r="BP62">
        <v>0</v>
      </c>
      <c r="BQ62">
        <v>19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0</v>
      </c>
      <c r="CA62">
        <v>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AB62*AZ62</f>
        <v>630.94639999999993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168</v>
      </c>
      <c r="DW62" t="s">
        <v>168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140625282</v>
      </c>
      <c r="EF62">
        <v>19</v>
      </c>
      <c r="EG62" t="s">
        <v>170</v>
      </c>
      <c r="EH62">
        <v>106</v>
      </c>
      <c r="EI62" t="s">
        <v>170</v>
      </c>
      <c r="EJ62">
        <v>1</v>
      </c>
      <c r="EK62">
        <v>700004</v>
      </c>
      <c r="EL62" t="s">
        <v>170</v>
      </c>
      <c r="EM62" t="s">
        <v>171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FQ62">
        <v>0</v>
      </c>
      <c r="FR62">
        <f t="shared" si="45"/>
        <v>0</v>
      </c>
      <c r="FS62">
        <v>0</v>
      </c>
      <c r="FX62">
        <v>0</v>
      </c>
      <c r="FY62">
        <v>0</v>
      </c>
      <c r="GA62" t="s">
        <v>3</v>
      </c>
      <c r="GD62">
        <v>1</v>
      </c>
      <c r="GF62">
        <v>-1368885421</v>
      </c>
      <c r="GG62">
        <v>2</v>
      </c>
      <c r="GH62">
        <v>1</v>
      </c>
      <c r="GI62">
        <v>4</v>
      </c>
      <c r="GJ62">
        <v>2</v>
      </c>
      <c r="GK62">
        <v>0</v>
      </c>
      <c r="GL62">
        <f t="shared" si="46"/>
        <v>0</v>
      </c>
      <c r="GM62">
        <f>ROUND(CP62*I62,2)</f>
        <v>389.29</v>
      </c>
      <c r="GN62">
        <f>IF(OR(BI62=0,BI62=1),ROUND(CP62*I62,2),0)</f>
        <v>389.29</v>
      </c>
      <c r="GO62">
        <f>IF(BI62=2,ROUND(CP62*I62,2),0)</f>
        <v>0</v>
      </c>
      <c r="GP62">
        <f>IF(BI62=4,ROUND(CP62*I62,2)+GX62,0)</f>
        <v>0</v>
      </c>
      <c r="GR62">
        <v>0</v>
      </c>
      <c r="GS62">
        <v>3</v>
      </c>
      <c r="GT62">
        <v>0</v>
      </c>
      <c r="GU62" t="s">
        <v>3</v>
      </c>
      <c r="GV62">
        <f>0</f>
        <v>0</v>
      </c>
      <c r="GW62">
        <v>1</v>
      </c>
      <c r="GX62">
        <f>0</f>
        <v>0</v>
      </c>
      <c r="HA62">
        <v>0</v>
      </c>
      <c r="HB62">
        <v>0</v>
      </c>
      <c r="HC62">
        <v>0</v>
      </c>
      <c r="HD62">
        <f>GM62</f>
        <v>389.29</v>
      </c>
      <c r="HE62" t="s">
        <v>3</v>
      </c>
      <c r="HF62" t="s">
        <v>3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IK62">
        <v>0</v>
      </c>
    </row>
    <row r="63" spans="1:245" x14ac:dyDescent="0.2">
      <c r="A63">
        <v>17</v>
      </c>
      <c r="B63">
        <v>1</v>
      </c>
      <c r="E63" t="s">
        <v>172</v>
      </c>
      <c r="F63" t="s">
        <v>173</v>
      </c>
      <c r="G63" t="s">
        <v>174</v>
      </c>
      <c r="H63" t="s">
        <v>168</v>
      </c>
      <c r="I63">
        <f>ROUND((63.77-57.6)*0.9,9)</f>
        <v>5.5529999999999999</v>
      </c>
      <c r="J63">
        <v>0</v>
      </c>
      <c r="K63">
        <f>ROUND((63.77-57.6)*0.9,9)</f>
        <v>5.5529999999999999</v>
      </c>
      <c r="O63">
        <f>0</f>
        <v>0</v>
      </c>
      <c r="P63">
        <f>0</f>
        <v>0</v>
      </c>
      <c r="Q63">
        <f>0</f>
        <v>0</v>
      </c>
      <c r="R63">
        <f>0</f>
        <v>0</v>
      </c>
      <c r="S63">
        <f>0</f>
        <v>0</v>
      </c>
      <c r="T63">
        <f>0</f>
        <v>0</v>
      </c>
      <c r="U63">
        <f>0</f>
        <v>0</v>
      </c>
      <c r="V63">
        <f>0</f>
        <v>0</v>
      </c>
      <c r="W63">
        <f>0</f>
        <v>0</v>
      </c>
      <c r="X63">
        <f>0</f>
        <v>0</v>
      </c>
      <c r="Y63">
        <f>0</f>
        <v>0</v>
      </c>
      <c r="AA63">
        <v>145185703</v>
      </c>
      <c r="AB63">
        <f>ROUND((AK63),2)</f>
        <v>3.28</v>
      </c>
      <c r="AC63">
        <f>0</f>
        <v>0</v>
      </c>
      <c r="AD63">
        <f>0</f>
        <v>0</v>
      </c>
      <c r="AE63">
        <f>0</f>
        <v>0</v>
      </c>
      <c r="AF63">
        <f>0</f>
        <v>0</v>
      </c>
      <c r="AG63">
        <f>0</f>
        <v>0</v>
      </c>
      <c r="AH63">
        <f>0</f>
        <v>0</v>
      </c>
      <c r="AI63">
        <f>0</f>
        <v>0</v>
      </c>
      <c r="AJ63">
        <f>0</f>
        <v>0</v>
      </c>
      <c r="AK63">
        <v>3.28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1</v>
      </c>
      <c r="AW63">
        <v>1</v>
      </c>
      <c r="AZ63">
        <v>14.68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175</v>
      </c>
      <c r="BM63">
        <v>700004</v>
      </c>
      <c r="BN63">
        <v>0</v>
      </c>
      <c r="BO63" t="s">
        <v>3</v>
      </c>
      <c r="BP63">
        <v>0</v>
      </c>
      <c r="BQ63">
        <v>19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0</v>
      </c>
      <c r="CA63">
        <v>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>AB63*AZ63</f>
        <v>48.150399999999998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168</v>
      </c>
      <c r="DW63" t="s">
        <v>168</v>
      </c>
      <c r="DX63">
        <v>1</v>
      </c>
      <c r="DZ63" t="s">
        <v>3</v>
      </c>
      <c r="EA63" t="s">
        <v>3</v>
      </c>
      <c r="EB63" t="s">
        <v>3</v>
      </c>
      <c r="EC63" t="s">
        <v>3</v>
      </c>
      <c r="EE63">
        <v>140625282</v>
      </c>
      <c r="EF63">
        <v>19</v>
      </c>
      <c r="EG63" t="s">
        <v>170</v>
      </c>
      <c r="EH63">
        <v>106</v>
      </c>
      <c r="EI63" t="s">
        <v>170</v>
      </c>
      <c r="EJ63">
        <v>1</v>
      </c>
      <c r="EK63">
        <v>700004</v>
      </c>
      <c r="EL63" t="s">
        <v>170</v>
      </c>
      <c r="EM63" t="s">
        <v>171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FQ63">
        <v>0</v>
      </c>
      <c r="FR63">
        <f t="shared" si="45"/>
        <v>0</v>
      </c>
      <c r="FS63">
        <v>0</v>
      </c>
      <c r="FX63">
        <v>0</v>
      </c>
      <c r="FY63">
        <v>0</v>
      </c>
      <c r="GA63" t="s">
        <v>3</v>
      </c>
      <c r="GD63">
        <v>1</v>
      </c>
      <c r="GF63">
        <v>1072927856</v>
      </c>
      <c r="GG63">
        <v>2</v>
      </c>
      <c r="GH63">
        <v>1</v>
      </c>
      <c r="GI63">
        <v>4</v>
      </c>
      <c r="GJ63">
        <v>2</v>
      </c>
      <c r="GK63">
        <v>0</v>
      </c>
      <c r="GL63">
        <f t="shared" si="46"/>
        <v>0</v>
      </c>
      <c r="GM63">
        <f>ROUND(CP63*I63,2)</f>
        <v>267.38</v>
      </c>
      <c r="GN63">
        <f>IF(OR(BI63=0,BI63=1),ROUND(CP63*I63,2),0)</f>
        <v>267.38</v>
      </c>
      <c r="GO63">
        <f>IF(BI63=2,ROUND(CP63*I63,2),0)</f>
        <v>0</v>
      </c>
      <c r="GP63">
        <f>IF(BI63=4,ROUND(CP63*I63,2)+GX63,0)</f>
        <v>0</v>
      </c>
      <c r="GR63">
        <v>0</v>
      </c>
      <c r="GS63">
        <v>3</v>
      </c>
      <c r="GT63">
        <v>0</v>
      </c>
      <c r="GU63" t="s">
        <v>3</v>
      </c>
      <c r="GV63">
        <f>0</f>
        <v>0</v>
      </c>
      <c r="GW63">
        <v>1</v>
      </c>
      <c r="GX63">
        <f>0</f>
        <v>0</v>
      </c>
      <c r="HA63">
        <v>0</v>
      </c>
      <c r="HB63">
        <v>0</v>
      </c>
      <c r="HC63">
        <v>0</v>
      </c>
      <c r="HD63">
        <f>GM63</f>
        <v>267.38</v>
      </c>
      <c r="HE63" t="s">
        <v>3</v>
      </c>
      <c r="HF63" t="s">
        <v>3</v>
      </c>
      <c r="HM63" t="s">
        <v>3</v>
      </c>
      <c r="HN63" t="s">
        <v>3</v>
      </c>
      <c r="HO63" t="s">
        <v>3</v>
      </c>
      <c r="HP63" t="s">
        <v>3</v>
      </c>
      <c r="HQ63" t="s">
        <v>3</v>
      </c>
      <c r="IK63">
        <v>0</v>
      </c>
    </row>
    <row r="64" spans="1:245" x14ac:dyDescent="0.2">
      <c r="A64">
        <v>17</v>
      </c>
      <c r="B64">
        <v>1</v>
      </c>
      <c r="E64" t="s">
        <v>176</v>
      </c>
      <c r="F64" t="s">
        <v>177</v>
      </c>
      <c r="G64" t="s">
        <v>178</v>
      </c>
      <c r="H64" t="s">
        <v>168</v>
      </c>
      <c r="I64">
        <f>ROUND(I63+I62,9)</f>
        <v>6.17</v>
      </c>
      <c r="J64">
        <v>0</v>
      </c>
      <c r="K64">
        <f>ROUND(I63+I62,9)</f>
        <v>6.17</v>
      </c>
      <c r="O64">
        <f>0</f>
        <v>0</v>
      </c>
      <c r="P64">
        <f>0</f>
        <v>0</v>
      </c>
      <c r="Q64">
        <f>0</f>
        <v>0</v>
      </c>
      <c r="R64">
        <f>0</f>
        <v>0</v>
      </c>
      <c r="S64">
        <f>0</f>
        <v>0</v>
      </c>
      <c r="T64">
        <f>0</f>
        <v>0</v>
      </c>
      <c r="U64">
        <f>0</f>
        <v>0</v>
      </c>
      <c r="V64">
        <f>0</f>
        <v>0</v>
      </c>
      <c r="W64">
        <f>0</f>
        <v>0</v>
      </c>
      <c r="X64">
        <f>0</f>
        <v>0</v>
      </c>
      <c r="Y64">
        <f>0</f>
        <v>0</v>
      </c>
      <c r="AA64">
        <v>145185703</v>
      </c>
      <c r="AB64">
        <f>ROUND((AK64),2)</f>
        <v>3.86</v>
      </c>
      <c r="AC64">
        <f>0</f>
        <v>0</v>
      </c>
      <c r="AD64">
        <f>0</f>
        <v>0</v>
      </c>
      <c r="AE64">
        <f>0</f>
        <v>0</v>
      </c>
      <c r="AF64">
        <f>0</f>
        <v>0</v>
      </c>
      <c r="AG64">
        <f>0</f>
        <v>0</v>
      </c>
      <c r="AH64">
        <f>0</f>
        <v>0</v>
      </c>
      <c r="AI64">
        <f>0</f>
        <v>0</v>
      </c>
      <c r="AJ64">
        <f>0</f>
        <v>0</v>
      </c>
      <c r="AK64">
        <v>3.86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</v>
      </c>
      <c r="AZ64">
        <v>14.68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179</v>
      </c>
      <c r="BM64">
        <v>700011</v>
      </c>
      <c r="BN64">
        <v>0</v>
      </c>
      <c r="BO64" t="s">
        <v>3</v>
      </c>
      <c r="BP64">
        <v>0</v>
      </c>
      <c r="BQ64">
        <v>40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0</v>
      </c>
      <c r="CA64">
        <v>0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>AB64*AZ64</f>
        <v>56.6648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168</v>
      </c>
      <c r="DW64" t="s">
        <v>168</v>
      </c>
      <c r="DX64">
        <v>1</v>
      </c>
      <c r="DZ64" t="s">
        <v>3</v>
      </c>
      <c r="EA64" t="s">
        <v>3</v>
      </c>
      <c r="EB64" t="s">
        <v>3</v>
      </c>
      <c r="EC64" t="s">
        <v>3</v>
      </c>
      <c r="EE64">
        <v>140625621</v>
      </c>
      <c r="EF64">
        <v>40</v>
      </c>
      <c r="EG64" t="s">
        <v>180</v>
      </c>
      <c r="EH64">
        <v>107</v>
      </c>
      <c r="EI64" t="s">
        <v>181</v>
      </c>
      <c r="EJ64">
        <v>1</v>
      </c>
      <c r="EK64">
        <v>700011</v>
      </c>
      <c r="EL64" t="s">
        <v>182</v>
      </c>
      <c r="EM64" t="s">
        <v>183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FQ64">
        <v>0</v>
      </c>
      <c r="FR64">
        <f t="shared" si="45"/>
        <v>0</v>
      </c>
      <c r="FS64">
        <v>0</v>
      </c>
      <c r="FX64">
        <v>0</v>
      </c>
      <c r="FY64">
        <v>0</v>
      </c>
      <c r="GA64" t="s">
        <v>3</v>
      </c>
      <c r="GD64">
        <v>1</v>
      </c>
      <c r="GF64">
        <v>-1332390239</v>
      </c>
      <c r="GG64">
        <v>2</v>
      </c>
      <c r="GH64">
        <v>1</v>
      </c>
      <c r="GI64">
        <v>4</v>
      </c>
      <c r="GJ64">
        <v>2</v>
      </c>
      <c r="GK64">
        <v>0</v>
      </c>
      <c r="GL64">
        <f t="shared" si="46"/>
        <v>0</v>
      </c>
      <c r="GM64">
        <f>ROUND(CP64*I64,2)</f>
        <v>349.62</v>
      </c>
      <c r="GN64">
        <f>IF(OR(BI64=0,BI64=1),ROUND(CP64*I64,2),0)</f>
        <v>349.62</v>
      </c>
      <c r="GO64">
        <f>IF(BI64=2,ROUND(CP64*I64,2),0)</f>
        <v>0</v>
      </c>
      <c r="GP64">
        <f>IF(BI64=4,ROUND(CP64*I64,2)+GX64,0)</f>
        <v>0</v>
      </c>
      <c r="GR64">
        <v>0</v>
      </c>
      <c r="GS64">
        <v>3</v>
      </c>
      <c r="GT64">
        <v>0</v>
      </c>
      <c r="GU64" t="s">
        <v>3</v>
      </c>
      <c r="GV64">
        <f>0</f>
        <v>0</v>
      </c>
      <c r="GW64">
        <v>1</v>
      </c>
      <c r="GX64">
        <f>0</f>
        <v>0</v>
      </c>
      <c r="HA64">
        <v>0</v>
      </c>
      <c r="HB64">
        <v>0</v>
      </c>
      <c r="HC64">
        <v>0</v>
      </c>
      <c r="HD64">
        <f>GM64</f>
        <v>349.62</v>
      </c>
      <c r="HE64" t="s">
        <v>3</v>
      </c>
      <c r="HF64" t="s">
        <v>3</v>
      </c>
      <c r="HM64" t="s">
        <v>3</v>
      </c>
      <c r="HN64" t="s">
        <v>3</v>
      </c>
      <c r="HO64" t="s">
        <v>3</v>
      </c>
      <c r="HP64" t="s">
        <v>3</v>
      </c>
      <c r="HQ64" t="s">
        <v>3</v>
      </c>
      <c r="IK64">
        <v>0</v>
      </c>
    </row>
    <row r="66" spans="1:206" x14ac:dyDescent="0.2">
      <c r="A66" s="2">
        <v>51</v>
      </c>
      <c r="B66" s="2">
        <f>B24</f>
        <v>1</v>
      </c>
      <c r="C66" s="2">
        <f>A24</f>
        <v>4</v>
      </c>
      <c r="D66" s="2">
        <f>ROW(A24)</f>
        <v>24</v>
      </c>
      <c r="E66" s="2"/>
      <c r="F66" s="2" t="str">
        <f>IF(F24&lt;&gt;"",F24,"")</f>
        <v>Новый раздел</v>
      </c>
      <c r="G66" s="2" t="str">
        <f>IF(G24&lt;&gt;"",G24,"")</f>
        <v>Ремонт кровли электроцеха на отм. +9,300 - + 11,500</v>
      </c>
      <c r="H66" s="2">
        <v>0</v>
      </c>
      <c r="I66" s="2"/>
      <c r="J66" s="2"/>
      <c r="K66" s="2"/>
      <c r="L66" s="2"/>
      <c r="M66" s="2"/>
      <c r="N66" s="2"/>
      <c r="O66" s="2">
        <f t="shared" ref="O66:T66" si="65">ROUND(AB66,2)</f>
        <v>553254.96</v>
      </c>
      <c r="P66" s="2">
        <f t="shared" si="65"/>
        <v>363362.28</v>
      </c>
      <c r="Q66" s="2">
        <f t="shared" si="65"/>
        <v>31555.69</v>
      </c>
      <c r="R66" s="2">
        <f t="shared" si="65"/>
        <v>9375.27</v>
      </c>
      <c r="S66" s="2">
        <f t="shared" si="65"/>
        <v>158336.99</v>
      </c>
      <c r="T66" s="2">
        <f t="shared" si="65"/>
        <v>0</v>
      </c>
      <c r="U66" s="2">
        <f>AH66</f>
        <v>415.95730000000003</v>
      </c>
      <c r="V66" s="2">
        <f>AI66</f>
        <v>14.855662500000001</v>
      </c>
      <c r="W66" s="2">
        <f>ROUND(AJ66,2)</f>
        <v>0</v>
      </c>
      <c r="X66" s="2">
        <f>ROUND(AK66,2)</f>
        <v>158163.97</v>
      </c>
      <c r="Y66" s="2">
        <f>ROUND(AL66,2)</f>
        <v>83029.740000000005</v>
      </c>
      <c r="Z66" s="2"/>
      <c r="AA66" s="2"/>
      <c r="AB66" s="2">
        <f>ROUND(SUMIF(AA28:AA64,"=145185703",O28:O64),2)</f>
        <v>553254.96</v>
      </c>
      <c r="AC66" s="2">
        <f>ROUND(SUMIF(AA28:AA64,"=145185703",P28:P64),2)</f>
        <v>363362.28</v>
      </c>
      <c r="AD66" s="2">
        <f>ROUND(SUMIF(AA28:AA64,"=145185703",Q28:Q64),2)</f>
        <v>31555.69</v>
      </c>
      <c r="AE66" s="2">
        <f>ROUND(SUMIF(AA28:AA64,"=145185703",R28:R64),2)</f>
        <v>9375.27</v>
      </c>
      <c r="AF66" s="2">
        <f>ROUND(SUMIF(AA28:AA64,"=145185703",S28:S64),2)</f>
        <v>158336.99</v>
      </c>
      <c r="AG66" s="2">
        <f>ROUND(SUMIF(AA28:AA64,"=145185703",T28:T64),2)</f>
        <v>0</v>
      </c>
      <c r="AH66" s="2">
        <f>SUMIF(AA28:AA64,"=145185703",U28:U64)</f>
        <v>415.95730000000003</v>
      </c>
      <c r="AI66" s="2">
        <f>SUMIF(AA28:AA64,"=145185703",V28:V64)</f>
        <v>14.855662500000001</v>
      </c>
      <c r="AJ66" s="2">
        <f>ROUND(SUMIF(AA28:AA64,"=145185703",W28:W64),2)</f>
        <v>0</v>
      </c>
      <c r="AK66" s="2">
        <f>ROUND(SUMIF(AA28:AA64,"=145185703",X28:X64),2)</f>
        <v>158163.97</v>
      </c>
      <c r="AL66" s="2">
        <f>ROUND(SUMIF(AA28:AA64,"=145185703",Y28:Y64),2)</f>
        <v>83029.740000000005</v>
      </c>
      <c r="AM66" s="2"/>
      <c r="AN66" s="2"/>
      <c r="AO66" s="2">
        <f t="shared" ref="AO66:BD66" si="66">ROUND(BX66,2)</f>
        <v>0</v>
      </c>
      <c r="AP66" s="2">
        <f t="shared" si="66"/>
        <v>0</v>
      </c>
      <c r="AQ66" s="2">
        <f t="shared" si="66"/>
        <v>0</v>
      </c>
      <c r="AR66" s="2">
        <f t="shared" si="66"/>
        <v>795454.96</v>
      </c>
      <c r="AS66" s="2">
        <f t="shared" si="66"/>
        <v>795454.96</v>
      </c>
      <c r="AT66" s="2">
        <f t="shared" si="66"/>
        <v>0</v>
      </c>
      <c r="AU66" s="2">
        <f t="shared" si="66"/>
        <v>0</v>
      </c>
      <c r="AV66" s="2">
        <f t="shared" si="66"/>
        <v>363362.28</v>
      </c>
      <c r="AW66" s="2">
        <f t="shared" si="66"/>
        <v>363362.28</v>
      </c>
      <c r="AX66" s="2">
        <f t="shared" si="66"/>
        <v>0</v>
      </c>
      <c r="AY66" s="2">
        <f t="shared" si="66"/>
        <v>363362.28</v>
      </c>
      <c r="AZ66" s="2">
        <f t="shared" si="66"/>
        <v>0</v>
      </c>
      <c r="BA66" s="2">
        <f t="shared" si="66"/>
        <v>0</v>
      </c>
      <c r="BB66" s="2">
        <f t="shared" si="66"/>
        <v>0</v>
      </c>
      <c r="BC66" s="2">
        <f t="shared" si="66"/>
        <v>0</v>
      </c>
      <c r="BD66" s="2">
        <f t="shared" si="66"/>
        <v>1006.29</v>
      </c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>
        <f>ROUND(SUMIF(AA28:AA64,"=145185703",FQ28:FQ64),2)</f>
        <v>0</v>
      </c>
      <c r="BY66" s="2">
        <f>ROUND(SUMIF(AA28:AA64,"=145185703",FR28:FR64),2)</f>
        <v>0</v>
      </c>
      <c r="BZ66" s="2">
        <f>ROUND(SUMIF(AA28:AA64,"=145185703",GL28:GL64),2)</f>
        <v>0</v>
      </c>
      <c r="CA66" s="2">
        <f>ROUND(SUMIF(AA28:AA64,"=145185703",GM28:GM64),2)</f>
        <v>795454.96</v>
      </c>
      <c r="CB66" s="2">
        <f>ROUND(SUMIF(AA28:AA64,"=145185703",GN28:GN64),2)</f>
        <v>795454.96</v>
      </c>
      <c r="CC66" s="2">
        <f>ROUND(SUMIF(AA28:AA64,"=145185703",GO28:GO64),2)</f>
        <v>0</v>
      </c>
      <c r="CD66" s="2">
        <f>ROUND(SUMIF(AA28:AA64,"=145185703",GP28:GP64),2)</f>
        <v>0</v>
      </c>
      <c r="CE66" s="2">
        <f>AC66-BX66</f>
        <v>363362.28</v>
      </c>
      <c r="CF66" s="2">
        <f>AC66-BY66</f>
        <v>363362.28</v>
      </c>
      <c r="CG66" s="2">
        <f>BX66-BZ66</f>
        <v>0</v>
      </c>
      <c r="CH66" s="2">
        <f>AC66-BX66-BY66+BZ66</f>
        <v>363362.28</v>
      </c>
      <c r="CI66" s="2">
        <f>BY66-BZ66</f>
        <v>0</v>
      </c>
      <c r="CJ66" s="2">
        <f>ROUND(SUMIF(AA28:AA64,"=145185703",GX28:GX64),2)</f>
        <v>0</v>
      </c>
      <c r="CK66" s="2">
        <f>ROUND(SUMIF(AA28:AA64,"=145185703",GY28:GY64),2)</f>
        <v>0</v>
      </c>
      <c r="CL66" s="2">
        <f>ROUND(SUMIF(AA28:AA64,"=145185703",GZ28:GZ64),2)</f>
        <v>0</v>
      </c>
      <c r="CM66" s="2">
        <f>ROUND(SUMIF(AA28:AA64,"=145185703",HD28:HD64),2)</f>
        <v>1006.29</v>
      </c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>
        <v>0</v>
      </c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201</v>
      </c>
      <c r="F68" s="4">
        <f>ROUND(Source!O66,O68)</f>
        <v>553254.96</v>
      </c>
      <c r="G68" s="4" t="s">
        <v>184</v>
      </c>
      <c r="H68" s="4" t="s">
        <v>185</v>
      </c>
      <c r="I68" s="4"/>
      <c r="J68" s="4"/>
      <c r="K68" s="4">
        <v>201</v>
      </c>
      <c r="L68" s="4">
        <v>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553254.96</v>
      </c>
      <c r="X68" s="4">
        <v>1</v>
      </c>
      <c r="Y68" s="4">
        <v>553254.96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202</v>
      </c>
      <c r="F69" s="4">
        <f>ROUND(Source!P66,O69)</f>
        <v>363362.28</v>
      </c>
      <c r="G69" s="4" t="s">
        <v>186</v>
      </c>
      <c r="H69" s="4" t="s">
        <v>187</v>
      </c>
      <c r="I69" s="4"/>
      <c r="J69" s="4"/>
      <c r="K69" s="4">
        <v>202</v>
      </c>
      <c r="L69" s="4">
        <v>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363362.28</v>
      </c>
      <c r="X69" s="4">
        <v>1</v>
      </c>
      <c r="Y69" s="4">
        <v>363362.28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222</v>
      </c>
      <c r="F70" s="4">
        <f>ROUND(Source!AO66,O70)</f>
        <v>0</v>
      </c>
      <c r="G70" s="4" t="s">
        <v>188</v>
      </c>
      <c r="H70" s="4" t="s">
        <v>189</v>
      </c>
      <c r="I70" s="4"/>
      <c r="J70" s="4"/>
      <c r="K70" s="4">
        <v>222</v>
      </c>
      <c r="L70" s="4">
        <v>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225</v>
      </c>
      <c r="F71" s="4">
        <f>ROUND(Source!AV66,O71)</f>
        <v>363362.28</v>
      </c>
      <c r="G71" s="4" t="s">
        <v>190</v>
      </c>
      <c r="H71" s="4" t="s">
        <v>191</v>
      </c>
      <c r="I71" s="4"/>
      <c r="J71" s="4"/>
      <c r="K71" s="4">
        <v>225</v>
      </c>
      <c r="L71" s="4">
        <v>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363362.28</v>
      </c>
      <c r="X71" s="4">
        <v>1</v>
      </c>
      <c r="Y71" s="4">
        <v>363362.28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226</v>
      </c>
      <c r="F72" s="4">
        <f>ROUND(Source!AW66,O72)</f>
        <v>363362.28</v>
      </c>
      <c r="G72" s="4" t="s">
        <v>192</v>
      </c>
      <c r="H72" s="4" t="s">
        <v>193</v>
      </c>
      <c r="I72" s="4"/>
      <c r="J72" s="4"/>
      <c r="K72" s="4">
        <v>226</v>
      </c>
      <c r="L72" s="4">
        <v>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363362.28</v>
      </c>
      <c r="X72" s="4">
        <v>1</v>
      </c>
      <c r="Y72" s="4">
        <v>363362.28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227</v>
      </c>
      <c r="F73" s="4">
        <f>ROUND(Source!AX66,O73)</f>
        <v>0</v>
      </c>
      <c r="G73" s="4" t="s">
        <v>194</v>
      </c>
      <c r="H73" s="4" t="s">
        <v>195</v>
      </c>
      <c r="I73" s="4"/>
      <c r="J73" s="4"/>
      <c r="K73" s="4">
        <v>227</v>
      </c>
      <c r="L73" s="4">
        <v>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228</v>
      </c>
      <c r="F74" s="4">
        <f>ROUND(Source!AY66,O74)</f>
        <v>363362.28</v>
      </c>
      <c r="G74" s="4" t="s">
        <v>196</v>
      </c>
      <c r="H74" s="4" t="s">
        <v>197</v>
      </c>
      <c r="I74" s="4"/>
      <c r="J74" s="4"/>
      <c r="K74" s="4">
        <v>228</v>
      </c>
      <c r="L74" s="4">
        <v>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363362.28</v>
      </c>
      <c r="X74" s="4">
        <v>1</v>
      </c>
      <c r="Y74" s="4">
        <v>363362.28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216</v>
      </c>
      <c r="F75" s="4">
        <f>ROUND(Source!AP66,O75)</f>
        <v>0</v>
      </c>
      <c r="G75" s="4" t="s">
        <v>198</v>
      </c>
      <c r="H75" s="4" t="s">
        <v>199</v>
      </c>
      <c r="I75" s="4"/>
      <c r="J75" s="4"/>
      <c r="K75" s="4">
        <v>216</v>
      </c>
      <c r="L75" s="4">
        <v>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223</v>
      </c>
      <c r="F76" s="4">
        <f>ROUND(Source!AQ66,O76)</f>
        <v>0</v>
      </c>
      <c r="G76" s="4" t="s">
        <v>200</v>
      </c>
      <c r="H76" s="4" t="s">
        <v>201</v>
      </c>
      <c r="I76" s="4"/>
      <c r="J76" s="4"/>
      <c r="K76" s="4">
        <v>223</v>
      </c>
      <c r="L76" s="4">
        <v>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229</v>
      </c>
      <c r="F77" s="4">
        <f>ROUND(Source!AZ66,O77)</f>
        <v>0</v>
      </c>
      <c r="G77" s="4" t="s">
        <v>202</v>
      </c>
      <c r="H77" s="4" t="s">
        <v>203</v>
      </c>
      <c r="I77" s="4"/>
      <c r="J77" s="4"/>
      <c r="K77" s="4">
        <v>229</v>
      </c>
      <c r="L77" s="4">
        <v>10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203</v>
      </c>
      <c r="F78" s="4">
        <f>ROUND(Source!Q66,O78)</f>
        <v>31555.69</v>
      </c>
      <c r="G78" s="4" t="s">
        <v>204</v>
      </c>
      <c r="H78" s="4" t="s">
        <v>205</v>
      </c>
      <c r="I78" s="4"/>
      <c r="J78" s="4"/>
      <c r="K78" s="4">
        <v>203</v>
      </c>
      <c r="L78" s="4">
        <v>11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31555.69</v>
      </c>
      <c r="X78" s="4">
        <v>1</v>
      </c>
      <c r="Y78" s="4">
        <v>31555.69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231</v>
      </c>
      <c r="F79" s="4">
        <f>ROUND(Source!BB66,O79)</f>
        <v>0</v>
      </c>
      <c r="G79" s="4" t="s">
        <v>206</v>
      </c>
      <c r="H79" s="4" t="s">
        <v>207</v>
      </c>
      <c r="I79" s="4"/>
      <c r="J79" s="4"/>
      <c r="K79" s="4">
        <v>231</v>
      </c>
      <c r="L79" s="4">
        <v>12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204</v>
      </c>
      <c r="F80" s="4">
        <f>ROUND(Source!R66,O80)</f>
        <v>9375.27</v>
      </c>
      <c r="G80" s="4" t="s">
        <v>208</v>
      </c>
      <c r="H80" s="4" t="s">
        <v>209</v>
      </c>
      <c r="I80" s="4"/>
      <c r="J80" s="4"/>
      <c r="K80" s="4">
        <v>204</v>
      </c>
      <c r="L80" s="4">
        <v>13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9375.27</v>
      </c>
      <c r="X80" s="4">
        <v>1</v>
      </c>
      <c r="Y80" s="4">
        <v>9375.27</v>
      </c>
      <c r="Z80" s="4"/>
      <c r="AA80" s="4"/>
      <c r="AB80" s="4"/>
    </row>
    <row r="81" spans="1:88" x14ac:dyDescent="0.2">
      <c r="A81" s="4">
        <v>50</v>
      </c>
      <c r="B81" s="4">
        <v>0</v>
      </c>
      <c r="C81" s="4">
        <v>0</v>
      </c>
      <c r="D81" s="4">
        <v>1</v>
      </c>
      <c r="E81" s="4">
        <v>205</v>
      </c>
      <c r="F81" s="4">
        <f>ROUND(Source!S66,O81)</f>
        <v>158336.99</v>
      </c>
      <c r="G81" s="4" t="s">
        <v>210</v>
      </c>
      <c r="H81" s="4" t="s">
        <v>211</v>
      </c>
      <c r="I81" s="4"/>
      <c r="J81" s="4"/>
      <c r="K81" s="4">
        <v>205</v>
      </c>
      <c r="L81" s="4">
        <v>14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158336.99</v>
      </c>
      <c r="X81" s="4">
        <v>1</v>
      </c>
      <c r="Y81" s="4">
        <v>158336.99</v>
      </c>
      <c r="Z81" s="4"/>
      <c r="AA81" s="4"/>
      <c r="AB81" s="4"/>
    </row>
    <row r="82" spans="1:88" x14ac:dyDescent="0.2">
      <c r="A82" s="4">
        <v>50</v>
      </c>
      <c r="B82" s="4">
        <v>0</v>
      </c>
      <c r="C82" s="4">
        <v>0</v>
      </c>
      <c r="D82" s="4">
        <v>1</v>
      </c>
      <c r="E82" s="4">
        <v>232</v>
      </c>
      <c r="F82" s="4">
        <f>ROUND(Source!BC66,O82)</f>
        <v>0</v>
      </c>
      <c r="G82" s="4" t="s">
        <v>212</v>
      </c>
      <c r="H82" s="4" t="s">
        <v>213</v>
      </c>
      <c r="I82" s="4"/>
      <c r="J82" s="4"/>
      <c r="K82" s="4">
        <v>232</v>
      </c>
      <c r="L82" s="4">
        <v>15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88" x14ac:dyDescent="0.2">
      <c r="A83" s="4">
        <v>50</v>
      </c>
      <c r="B83" s="4">
        <v>0</v>
      </c>
      <c r="C83" s="4">
        <v>0</v>
      </c>
      <c r="D83" s="4">
        <v>1</v>
      </c>
      <c r="E83" s="4">
        <v>214</v>
      </c>
      <c r="F83" s="4">
        <f>ROUND(Source!AS66,O83)</f>
        <v>795454.96</v>
      </c>
      <c r="G83" s="4" t="s">
        <v>214</v>
      </c>
      <c r="H83" s="4" t="s">
        <v>215</v>
      </c>
      <c r="I83" s="4"/>
      <c r="J83" s="4"/>
      <c r="K83" s="4">
        <v>214</v>
      </c>
      <c r="L83" s="4">
        <v>16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795454.96</v>
      </c>
      <c r="X83" s="4">
        <v>1</v>
      </c>
      <c r="Y83" s="4">
        <v>795454.96</v>
      </c>
      <c r="Z83" s="4"/>
      <c r="AA83" s="4"/>
      <c r="AB83" s="4"/>
    </row>
    <row r="84" spans="1:88" x14ac:dyDescent="0.2">
      <c r="A84" s="4">
        <v>50</v>
      </c>
      <c r="B84" s="4">
        <v>0</v>
      </c>
      <c r="C84" s="4">
        <v>0</v>
      </c>
      <c r="D84" s="4">
        <v>1</v>
      </c>
      <c r="E84" s="4">
        <v>215</v>
      </c>
      <c r="F84" s="4">
        <f>ROUND(Source!AT66,O84)</f>
        <v>0</v>
      </c>
      <c r="G84" s="4" t="s">
        <v>216</v>
      </c>
      <c r="H84" s="4" t="s">
        <v>217</v>
      </c>
      <c r="I84" s="4"/>
      <c r="J84" s="4"/>
      <c r="K84" s="4">
        <v>215</v>
      </c>
      <c r="L84" s="4">
        <v>17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88" x14ac:dyDescent="0.2">
      <c r="A85" s="4">
        <v>50</v>
      </c>
      <c r="B85" s="4">
        <v>0</v>
      </c>
      <c r="C85" s="4">
        <v>0</v>
      </c>
      <c r="D85" s="4">
        <v>1</v>
      </c>
      <c r="E85" s="4">
        <v>217</v>
      </c>
      <c r="F85" s="4">
        <f>ROUND(Source!AU66,O85)</f>
        <v>0</v>
      </c>
      <c r="G85" s="4" t="s">
        <v>218</v>
      </c>
      <c r="H85" s="4" t="s">
        <v>219</v>
      </c>
      <c r="I85" s="4"/>
      <c r="J85" s="4"/>
      <c r="K85" s="4">
        <v>217</v>
      </c>
      <c r="L85" s="4">
        <v>18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88" x14ac:dyDescent="0.2">
      <c r="A86" s="4">
        <v>50</v>
      </c>
      <c r="B86" s="4">
        <v>0</v>
      </c>
      <c r="C86" s="4">
        <v>0</v>
      </c>
      <c r="D86" s="4">
        <v>1</v>
      </c>
      <c r="E86" s="4">
        <v>230</v>
      </c>
      <c r="F86" s="4">
        <f>ROUND(Source!BA66,O86)</f>
        <v>0</v>
      </c>
      <c r="G86" s="4" t="s">
        <v>220</v>
      </c>
      <c r="H86" s="4" t="s">
        <v>221</v>
      </c>
      <c r="I86" s="4"/>
      <c r="J86" s="4"/>
      <c r="K86" s="4">
        <v>230</v>
      </c>
      <c r="L86" s="4">
        <v>19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88" x14ac:dyDescent="0.2">
      <c r="A87" s="4">
        <v>50</v>
      </c>
      <c r="B87" s="4">
        <v>0</v>
      </c>
      <c r="C87" s="4">
        <v>0</v>
      </c>
      <c r="D87" s="4">
        <v>1</v>
      </c>
      <c r="E87" s="4">
        <v>206</v>
      </c>
      <c r="F87" s="4">
        <f>ROUND(Source!T66,O87)</f>
        <v>0</v>
      </c>
      <c r="G87" s="4" t="s">
        <v>222</v>
      </c>
      <c r="H87" s="4" t="s">
        <v>223</v>
      </c>
      <c r="I87" s="4"/>
      <c r="J87" s="4"/>
      <c r="K87" s="4">
        <v>206</v>
      </c>
      <c r="L87" s="4">
        <v>20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88" x14ac:dyDescent="0.2">
      <c r="A88" s="4">
        <v>50</v>
      </c>
      <c r="B88" s="4">
        <v>0</v>
      </c>
      <c r="C88" s="4">
        <v>0</v>
      </c>
      <c r="D88" s="4">
        <v>1</v>
      </c>
      <c r="E88" s="4">
        <v>207</v>
      </c>
      <c r="F88" s="4">
        <f>Source!U66</f>
        <v>415.95730000000003</v>
      </c>
      <c r="G88" s="4" t="s">
        <v>224</v>
      </c>
      <c r="H88" s="4" t="s">
        <v>225</v>
      </c>
      <c r="I88" s="4"/>
      <c r="J88" s="4"/>
      <c r="K88" s="4">
        <v>207</v>
      </c>
      <c r="L88" s="4">
        <v>21</v>
      </c>
      <c r="M88" s="4">
        <v>3</v>
      </c>
      <c r="N88" s="4" t="s">
        <v>3</v>
      </c>
      <c r="O88" s="4">
        <v>-1</v>
      </c>
      <c r="P88" s="4"/>
      <c r="Q88" s="4"/>
      <c r="R88" s="4"/>
      <c r="S88" s="4"/>
      <c r="T88" s="4"/>
      <c r="U88" s="4"/>
      <c r="V88" s="4"/>
      <c r="W88" s="4">
        <v>415.95730000000003</v>
      </c>
      <c r="X88" s="4">
        <v>1</v>
      </c>
      <c r="Y88" s="4">
        <v>415.95730000000003</v>
      </c>
      <c r="Z88" s="4"/>
      <c r="AA88" s="4"/>
      <c r="AB88" s="4"/>
    </row>
    <row r="89" spans="1:88" x14ac:dyDescent="0.2">
      <c r="A89" s="4">
        <v>50</v>
      </c>
      <c r="B89" s="4">
        <v>0</v>
      </c>
      <c r="C89" s="4">
        <v>0</v>
      </c>
      <c r="D89" s="4">
        <v>1</v>
      </c>
      <c r="E89" s="4">
        <v>208</v>
      </c>
      <c r="F89" s="4">
        <f>Source!V66</f>
        <v>14.855662500000001</v>
      </c>
      <c r="G89" s="4" t="s">
        <v>226</v>
      </c>
      <c r="H89" s="4" t="s">
        <v>227</v>
      </c>
      <c r="I89" s="4"/>
      <c r="J89" s="4"/>
      <c r="K89" s="4">
        <v>208</v>
      </c>
      <c r="L89" s="4">
        <v>22</v>
      </c>
      <c r="M89" s="4">
        <v>3</v>
      </c>
      <c r="N89" s="4" t="s">
        <v>3</v>
      </c>
      <c r="O89" s="4">
        <v>-1</v>
      </c>
      <c r="P89" s="4"/>
      <c r="Q89" s="4"/>
      <c r="R89" s="4"/>
      <c r="S89" s="4"/>
      <c r="T89" s="4"/>
      <c r="U89" s="4"/>
      <c r="V89" s="4"/>
      <c r="W89" s="4">
        <v>14.855662500000001</v>
      </c>
      <c r="X89" s="4">
        <v>1</v>
      </c>
      <c r="Y89" s="4">
        <v>14.855662500000001</v>
      </c>
      <c r="Z89" s="4"/>
      <c r="AA89" s="4"/>
      <c r="AB89" s="4"/>
    </row>
    <row r="90" spans="1:88" x14ac:dyDescent="0.2">
      <c r="A90" s="4">
        <v>50</v>
      </c>
      <c r="B90" s="4">
        <v>0</v>
      </c>
      <c r="C90" s="4">
        <v>0</v>
      </c>
      <c r="D90" s="4">
        <v>1</v>
      </c>
      <c r="E90" s="4">
        <v>209</v>
      </c>
      <c r="F90" s="4">
        <f>ROUND(Source!W66,O90)</f>
        <v>0</v>
      </c>
      <c r="G90" s="4" t="s">
        <v>228</v>
      </c>
      <c r="H90" s="4" t="s">
        <v>229</v>
      </c>
      <c r="I90" s="4"/>
      <c r="J90" s="4"/>
      <c r="K90" s="4">
        <v>209</v>
      </c>
      <c r="L90" s="4">
        <v>23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88" x14ac:dyDescent="0.2">
      <c r="A91" s="4">
        <v>50</v>
      </c>
      <c r="B91" s="4">
        <v>0</v>
      </c>
      <c r="C91" s="4">
        <v>0</v>
      </c>
      <c r="D91" s="4">
        <v>1</v>
      </c>
      <c r="E91" s="4">
        <v>233</v>
      </c>
      <c r="F91" s="4">
        <f>ROUND(Source!BD66,O91)</f>
        <v>1006.29</v>
      </c>
      <c r="G91" s="4" t="s">
        <v>230</v>
      </c>
      <c r="H91" s="4" t="s">
        <v>231</v>
      </c>
      <c r="I91" s="4"/>
      <c r="J91" s="4"/>
      <c r="K91" s="4">
        <v>233</v>
      </c>
      <c r="L91" s="4">
        <v>24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1006.29</v>
      </c>
      <c r="X91" s="4">
        <v>1</v>
      </c>
      <c r="Y91" s="4">
        <v>1006.29</v>
      </c>
      <c r="Z91" s="4"/>
      <c r="AA91" s="4"/>
      <c r="AB91" s="4"/>
    </row>
    <row r="92" spans="1:88" x14ac:dyDescent="0.2">
      <c r="A92" s="4">
        <v>50</v>
      </c>
      <c r="B92" s="4">
        <v>0</v>
      </c>
      <c r="C92" s="4">
        <v>0</v>
      </c>
      <c r="D92" s="4">
        <v>1</v>
      </c>
      <c r="E92" s="4">
        <v>210</v>
      </c>
      <c r="F92" s="4">
        <f>ROUND(Source!X66,O92)</f>
        <v>158163.97</v>
      </c>
      <c r="G92" s="4" t="s">
        <v>232</v>
      </c>
      <c r="H92" s="4" t="s">
        <v>233</v>
      </c>
      <c r="I92" s="4"/>
      <c r="J92" s="4"/>
      <c r="K92" s="4">
        <v>210</v>
      </c>
      <c r="L92" s="4">
        <v>25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158163.97</v>
      </c>
      <c r="X92" s="4">
        <v>1</v>
      </c>
      <c r="Y92" s="4">
        <v>158163.97</v>
      </c>
      <c r="Z92" s="4"/>
      <c r="AA92" s="4"/>
      <c r="AB92" s="4"/>
    </row>
    <row r="93" spans="1:88" x14ac:dyDescent="0.2">
      <c r="A93" s="4">
        <v>50</v>
      </c>
      <c r="B93" s="4">
        <v>0</v>
      </c>
      <c r="C93" s="4">
        <v>0</v>
      </c>
      <c r="D93" s="4">
        <v>1</v>
      </c>
      <c r="E93" s="4">
        <v>211</v>
      </c>
      <c r="F93" s="4">
        <f>ROUND(Source!Y66,O93)</f>
        <v>83029.740000000005</v>
      </c>
      <c r="G93" s="4" t="s">
        <v>234</v>
      </c>
      <c r="H93" s="4" t="s">
        <v>235</v>
      </c>
      <c r="I93" s="4"/>
      <c r="J93" s="4"/>
      <c r="K93" s="4">
        <v>211</v>
      </c>
      <c r="L93" s="4">
        <v>26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83029.740000000005</v>
      </c>
      <c r="X93" s="4">
        <v>1</v>
      </c>
      <c r="Y93" s="4">
        <v>83029.740000000005</v>
      </c>
      <c r="Z93" s="4"/>
      <c r="AA93" s="4"/>
      <c r="AB93" s="4"/>
    </row>
    <row r="94" spans="1:88" x14ac:dyDescent="0.2">
      <c r="A94" s="4">
        <v>50</v>
      </c>
      <c r="B94" s="4">
        <v>0</v>
      </c>
      <c r="C94" s="4">
        <v>0</v>
      </c>
      <c r="D94" s="4">
        <v>1</v>
      </c>
      <c r="E94" s="4">
        <v>224</v>
      </c>
      <c r="F94" s="4">
        <f>ROUND(Source!AR66,O94)</f>
        <v>795454.96</v>
      </c>
      <c r="G94" s="4" t="s">
        <v>236</v>
      </c>
      <c r="H94" s="4" t="s">
        <v>237</v>
      </c>
      <c r="I94" s="4"/>
      <c r="J94" s="4"/>
      <c r="K94" s="4">
        <v>224</v>
      </c>
      <c r="L94" s="4">
        <v>27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795454.96</v>
      </c>
      <c r="X94" s="4">
        <v>1</v>
      </c>
      <c r="Y94" s="4">
        <v>795454.96</v>
      </c>
      <c r="Z94" s="4"/>
      <c r="AA94" s="4"/>
      <c r="AB94" s="4"/>
    </row>
    <row r="96" spans="1:88" x14ac:dyDescent="0.2">
      <c r="A96" s="1">
        <v>4</v>
      </c>
      <c r="B96" s="1">
        <v>1</v>
      </c>
      <c r="C96" s="1"/>
      <c r="D96" s="1">
        <f>ROW(A146)</f>
        <v>146</v>
      </c>
      <c r="E96" s="1"/>
      <c r="F96" s="1" t="s">
        <v>16</v>
      </c>
      <c r="G96" s="1" t="s">
        <v>238</v>
      </c>
      <c r="H96" s="1" t="s">
        <v>3</v>
      </c>
      <c r="I96" s="1">
        <v>0</v>
      </c>
      <c r="J96" s="1"/>
      <c r="K96" s="1">
        <v>0</v>
      </c>
      <c r="L96" s="1"/>
      <c r="M96" s="1" t="s">
        <v>3</v>
      </c>
      <c r="N96" s="1"/>
      <c r="O96" s="1"/>
      <c r="P96" s="1"/>
      <c r="Q96" s="1"/>
      <c r="R96" s="1"/>
      <c r="S96" s="1">
        <v>0</v>
      </c>
      <c r="T96" s="1"/>
      <c r="U96" s="1" t="s">
        <v>3</v>
      </c>
      <c r="V96" s="1">
        <v>0</v>
      </c>
      <c r="W96" s="1"/>
      <c r="X96" s="1"/>
      <c r="Y96" s="1"/>
      <c r="Z96" s="1"/>
      <c r="AA96" s="1"/>
      <c r="AB96" s="1" t="s">
        <v>3</v>
      </c>
      <c r="AC96" s="1" t="s">
        <v>3</v>
      </c>
      <c r="AD96" s="1" t="s">
        <v>3</v>
      </c>
      <c r="AE96" s="1" t="s">
        <v>3</v>
      </c>
      <c r="AF96" s="1" t="s">
        <v>3</v>
      </c>
      <c r="AG96" s="1" t="s">
        <v>3</v>
      </c>
      <c r="AH96" s="1"/>
      <c r="AI96" s="1"/>
      <c r="AJ96" s="1"/>
      <c r="AK96" s="1"/>
      <c r="AL96" s="1"/>
      <c r="AM96" s="1"/>
      <c r="AN96" s="1"/>
      <c r="AO96" s="1"/>
      <c r="AP96" s="1" t="s">
        <v>3</v>
      </c>
      <c r="AQ96" s="1" t="s">
        <v>3</v>
      </c>
      <c r="AR96" s="1" t="s">
        <v>3</v>
      </c>
      <c r="AS96" s="1"/>
      <c r="AT96" s="1"/>
      <c r="AU96" s="1"/>
      <c r="AV96" s="1"/>
      <c r="AW96" s="1"/>
      <c r="AX96" s="1"/>
      <c r="AY96" s="1"/>
      <c r="AZ96" s="1" t="s">
        <v>3</v>
      </c>
      <c r="BA96" s="1"/>
      <c r="BB96" s="1" t="s">
        <v>3</v>
      </c>
      <c r="BC96" s="1" t="s">
        <v>3</v>
      </c>
      <c r="BD96" s="1" t="s">
        <v>3</v>
      </c>
      <c r="BE96" s="1" t="s">
        <v>3</v>
      </c>
      <c r="BF96" s="1" t="s">
        <v>3</v>
      </c>
      <c r="BG96" s="1" t="s">
        <v>3</v>
      </c>
      <c r="BH96" s="1" t="s">
        <v>3</v>
      </c>
      <c r="BI96" s="1" t="s">
        <v>3</v>
      </c>
      <c r="BJ96" s="1" t="s">
        <v>3</v>
      </c>
      <c r="BK96" s="1" t="s">
        <v>3</v>
      </c>
      <c r="BL96" s="1" t="s">
        <v>3</v>
      </c>
      <c r="BM96" s="1" t="s">
        <v>3</v>
      </c>
      <c r="BN96" s="1" t="s">
        <v>3</v>
      </c>
      <c r="BO96" s="1" t="s">
        <v>3</v>
      </c>
      <c r="BP96" s="1" t="s">
        <v>3</v>
      </c>
      <c r="BQ96" s="1"/>
      <c r="BR96" s="1"/>
      <c r="BS96" s="1"/>
      <c r="BT96" s="1"/>
      <c r="BU96" s="1"/>
      <c r="BV96" s="1"/>
      <c r="BW96" s="1"/>
      <c r="BX96" s="1">
        <v>0</v>
      </c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>
        <v>0</v>
      </c>
    </row>
    <row r="98" spans="1:245" x14ac:dyDescent="0.2">
      <c r="A98" s="2">
        <v>52</v>
      </c>
      <c r="B98" s="2">
        <f t="shared" ref="B98:G98" si="67">B146</f>
        <v>1</v>
      </c>
      <c r="C98" s="2">
        <f t="shared" si="67"/>
        <v>4</v>
      </c>
      <c r="D98" s="2">
        <f t="shared" si="67"/>
        <v>96</v>
      </c>
      <c r="E98" s="2">
        <f t="shared" si="67"/>
        <v>0</v>
      </c>
      <c r="F98" s="2" t="str">
        <f t="shared" si="67"/>
        <v>Новый раздел</v>
      </c>
      <c r="G98" s="2" t="str">
        <f t="shared" si="67"/>
        <v>Ремонт кровли пристроя на отм. +7,400 - +8,900</v>
      </c>
      <c r="H98" s="2"/>
      <c r="I98" s="2"/>
      <c r="J98" s="2"/>
      <c r="K98" s="2"/>
      <c r="L98" s="2"/>
      <c r="M98" s="2"/>
      <c r="N98" s="2"/>
      <c r="O98" s="2">
        <f t="shared" ref="O98:AT98" si="68">O146</f>
        <v>858942</v>
      </c>
      <c r="P98" s="2">
        <f t="shared" si="68"/>
        <v>523680.55</v>
      </c>
      <c r="Q98" s="2">
        <f t="shared" si="68"/>
        <v>48337.37</v>
      </c>
      <c r="R98" s="2">
        <f t="shared" si="68"/>
        <v>13194.68</v>
      </c>
      <c r="S98" s="2">
        <f t="shared" si="68"/>
        <v>286924.08</v>
      </c>
      <c r="T98" s="2">
        <f t="shared" si="68"/>
        <v>0</v>
      </c>
      <c r="U98" s="2">
        <f t="shared" si="68"/>
        <v>750.83172875000002</v>
      </c>
      <c r="V98" s="2">
        <f t="shared" si="68"/>
        <v>21.1194375</v>
      </c>
      <c r="W98" s="2">
        <f t="shared" si="68"/>
        <v>0</v>
      </c>
      <c r="X98" s="2">
        <f t="shared" si="68"/>
        <v>293344.5</v>
      </c>
      <c r="Y98" s="2">
        <f t="shared" si="68"/>
        <v>148126.85</v>
      </c>
      <c r="Z98" s="2">
        <f t="shared" si="68"/>
        <v>0</v>
      </c>
      <c r="AA98" s="2">
        <f t="shared" si="68"/>
        <v>0</v>
      </c>
      <c r="AB98" s="2">
        <f t="shared" si="68"/>
        <v>858942</v>
      </c>
      <c r="AC98" s="2">
        <f t="shared" si="68"/>
        <v>523680.55</v>
      </c>
      <c r="AD98" s="2">
        <f t="shared" si="68"/>
        <v>48337.37</v>
      </c>
      <c r="AE98" s="2">
        <f t="shared" si="68"/>
        <v>13194.68</v>
      </c>
      <c r="AF98" s="2">
        <f t="shared" si="68"/>
        <v>286924.08</v>
      </c>
      <c r="AG98" s="2">
        <f t="shared" si="68"/>
        <v>0</v>
      </c>
      <c r="AH98" s="2">
        <f t="shared" si="68"/>
        <v>750.83172875000002</v>
      </c>
      <c r="AI98" s="2">
        <f t="shared" si="68"/>
        <v>21.1194375</v>
      </c>
      <c r="AJ98" s="2">
        <f t="shared" si="68"/>
        <v>0</v>
      </c>
      <c r="AK98" s="2">
        <f t="shared" si="68"/>
        <v>293344.5</v>
      </c>
      <c r="AL98" s="2">
        <f t="shared" si="68"/>
        <v>148126.85</v>
      </c>
      <c r="AM98" s="2">
        <f t="shared" si="68"/>
        <v>0</v>
      </c>
      <c r="AN98" s="2">
        <f t="shared" si="68"/>
        <v>0</v>
      </c>
      <c r="AO98" s="2">
        <f t="shared" si="68"/>
        <v>0</v>
      </c>
      <c r="AP98" s="2">
        <f t="shared" si="68"/>
        <v>0</v>
      </c>
      <c r="AQ98" s="2">
        <f t="shared" si="68"/>
        <v>0</v>
      </c>
      <c r="AR98" s="2">
        <f t="shared" si="68"/>
        <v>1302112.8</v>
      </c>
      <c r="AS98" s="2">
        <f t="shared" si="68"/>
        <v>1302112.8</v>
      </c>
      <c r="AT98" s="2">
        <f t="shared" si="68"/>
        <v>0</v>
      </c>
      <c r="AU98" s="2">
        <f t="shared" ref="AU98:BZ98" si="69">AU146</f>
        <v>0</v>
      </c>
      <c r="AV98" s="2">
        <f t="shared" si="69"/>
        <v>523680.55</v>
      </c>
      <c r="AW98" s="2">
        <f t="shared" si="69"/>
        <v>523680.55</v>
      </c>
      <c r="AX98" s="2">
        <f t="shared" si="69"/>
        <v>0</v>
      </c>
      <c r="AY98" s="2">
        <f t="shared" si="69"/>
        <v>523680.55</v>
      </c>
      <c r="AZ98" s="2">
        <f t="shared" si="69"/>
        <v>0</v>
      </c>
      <c r="BA98" s="2">
        <f t="shared" si="69"/>
        <v>0</v>
      </c>
      <c r="BB98" s="2">
        <f t="shared" si="69"/>
        <v>0</v>
      </c>
      <c r="BC98" s="2">
        <f t="shared" si="69"/>
        <v>0</v>
      </c>
      <c r="BD98" s="2">
        <f t="shared" si="69"/>
        <v>1699.45</v>
      </c>
      <c r="BE98" s="2">
        <f t="shared" si="69"/>
        <v>0</v>
      </c>
      <c r="BF98" s="2">
        <f t="shared" si="69"/>
        <v>0</v>
      </c>
      <c r="BG98" s="2">
        <f t="shared" si="69"/>
        <v>0</v>
      </c>
      <c r="BH98" s="2">
        <f t="shared" si="69"/>
        <v>0</v>
      </c>
      <c r="BI98" s="2">
        <f t="shared" si="69"/>
        <v>0</v>
      </c>
      <c r="BJ98" s="2">
        <f t="shared" si="69"/>
        <v>0</v>
      </c>
      <c r="BK98" s="2">
        <f t="shared" si="69"/>
        <v>0</v>
      </c>
      <c r="BL98" s="2">
        <f t="shared" si="69"/>
        <v>0</v>
      </c>
      <c r="BM98" s="2">
        <f t="shared" si="69"/>
        <v>0</v>
      </c>
      <c r="BN98" s="2">
        <f t="shared" si="69"/>
        <v>0</v>
      </c>
      <c r="BO98" s="2">
        <f t="shared" si="69"/>
        <v>0</v>
      </c>
      <c r="BP98" s="2">
        <f t="shared" si="69"/>
        <v>0</v>
      </c>
      <c r="BQ98" s="2">
        <f t="shared" si="69"/>
        <v>0</v>
      </c>
      <c r="BR98" s="2">
        <f t="shared" si="69"/>
        <v>0</v>
      </c>
      <c r="BS98" s="2">
        <f t="shared" si="69"/>
        <v>0</v>
      </c>
      <c r="BT98" s="2">
        <f t="shared" si="69"/>
        <v>0</v>
      </c>
      <c r="BU98" s="2">
        <f t="shared" si="69"/>
        <v>0</v>
      </c>
      <c r="BV98" s="2">
        <f t="shared" si="69"/>
        <v>0</v>
      </c>
      <c r="BW98" s="2">
        <f t="shared" si="69"/>
        <v>0</v>
      </c>
      <c r="BX98" s="2">
        <f t="shared" si="69"/>
        <v>0</v>
      </c>
      <c r="BY98" s="2">
        <f t="shared" si="69"/>
        <v>0</v>
      </c>
      <c r="BZ98" s="2">
        <f t="shared" si="69"/>
        <v>0</v>
      </c>
      <c r="CA98" s="2">
        <f t="shared" ref="CA98:DF98" si="70">CA146</f>
        <v>1302112.8</v>
      </c>
      <c r="CB98" s="2">
        <f t="shared" si="70"/>
        <v>1302112.8</v>
      </c>
      <c r="CC98" s="2">
        <f t="shared" si="70"/>
        <v>0</v>
      </c>
      <c r="CD98" s="2">
        <f t="shared" si="70"/>
        <v>0</v>
      </c>
      <c r="CE98" s="2">
        <f t="shared" si="70"/>
        <v>523680.55</v>
      </c>
      <c r="CF98" s="2">
        <f t="shared" si="70"/>
        <v>523680.55</v>
      </c>
      <c r="CG98" s="2">
        <f t="shared" si="70"/>
        <v>0</v>
      </c>
      <c r="CH98" s="2">
        <f t="shared" si="70"/>
        <v>523680.55</v>
      </c>
      <c r="CI98" s="2">
        <f t="shared" si="70"/>
        <v>0</v>
      </c>
      <c r="CJ98" s="2">
        <f t="shared" si="70"/>
        <v>0</v>
      </c>
      <c r="CK98" s="2">
        <f t="shared" si="70"/>
        <v>0</v>
      </c>
      <c r="CL98" s="2">
        <f t="shared" si="70"/>
        <v>0</v>
      </c>
      <c r="CM98" s="2">
        <f t="shared" si="70"/>
        <v>1699.45</v>
      </c>
      <c r="CN98" s="2">
        <f t="shared" si="70"/>
        <v>0</v>
      </c>
      <c r="CO98" s="2">
        <f t="shared" si="70"/>
        <v>0</v>
      </c>
      <c r="CP98" s="2">
        <f t="shared" si="70"/>
        <v>0</v>
      </c>
      <c r="CQ98" s="2">
        <f t="shared" si="70"/>
        <v>0</v>
      </c>
      <c r="CR98" s="2">
        <f t="shared" si="70"/>
        <v>0</v>
      </c>
      <c r="CS98" s="2">
        <f t="shared" si="70"/>
        <v>0</v>
      </c>
      <c r="CT98" s="2">
        <f t="shared" si="70"/>
        <v>0</v>
      </c>
      <c r="CU98" s="2">
        <f t="shared" si="70"/>
        <v>0</v>
      </c>
      <c r="CV98" s="2">
        <f t="shared" si="70"/>
        <v>0</v>
      </c>
      <c r="CW98" s="2">
        <f t="shared" si="70"/>
        <v>0</v>
      </c>
      <c r="CX98" s="2">
        <f t="shared" si="70"/>
        <v>0</v>
      </c>
      <c r="CY98" s="2">
        <f t="shared" si="70"/>
        <v>0</v>
      </c>
      <c r="CZ98" s="2">
        <f t="shared" si="70"/>
        <v>0</v>
      </c>
      <c r="DA98" s="2">
        <f t="shared" si="70"/>
        <v>0</v>
      </c>
      <c r="DB98" s="2">
        <f t="shared" si="70"/>
        <v>0</v>
      </c>
      <c r="DC98" s="2">
        <f t="shared" si="70"/>
        <v>0</v>
      </c>
      <c r="DD98" s="2">
        <f t="shared" si="70"/>
        <v>0</v>
      </c>
      <c r="DE98" s="2">
        <f t="shared" si="70"/>
        <v>0</v>
      </c>
      <c r="DF98" s="2">
        <f t="shared" si="70"/>
        <v>0</v>
      </c>
      <c r="DG98" s="3">
        <f t="shared" ref="DG98:EL98" si="71">DG146</f>
        <v>0</v>
      </c>
      <c r="DH98" s="3">
        <f t="shared" si="71"/>
        <v>0</v>
      </c>
      <c r="DI98" s="3">
        <f t="shared" si="71"/>
        <v>0</v>
      </c>
      <c r="DJ98" s="3">
        <f t="shared" si="71"/>
        <v>0</v>
      </c>
      <c r="DK98" s="3">
        <f t="shared" si="71"/>
        <v>0</v>
      </c>
      <c r="DL98" s="3">
        <f t="shared" si="71"/>
        <v>0</v>
      </c>
      <c r="DM98" s="3">
        <f t="shared" si="71"/>
        <v>0</v>
      </c>
      <c r="DN98" s="3">
        <f t="shared" si="71"/>
        <v>0</v>
      </c>
      <c r="DO98" s="3">
        <f t="shared" si="71"/>
        <v>0</v>
      </c>
      <c r="DP98" s="3">
        <f t="shared" si="71"/>
        <v>0</v>
      </c>
      <c r="DQ98" s="3">
        <f t="shared" si="71"/>
        <v>0</v>
      </c>
      <c r="DR98" s="3">
        <f t="shared" si="71"/>
        <v>0</v>
      </c>
      <c r="DS98" s="3">
        <f t="shared" si="71"/>
        <v>0</v>
      </c>
      <c r="DT98" s="3">
        <f t="shared" si="71"/>
        <v>0</v>
      </c>
      <c r="DU98" s="3">
        <f t="shared" si="71"/>
        <v>0</v>
      </c>
      <c r="DV98" s="3">
        <f t="shared" si="71"/>
        <v>0</v>
      </c>
      <c r="DW98" s="3">
        <f t="shared" si="71"/>
        <v>0</v>
      </c>
      <c r="DX98" s="3">
        <f t="shared" si="71"/>
        <v>0</v>
      </c>
      <c r="DY98" s="3">
        <f t="shared" si="71"/>
        <v>0</v>
      </c>
      <c r="DZ98" s="3">
        <f t="shared" si="71"/>
        <v>0</v>
      </c>
      <c r="EA98" s="3">
        <f t="shared" si="71"/>
        <v>0</v>
      </c>
      <c r="EB98" s="3">
        <f t="shared" si="71"/>
        <v>0</v>
      </c>
      <c r="EC98" s="3">
        <f t="shared" si="71"/>
        <v>0</v>
      </c>
      <c r="ED98" s="3">
        <f t="shared" si="71"/>
        <v>0</v>
      </c>
      <c r="EE98" s="3">
        <f t="shared" si="71"/>
        <v>0</v>
      </c>
      <c r="EF98" s="3">
        <f t="shared" si="71"/>
        <v>0</v>
      </c>
      <c r="EG98" s="3">
        <f t="shared" si="71"/>
        <v>0</v>
      </c>
      <c r="EH98" s="3">
        <f t="shared" si="71"/>
        <v>0</v>
      </c>
      <c r="EI98" s="3">
        <f t="shared" si="71"/>
        <v>0</v>
      </c>
      <c r="EJ98" s="3">
        <f t="shared" si="71"/>
        <v>0</v>
      </c>
      <c r="EK98" s="3">
        <f t="shared" si="71"/>
        <v>0</v>
      </c>
      <c r="EL98" s="3">
        <f t="shared" si="71"/>
        <v>0</v>
      </c>
      <c r="EM98" s="3">
        <f t="shared" ref="EM98:FR98" si="72">EM146</f>
        <v>0</v>
      </c>
      <c r="EN98" s="3">
        <f t="shared" si="72"/>
        <v>0</v>
      </c>
      <c r="EO98" s="3">
        <f t="shared" si="72"/>
        <v>0</v>
      </c>
      <c r="EP98" s="3">
        <f t="shared" si="72"/>
        <v>0</v>
      </c>
      <c r="EQ98" s="3">
        <f t="shared" si="72"/>
        <v>0</v>
      </c>
      <c r="ER98" s="3">
        <f t="shared" si="72"/>
        <v>0</v>
      </c>
      <c r="ES98" s="3">
        <f t="shared" si="72"/>
        <v>0</v>
      </c>
      <c r="ET98" s="3">
        <f t="shared" si="72"/>
        <v>0</v>
      </c>
      <c r="EU98" s="3">
        <f t="shared" si="72"/>
        <v>0</v>
      </c>
      <c r="EV98" s="3">
        <f t="shared" si="72"/>
        <v>0</v>
      </c>
      <c r="EW98" s="3">
        <f t="shared" si="72"/>
        <v>0</v>
      </c>
      <c r="EX98" s="3">
        <f t="shared" si="72"/>
        <v>0</v>
      </c>
      <c r="EY98" s="3">
        <f t="shared" si="72"/>
        <v>0</v>
      </c>
      <c r="EZ98" s="3">
        <f t="shared" si="72"/>
        <v>0</v>
      </c>
      <c r="FA98" s="3">
        <f t="shared" si="72"/>
        <v>0</v>
      </c>
      <c r="FB98" s="3">
        <f t="shared" si="72"/>
        <v>0</v>
      </c>
      <c r="FC98" s="3">
        <f t="shared" si="72"/>
        <v>0</v>
      </c>
      <c r="FD98" s="3">
        <f t="shared" si="72"/>
        <v>0</v>
      </c>
      <c r="FE98" s="3">
        <f t="shared" si="72"/>
        <v>0</v>
      </c>
      <c r="FF98" s="3">
        <f t="shared" si="72"/>
        <v>0</v>
      </c>
      <c r="FG98" s="3">
        <f t="shared" si="72"/>
        <v>0</v>
      </c>
      <c r="FH98" s="3">
        <f t="shared" si="72"/>
        <v>0</v>
      </c>
      <c r="FI98" s="3">
        <f t="shared" si="72"/>
        <v>0</v>
      </c>
      <c r="FJ98" s="3">
        <f t="shared" si="72"/>
        <v>0</v>
      </c>
      <c r="FK98" s="3">
        <f t="shared" si="72"/>
        <v>0</v>
      </c>
      <c r="FL98" s="3">
        <f t="shared" si="72"/>
        <v>0</v>
      </c>
      <c r="FM98" s="3">
        <f t="shared" si="72"/>
        <v>0</v>
      </c>
      <c r="FN98" s="3">
        <f t="shared" si="72"/>
        <v>0</v>
      </c>
      <c r="FO98" s="3">
        <f t="shared" si="72"/>
        <v>0</v>
      </c>
      <c r="FP98" s="3">
        <f t="shared" si="72"/>
        <v>0</v>
      </c>
      <c r="FQ98" s="3">
        <f t="shared" si="72"/>
        <v>0</v>
      </c>
      <c r="FR98" s="3">
        <f t="shared" si="72"/>
        <v>0</v>
      </c>
      <c r="FS98" s="3">
        <f t="shared" ref="FS98:GX98" si="73">FS146</f>
        <v>0</v>
      </c>
      <c r="FT98" s="3">
        <f t="shared" si="73"/>
        <v>0</v>
      </c>
      <c r="FU98" s="3">
        <f t="shared" si="73"/>
        <v>0</v>
      </c>
      <c r="FV98" s="3">
        <f t="shared" si="73"/>
        <v>0</v>
      </c>
      <c r="FW98" s="3">
        <f t="shared" si="73"/>
        <v>0</v>
      </c>
      <c r="FX98" s="3">
        <f t="shared" si="73"/>
        <v>0</v>
      </c>
      <c r="FY98" s="3">
        <f t="shared" si="73"/>
        <v>0</v>
      </c>
      <c r="FZ98" s="3">
        <f t="shared" si="73"/>
        <v>0</v>
      </c>
      <c r="GA98" s="3">
        <f t="shared" si="73"/>
        <v>0</v>
      </c>
      <c r="GB98" s="3">
        <f t="shared" si="73"/>
        <v>0</v>
      </c>
      <c r="GC98" s="3">
        <f t="shared" si="73"/>
        <v>0</v>
      </c>
      <c r="GD98" s="3">
        <f t="shared" si="73"/>
        <v>0</v>
      </c>
      <c r="GE98" s="3">
        <f t="shared" si="73"/>
        <v>0</v>
      </c>
      <c r="GF98" s="3">
        <f t="shared" si="73"/>
        <v>0</v>
      </c>
      <c r="GG98" s="3">
        <f t="shared" si="73"/>
        <v>0</v>
      </c>
      <c r="GH98" s="3">
        <f t="shared" si="73"/>
        <v>0</v>
      </c>
      <c r="GI98" s="3">
        <f t="shared" si="73"/>
        <v>0</v>
      </c>
      <c r="GJ98" s="3">
        <f t="shared" si="73"/>
        <v>0</v>
      </c>
      <c r="GK98" s="3">
        <f t="shared" si="73"/>
        <v>0</v>
      </c>
      <c r="GL98" s="3">
        <f t="shared" si="73"/>
        <v>0</v>
      </c>
      <c r="GM98" s="3">
        <f t="shared" si="73"/>
        <v>0</v>
      </c>
      <c r="GN98" s="3">
        <f t="shared" si="73"/>
        <v>0</v>
      </c>
      <c r="GO98" s="3">
        <f t="shared" si="73"/>
        <v>0</v>
      </c>
      <c r="GP98" s="3">
        <f t="shared" si="73"/>
        <v>0</v>
      </c>
      <c r="GQ98" s="3">
        <f t="shared" si="73"/>
        <v>0</v>
      </c>
      <c r="GR98" s="3">
        <f t="shared" si="73"/>
        <v>0</v>
      </c>
      <c r="GS98" s="3">
        <f t="shared" si="73"/>
        <v>0</v>
      </c>
      <c r="GT98" s="3">
        <f t="shared" si="73"/>
        <v>0</v>
      </c>
      <c r="GU98" s="3">
        <f t="shared" si="73"/>
        <v>0</v>
      </c>
      <c r="GV98" s="3">
        <f t="shared" si="73"/>
        <v>0</v>
      </c>
      <c r="GW98" s="3">
        <f t="shared" si="73"/>
        <v>0</v>
      </c>
      <c r="GX98" s="3">
        <f t="shared" si="73"/>
        <v>0</v>
      </c>
    </row>
    <row r="100" spans="1:245" x14ac:dyDescent="0.2">
      <c r="A100">
        <v>17</v>
      </c>
      <c r="B100">
        <v>1</v>
      </c>
      <c r="E100" t="s">
        <v>239</v>
      </c>
      <c r="F100" t="s">
        <v>19</v>
      </c>
      <c r="G100" t="s">
        <v>20</v>
      </c>
      <c r="H100" t="s">
        <v>21</v>
      </c>
      <c r="I100">
        <v>86.2</v>
      </c>
      <c r="J100">
        <v>0</v>
      </c>
      <c r="K100">
        <v>86.2</v>
      </c>
      <c r="O100">
        <f t="shared" ref="O100:O141" si="74">ROUND(CP100,2)</f>
        <v>156281.72</v>
      </c>
      <c r="P100">
        <f t="shared" ref="P100:P141" si="75">ROUND(CQ100*I100,2)</f>
        <v>156281.72</v>
      </c>
      <c r="Q100">
        <f t="shared" ref="Q100:Q141" si="76">ROUND(CR100*I100,2)</f>
        <v>0</v>
      </c>
      <c r="R100">
        <f t="shared" ref="R100:R141" si="77">ROUND(CS100*I100,2)</f>
        <v>0</v>
      </c>
      <c r="S100">
        <f t="shared" ref="S100:S141" si="78">ROUND(CT100*I100,2)</f>
        <v>0</v>
      </c>
      <c r="T100">
        <f t="shared" ref="T100:T141" si="79">ROUND(CU100*I100,2)</f>
        <v>0</v>
      </c>
      <c r="U100">
        <f t="shared" ref="U100:U141" si="80">CV100*I100</f>
        <v>0</v>
      </c>
      <c r="V100">
        <f t="shared" ref="V100:V141" si="81">CW100*I100</f>
        <v>0</v>
      </c>
      <c r="W100">
        <f t="shared" ref="W100:W141" si="82">ROUND(CX100*I100,2)</f>
        <v>0</v>
      </c>
      <c r="X100">
        <f t="shared" ref="X100:X141" si="83">ROUND(CY100,2)</f>
        <v>0</v>
      </c>
      <c r="Y100">
        <f t="shared" ref="Y100:Y141" si="84">ROUND(CZ100,2)</f>
        <v>0</v>
      </c>
      <c r="AA100">
        <v>145185703</v>
      </c>
      <c r="AB100">
        <f t="shared" ref="AB100:AB141" si="85">ROUND((AC100+AD100+AF100),2)</f>
        <v>216.35</v>
      </c>
      <c r="AC100">
        <f>ROUND((ES100),2)</f>
        <v>216.35</v>
      </c>
      <c r="AD100">
        <f>ROUND((((ET100)-(EU100))+AE100),2)</f>
        <v>0</v>
      </c>
      <c r="AE100">
        <f>ROUND((EU100),2)</f>
        <v>0</v>
      </c>
      <c r="AF100">
        <f>ROUND((EV100),2)</f>
        <v>0</v>
      </c>
      <c r="AG100">
        <f t="shared" ref="AG100:AG141" si="86">ROUND((AP100),2)</f>
        <v>0</v>
      </c>
      <c r="AH100">
        <f>(EW100)</f>
        <v>0</v>
      </c>
      <c r="AI100">
        <f>(EX100)</f>
        <v>0</v>
      </c>
      <c r="AJ100">
        <f t="shared" ref="AJ100:AJ141" si="87">(AS100)</f>
        <v>0</v>
      </c>
      <c r="AK100">
        <v>216.35</v>
      </c>
      <c r="AL100">
        <v>216.35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8.3800000000000008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3</v>
      </c>
      <c r="BM100">
        <v>1100</v>
      </c>
      <c r="BN100">
        <v>0</v>
      </c>
      <c r="BO100" t="s">
        <v>3</v>
      </c>
      <c r="BP100">
        <v>0</v>
      </c>
      <c r="BQ100">
        <v>8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0</v>
      </c>
      <c r="CA100">
        <v>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ref="CP100:CP141" si="88">(P100+Q100+S100)</f>
        <v>156281.72</v>
      </c>
      <c r="CQ100">
        <f t="shared" ref="CQ100:CQ141" si="89">AC100*BC100</f>
        <v>1813.0130000000001</v>
      </c>
      <c r="CR100">
        <f>(((ET100)*BB100-(EU100)*BS100)+AE100*BS100)</f>
        <v>0</v>
      </c>
      <c r="CS100">
        <f t="shared" ref="CS100:CS141" si="90">AE100*BS100</f>
        <v>0</v>
      </c>
      <c r="CT100">
        <f t="shared" ref="CT100:CT141" si="91">AF100*BA100</f>
        <v>0</v>
      </c>
      <c r="CU100">
        <f t="shared" ref="CU100:CU141" si="92">AG100</f>
        <v>0</v>
      </c>
      <c r="CV100">
        <f t="shared" ref="CV100:CV141" si="93">AH100</f>
        <v>0</v>
      </c>
      <c r="CW100">
        <f t="shared" ref="CW100:CW141" si="94">AI100</f>
        <v>0</v>
      </c>
      <c r="CX100">
        <f t="shared" ref="CX100:CX141" si="95">AJ100</f>
        <v>0</v>
      </c>
      <c r="CY100">
        <f t="shared" ref="CY100:CY141" si="96">(((S100+R100)*AT100)/100)</f>
        <v>0</v>
      </c>
      <c r="CZ100">
        <f t="shared" ref="CZ100:CZ141" si="97">(((S100+R100)*AU100)/100)</f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1009</v>
      </c>
      <c r="DV100" t="s">
        <v>21</v>
      </c>
      <c r="DW100" t="s">
        <v>21</v>
      </c>
      <c r="DX100">
        <v>1000</v>
      </c>
      <c r="DZ100" t="s">
        <v>3</v>
      </c>
      <c r="EA100" t="s">
        <v>3</v>
      </c>
      <c r="EB100" t="s">
        <v>3</v>
      </c>
      <c r="EC100" t="s">
        <v>3</v>
      </c>
      <c r="EE100">
        <v>140625274</v>
      </c>
      <c r="EF100">
        <v>8</v>
      </c>
      <c r="EG100" t="s">
        <v>22</v>
      </c>
      <c r="EH100">
        <v>0</v>
      </c>
      <c r="EI100" t="s">
        <v>3</v>
      </c>
      <c r="EJ100">
        <v>1</v>
      </c>
      <c r="EK100">
        <v>1100</v>
      </c>
      <c r="EL100" t="s">
        <v>23</v>
      </c>
      <c r="EM100" t="s">
        <v>24</v>
      </c>
      <c r="EO100" t="s">
        <v>3</v>
      </c>
      <c r="EQ100">
        <v>0</v>
      </c>
      <c r="ER100">
        <v>218.17</v>
      </c>
      <c r="ES100">
        <v>216.35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5</v>
      </c>
      <c r="FC100">
        <v>0</v>
      </c>
      <c r="FD100">
        <v>18</v>
      </c>
      <c r="FF100">
        <v>1813</v>
      </c>
      <c r="FQ100">
        <v>0</v>
      </c>
      <c r="FR100">
        <f t="shared" ref="FR100:FR144" si="98">ROUND(IF(BI100=3,GM100,0),2)</f>
        <v>0</v>
      </c>
      <c r="FS100">
        <v>0</v>
      </c>
      <c r="FX100">
        <v>0</v>
      </c>
      <c r="FY100">
        <v>0</v>
      </c>
      <c r="GA100" t="s">
        <v>25</v>
      </c>
      <c r="GD100">
        <v>1</v>
      </c>
      <c r="GF100">
        <v>469765175</v>
      </c>
      <c r="GG100">
        <v>2</v>
      </c>
      <c r="GH100">
        <v>3</v>
      </c>
      <c r="GI100">
        <v>4</v>
      </c>
      <c r="GJ100">
        <v>0</v>
      </c>
      <c r="GK100">
        <v>0</v>
      </c>
      <c r="GL100">
        <f t="shared" ref="GL100:GL144" si="99">ROUND(IF(AND(BH100=3,BI100=3,FS100&lt;&gt;0),P100,0),2)</f>
        <v>0</v>
      </c>
      <c r="GM100">
        <f t="shared" ref="GM100:GM141" si="100">ROUND(O100+X100+Y100,2)+GX100</f>
        <v>156281.72</v>
      </c>
      <c r="GN100">
        <f t="shared" ref="GN100:GN141" si="101">IF(OR(BI100=0,BI100=1),ROUND(O100+X100+Y100,2),0)</f>
        <v>156281.72</v>
      </c>
      <c r="GO100">
        <f t="shared" ref="GO100:GO141" si="102">IF(BI100=2,ROUND(O100+X100+Y100,2),0)</f>
        <v>0</v>
      </c>
      <c r="GP100">
        <f t="shared" ref="GP100:GP141" si="103">IF(BI100=4,ROUND(O100+X100+Y100,2)+GX100,0)</f>
        <v>0</v>
      </c>
      <c r="GR100">
        <v>1</v>
      </c>
      <c r="GS100">
        <v>1</v>
      </c>
      <c r="GT100">
        <v>0</v>
      </c>
      <c r="GU100" t="s">
        <v>3</v>
      </c>
      <c r="GV100">
        <f t="shared" ref="GV100:GV141" si="104">ROUND((GT100),2)</f>
        <v>0</v>
      </c>
      <c r="GW100">
        <v>1</v>
      </c>
      <c r="GX100">
        <f t="shared" ref="GX100:GX141" si="105">ROUND(HC100*I100,2)</f>
        <v>0</v>
      </c>
      <c r="HA100">
        <v>0</v>
      </c>
      <c r="HB100">
        <v>0</v>
      </c>
      <c r="HC100">
        <f t="shared" ref="HC100:HC141" si="106">GV100*GW100</f>
        <v>0</v>
      </c>
      <c r="HE100" t="s">
        <v>26</v>
      </c>
      <c r="HF100" t="s">
        <v>26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IK100">
        <v>0</v>
      </c>
    </row>
    <row r="101" spans="1:245" x14ac:dyDescent="0.2">
      <c r="A101">
        <v>17</v>
      </c>
      <c r="B101">
        <v>1</v>
      </c>
      <c r="C101">
        <f>ROW(SmtRes!A81)</f>
        <v>81</v>
      </c>
      <c r="D101">
        <f>ROW(EtalonRes!A81)</f>
        <v>81</v>
      </c>
      <c r="E101" t="s">
        <v>240</v>
      </c>
      <c r="F101" t="s">
        <v>28</v>
      </c>
      <c r="G101" t="s">
        <v>29</v>
      </c>
      <c r="H101" t="s">
        <v>30</v>
      </c>
      <c r="I101">
        <f>ROUND(431/100,9)</f>
        <v>4.3099999999999996</v>
      </c>
      <c r="J101">
        <v>0</v>
      </c>
      <c r="K101">
        <f>ROUND(431/100,9)</f>
        <v>4.3099999999999996</v>
      </c>
      <c r="O101">
        <f t="shared" si="74"/>
        <v>26204.09</v>
      </c>
      <c r="P101">
        <f t="shared" si="75"/>
        <v>0</v>
      </c>
      <c r="Q101">
        <f t="shared" si="76"/>
        <v>1770.9</v>
      </c>
      <c r="R101">
        <f t="shared" si="77"/>
        <v>0</v>
      </c>
      <c r="S101">
        <f t="shared" si="78"/>
        <v>24433.19</v>
      </c>
      <c r="T101">
        <f t="shared" si="79"/>
        <v>0</v>
      </c>
      <c r="U101">
        <f t="shared" si="80"/>
        <v>68.528999999999996</v>
      </c>
      <c r="V101">
        <f t="shared" si="81"/>
        <v>0</v>
      </c>
      <c r="W101">
        <f t="shared" si="82"/>
        <v>0</v>
      </c>
      <c r="X101">
        <f t="shared" si="83"/>
        <v>22234.2</v>
      </c>
      <c r="Y101">
        <f t="shared" si="84"/>
        <v>12705.26</v>
      </c>
      <c r="AA101">
        <v>145185703</v>
      </c>
      <c r="AB101">
        <f t="shared" si="85"/>
        <v>154.66</v>
      </c>
      <c r="AC101">
        <f>ROUND((ES101),2)</f>
        <v>0</v>
      </c>
      <c r="AD101">
        <f>ROUND((((ET101)-(EU101))+AE101),2)</f>
        <v>30.64</v>
      </c>
      <c r="AE101">
        <f>ROUND((EU101),2)</f>
        <v>0</v>
      </c>
      <c r="AF101">
        <f>ROUND((EV101),2)</f>
        <v>124.02</v>
      </c>
      <c r="AG101">
        <f t="shared" si="86"/>
        <v>0</v>
      </c>
      <c r="AH101">
        <f>(EW101)</f>
        <v>15.9</v>
      </c>
      <c r="AI101">
        <f>(EX101)</f>
        <v>0</v>
      </c>
      <c r="AJ101">
        <f t="shared" si="87"/>
        <v>0</v>
      </c>
      <c r="AK101">
        <v>154.66</v>
      </c>
      <c r="AL101">
        <v>0</v>
      </c>
      <c r="AM101">
        <v>30.64</v>
      </c>
      <c r="AN101">
        <v>0</v>
      </c>
      <c r="AO101">
        <v>124.02</v>
      </c>
      <c r="AP101">
        <v>0</v>
      </c>
      <c r="AQ101">
        <v>15.9</v>
      </c>
      <c r="AR101">
        <v>0</v>
      </c>
      <c r="AS101">
        <v>0</v>
      </c>
      <c r="AT101">
        <v>91</v>
      </c>
      <c r="AU101">
        <v>52</v>
      </c>
      <c r="AV101">
        <v>1</v>
      </c>
      <c r="AW101">
        <v>1</v>
      </c>
      <c r="AZ101">
        <v>1</v>
      </c>
      <c r="BA101">
        <v>45.71</v>
      </c>
      <c r="BB101">
        <v>13.41</v>
      </c>
      <c r="BC101">
        <v>8.3800000000000008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1</v>
      </c>
      <c r="BJ101" t="s">
        <v>31</v>
      </c>
      <c r="BM101">
        <v>46003</v>
      </c>
      <c r="BN101">
        <v>0</v>
      </c>
      <c r="BO101" t="s">
        <v>3</v>
      </c>
      <c r="BP101">
        <v>0</v>
      </c>
      <c r="BQ101">
        <v>2</v>
      </c>
      <c r="BR101">
        <v>0</v>
      </c>
      <c r="BS101">
        <v>45.71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91</v>
      </c>
      <c r="CA101">
        <v>52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8"/>
        <v>26204.09</v>
      </c>
      <c r="CQ101">
        <f t="shared" si="89"/>
        <v>0</v>
      </c>
      <c r="CR101">
        <f>(((ET101)*BB101-(EU101)*BS101)+AE101*BS101)</f>
        <v>410.88240000000002</v>
      </c>
      <c r="CS101">
        <f t="shared" si="90"/>
        <v>0</v>
      </c>
      <c r="CT101">
        <f t="shared" si="91"/>
        <v>5668.9542000000001</v>
      </c>
      <c r="CU101">
        <f t="shared" si="92"/>
        <v>0</v>
      </c>
      <c r="CV101">
        <f t="shared" si="93"/>
        <v>15.9</v>
      </c>
      <c r="CW101">
        <f t="shared" si="94"/>
        <v>0</v>
      </c>
      <c r="CX101">
        <f t="shared" si="95"/>
        <v>0</v>
      </c>
      <c r="CY101">
        <f t="shared" si="96"/>
        <v>22234.2029</v>
      </c>
      <c r="CZ101">
        <f t="shared" si="97"/>
        <v>12705.2588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1005</v>
      </c>
      <c r="DV101" t="s">
        <v>30</v>
      </c>
      <c r="DW101" t="s">
        <v>30</v>
      </c>
      <c r="DX101">
        <v>100</v>
      </c>
      <c r="DZ101" t="s">
        <v>3</v>
      </c>
      <c r="EA101" t="s">
        <v>3</v>
      </c>
      <c r="EB101" t="s">
        <v>3</v>
      </c>
      <c r="EC101" t="s">
        <v>3</v>
      </c>
      <c r="EE101">
        <v>140625347</v>
      </c>
      <c r="EF101">
        <v>2</v>
      </c>
      <c r="EG101" t="s">
        <v>32</v>
      </c>
      <c r="EH101">
        <v>40</v>
      </c>
      <c r="EI101" t="s">
        <v>33</v>
      </c>
      <c r="EJ101">
        <v>1</v>
      </c>
      <c r="EK101">
        <v>46003</v>
      </c>
      <c r="EL101" t="s">
        <v>34</v>
      </c>
      <c r="EM101" t="s">
        <v>35</v>
      </c>
      <c r="EO101" t="s">
        <v>3</v>
      </c>
      <c r="EQ101">
        <v>0</v>
      </c>
      <c r="ER101">
        <v>154.66</v>
      </c>
      <c r="ES101">
        <v>0</v>
      </c>
      <c r="ET101">
        <v>30.64</v>
      </c>
      <c r="EU101">
        <v>0</v>
      </c>
      <c r="EV101">
        <v>124.02</v>
      </c>
      <c r="EW101">
        <v>15.9</v>
      </c>
      <c r="EX101">
        <v>0</v>
      </c>
      <c r="EY101">
        <v>0</v>
      </c>
      <c r="FQ101">
        <v>0</v>
      </c>
      <c r="FR101">
        <f t="shared" si="98"/>
        <v>0</v>
      </c>
      <c r="FS101">
        <v>0</v>
      </c>
      <c r="FX101">
        <v>91</v>
      </c>
      <c r="FY101">
        <v>52</v>
      </c>
      <c r="GA101" t="s">
        <v>3</v>
      </c>
      <c r="GD101">
        <v>1</v>
      </c>
      <c r="GF101">
        <v>2084206629</v>
      </c>
      <c r="GG101">
        <v>2</v>
      </c>
      <c r="GH101">
        <v>1</v>
      </c>
      <c r="GI101">
        <v>4</v>
      </c>
      <c r="GJ101">
        <v>0</v>
      </c>
      <c r="GK101">
        <v>0</v>
      </c>
      <c r="GL101">
        <f t="shared" si="99"/>
        <v>0</v>
      </c>
      <c r="GM101">
        <f t="shared" si="100"/>
        <v>61143.55</v>
      </c>
      <c r="GN101">
        <f t="shared" si="101"/>
        <v>61143.55</v>
      </c>
      <c r="GO101">
        <f t="shared" si="102"/>
        <v>0</v>
      </c>
      <c r="GP101">
        <f t="shared" si="103"/>
        <v>0</v>
      </c>
      <c r="GR101">
        <v>0</v>
      </c>
      <c r="GS101">
        <v>3</v>
      </c>
      <c r="GT101">
        <v>0</v>
      </c>
      <c r="GU101" t="s">
        <v>3</v>
      </c>
      <c r="GV101">
        <f t="shared" si="104"/>
        <v>0</v>
      </c>
      <c r="GW101">
        <v>1</v>
      </c>
      <c r="GX101">
        <f t="shared" si="105"/>
        <v>0</v>
      </c>
      <c r="HA101">
        <v>0</v>
      </c>
      <c r="HB101">
        <v>0</v>
      </c>
      <c r="HC101">
        <f t="shared" si="106"/>
        <v>0</v>
      </c>
      <c r="HE101" t="s">
        <v>3</v>
      </c>
      <c r="HF101" t="s">
        <v>3</v>
      </c>
      <c r="HM101" t="s">
        <v>3</v>
      </c>
      <c r="HN101" t="s">
        <v>36</v>
      </c>
      <c r="HO101" t="s">
        <v>37</v>
      </c>
      <c r="HP101" t="s">
        <v>34</v>
      </c>
      <c r="HQ101" t="s">
        <v>34</v>
      </c>
      <c r="IK101">
        <v>0</v>
      </c>
    </row>
    <row r="102" spans="1:245" x14ac:dyDescent="0.2">
      <c r="A102">
        <v>17</v>
      </c>
      <c r="B102">
        <v>1</v>
      </c>
      <c r="C102">
        <f>ROW(SmtRes!A104)</f>
        <v>104</v>
      </c>
      <c r="D102">
        <f>ROW(EtalonRes!A104)</f>
        <v>104</v>
      </c>
      <c r="E102" t="s">
        <v>241</v>
      </c>
      <c r="F102" t="s">
        <v>39</v>
      </c>
      <c r="G102" t="s">
        <v>40</v>
      </c>
      <c r="H102" t="s">
        <v>30</v>
      </c>
      <c r="I102">
        <f>ROUND(431/100,9)</f>
        <v>4.3099999999999996</v>
      </c>
      <c r="J102">
        <v>0</v>
      </c>
      <c r="K102">
        <f>ROUND(431/100,9)</f>
        <v>4.3099999999999996</v>
      </c>
      <c r="O102">
        <f t="shared" si="74"/>
        <v>102228.38</v>
      </c>
      <c r="P102">
        <f t="shared" si="75"/>
        <v>5560.7</v>
      </c>
      <c r="Q102">
        <f t="shared" si="76"/>
        <v>33896.32</v>
      </c>
      <c r="R102">
        <f t="shared" si="77"/>
        <v>10134.200000000001</v>
      </c>
      <c r="S102">
        <f t="shared" si="78"/>
        <v>62771.360000000001</v>
      </c>
      <c r="T102">
        <f t="shared" si="79"/>
        <v>0</v>
      </c>
      <c r="U102">
        <f t="shared" si="80"/>
        <v>157.12104999999997</v>
      </c>
      <c r="V102">
        <f t="shared" si="81"/>
        <v>15.785374999999998</v>
      </c>
      <c r="W102">
        <f t="shared" si="82"/>
        <v>0</v>
      </c>
      <c r="X102">
        <f t="shared" si="83"/>
        <v>67802.17</v>
      </c>
      <c r="Y102">
        <f t="shared" si="84"/>
        <v>38421.230000000003</v>
      </c>
      <c r="AA102">
        <v>145185703</v>
      </c>
      <c r="AB102">
        <f t="shared" si="85"/>
        <v>1059.05</v>
      </c>
      <c r="AC102">
        <f>ROUND((ES102),2)</f>
        <v>153.96</v>
      </c>
      <c r="AD102">
        <f>ROUND(((((ET102*1.25))-((EU102*1.25)))+AE102),2)</f>
        <v>586.47</v>
      </c>
      <c r="AE102">
        <f>ROUND(((EU102*1.25)),2)</f>
        <v>51.44</v>
      </c>
      <c r="AF102">
        <f>ROUND(((EV102*1.15)),2)</f>
        <v>318.62</v>
      </c>
      <c r="AG102">
        <f t="shared" si="86"/>
        <v>0</v>
      </c>
      <c r="AH102">
        <f>((EW102*1.15))</f>
        <v>36.454999999999998</v>
      </c>
      <c r="AI102">
        <f>((EX102*1.25))</f>
        <v>3.6625000000000001</v>
      </c>
      <c r="AJ102">
        <f t="shared" si="87"/>
        <v>0</v>
      </c>
      <c r="AK102">
        <v>900.19</v>
      </c>
      <c r="AL102">
        <v>153.96</v>
      </c>
      <c r="AM102">
        <v>469.17</v>
      </c>
      <c r="AN102">
        <v>41.15</v>
      </c>
      <c r="AO102">
        <v>277.06</v>
      </c>
      <c r="AP102">
        <v>0</v>
      </c>
      <c r="AQ102">
        <v>31.7</v>
      </c>
      <c r="AR102">
        <v>2.93</v>
      </c>
      <c r="AS102">
        <v>0</v>
      </c>
      <c r="AT102">
        <v>93</v>
      </c>
      <c r="AU102">
        <v>52.7</v>
      </c>
      <c r="AV102">
        <v>1</v>
      </c>
      <c r="AW102">
        <v>1</v>
      </c>
      <c r="AZ102">
        <v>1</v>
      </c>
      <c r="BA102">
        <v>45.71</v>
      </c>
      <c r="BB102">
        <v>13.41</v>
      </c>
      <c r="BC102">
        <v>8.3800000000000008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1</v>
      </c>
      <c r="BJ102" t="s">
        <v>41</v>
      </c>
      <c r="BM102">
        <v>9001</v>
      </c>
      <c r="BN102">
        <v>0</v>
      </c>
      <c r="BO102" t="s">
        <v>3</v>
      </c>
      <c r="BP102">
        <v>0</v>
      </c>
      <c r="BQ102">
        <v>2</v>
      </c>
      <c r="BR102">
        <v>0</v>
      </c>
      <c r="BS102">
        <v>45.71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93</v>
      </c>
      <c r="CA102">
        <v>62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548</v>
      </c>
      <c r="CO102">
        <v>0</v>
      </c>
      <c r="CP102">
        <f t="shared" si="88"/>
        <v>102228.38</v>
      </c>
      <c r="CQ102">
        <f t="shared" si="89"/>
        <v>1290.1848000000002</v>
      </c>
      <c r="CR102">
        <f>((((ET102*1.25))*BB102-((EU102*1.25))*BS102)+AE102*BS102)</f>
        <v>7864.5763999999999</v>
      </c>
      <c r="CS102">
        <f t="shared" si="90"/>
        <v>2351.3224</v>
      </c>
      <c r="CT102">
        <f t="shared" si="91"/>
        <v>14564.120200000001</v>
      </c>
      <c r="CU102">
        <f t="shared" si="92"/>
        <v>0</v>
      </c>
      <c r="CV102">
        <f t="shared" si="93"/>
        <v>36.454999999999998</v>
      </c>
      <c r="CW102">
        <f t="shared" si="94"/>
        <v>3.6625000000000001</v>
      </c>
      <c r="CX102">
        <f t="shared" si="95"/>
        <v>0</v>
      </c>
      <c r="CY102">
        <f t="shared" si="96"/>
        <v>67802.170800000007</v>
      </c>
      <c r="CZ102">
        <f t="shared" si="97"/>
        <v>38421.23012</v>
      </c>
      <c r="DC102" t="s">
        <v>3</v>
      </c>
      <c r="DD102" t="s">
        <v>3</v>
      </c>
      <c r="DE102" t="s">
        <v>42</v>
      </c>
      <c r="DF102" t="s">
        <v>42</v>
      </c>
      <c r="DG102" t="s">
        <v>43</v>
      </c>
      <c r="DH102" t="s">
        <v>3</v>
      </c>
      <c r="DI102" t="s">
        <v>43</v>
      </c>
      <c r="DJ102" t="s">
        <v>42</v>
      </c>
      <c r="DK102" t="s">
        <v>3</v>
      </c>
      <c r="DL102" t="s">
        <v>3</v>
      </c>
      <c r="DM102" t="s">
        <v>44</v>
      </c>
      <c r="DN102">
        <v>0</v>
      </c>
      <c r="DO102">
        <v>0</v>
      </c>
      <c r="DP102">
        <v>1</v>
      </c>
      <c r="DQ102">
        <v>1</v>
      </c>
      <c r="DU102">
        <v>1005</v>
      </c>
      <c r="DV102" t="s">
        <v>30</v>
      </c>
      <c r="DW102" t="s">
        <v>30</v>
      </c>
      <c r="DX102">
        <v>100</v>
      </c>
      <c r="DZ102" t="s">
        <v>3</v>
      </c>
      <c r="EA102" t="s">
        <v>3</v>
      </c>
      <c r="EB102" t="s">
        <v>3</v>
      </c>
      <c r="EC102" t="s">
        <v>3</v>
      </c>
      <c r="EE102">
        <v>140625026</v>
      </c>
      <c r="EF102">
        <v>2</v>
      </c>
      <c r="EG102" t="s">
        <v>32</v>
      </c>
      <c r="EH102">
        <v>9</v>
      </c>
      <c r="EI102" t="s">
        <v>45</v>
      </c>
      <c r="EJ102">
        <v>1</v>
      </c>
      <c r="EK102">
        <v>9001</v>
      </c>
      <c r="EL102" t="s">
        <v>45</v>
      </c>
      <c r="EM102" t="s">
        <v>46</v>
      </c>
      <c r="EO102" t="s">
        <v>47</v>
      </c>
      <c r="EQ102">
        <v>0</v>
      </c>
      <c r="ER102">
        <v>900.19</v>
      </c>
      <c r="ES102">
        <v>153.96</v>
      </c>
      <c r="ET102">
        <v>469.17</v>
      </c>
      <c r="EU102">
        <v>41.15</v>
      </c>
      <c r="EV102">
        <v>277.06</v>
      </c>
      <c r="EW102">
        <v>31.7</v>
      </c>
      <c r="EX102">
        <v>2.93</v>
      </c>
      <c r="EY102">
        <v>0</v>
      </c>
      <c r="FQ102">
        <v>0</v>
      </c>
      <c r="FR102">
        <f t="shared" si="98"/>
        <v>0</v>
      </c>
      <c r="FS102">
        <v>0</v>
      </c>
      <c r="FX102">
        <v>93</v>
      </c>
      <c r="FY102">
        <v>52.7</v>
      </c>
      <c r="GA102" t="s">
        <v>3</v>
      </c>
      <c r="GD102">
        <v>1</v>
      </c>
      <c r="GF102">
        <v>-615305433</v>
      </c>
      <c r="GG102">
        <v>2</v>
      </c>
      <c r="GH102">
        <v>1</v>
      </c>
      <c r="GI102">
        <v>4</v>
      </c>
      <c r="GJ102">
        <v>0</v>
      </c>
      <c r="GK102">
        <v>0</v>
      </c>
      <c r="GL102">
        <f t="shared" si="99"/>
        <v>0</v>
      </c>
      <c r="GM102">
        <f t="shared" si="100"/>
        <v>208451.78</v>
      </c>
      <c r="GN102">
        <f t="shared" si="101"/>
        <v>208451.78</v>
      </c>
      <c r="GO102">
        <f t="shared" si="102"/>
        <v>0</v>
      </c>
      <c r="GP102">
        <f t="shared" si="103"/>
        <v>0</v>
      </c>
      <c r="GR102">
        <v>0</v>
      </c>
      <c r="GS102">
        <v>3</v>
      </c>
      <c r="GT102">
        <v>0</v>
      </c>
      <c r="GU102" t="s">
        <v>3</v>
      </c>
      <c r="GV102">
        <f t="shared" si="104"/>
        <v>0</v>
      </c>
      <c r="GW102">
        <v>1</v>
      </c>
      <c r="GX102">
        <f t="shared" si="105"/>
        <v>0</v>
      </c>
      <c r="HA102">
        <v>0</v>
      </c>
      <c r="HB102">
        <v>0</v>
      </c>
      <c r="HC102">
        <f t="shared" si="106"/>
        <v>0</v>
      </c>
      <c r="HE102" t="s">
        <v>3</v>
      </c>
      <c r="HF102" t="s">
        <v>3</v>
      </c>
      <c r="HM102" t="s">
        <v>3</v>
      </c>
      <c r="HN102" t="s">
        <v>48</v>
      </c>
      <c r="HO102" t="s">
        <v>49</v>
      </c>
      <c r="HP102" t="s">
        <v>45</v>
      </c>
      <c r="HQ102" t="s">
        <v>45</v>
      </c>
      <c r="IK102">
        <v>0</v>
      </c>
    </row>
    <row r="103" spans="1:245" x14ac:dyDescent="0.2">
      <c r="A103">
        <v>17</v>
      </c>
      <c r="B103">
        <v>1</v>
      </c>
      <c r="E103" t="s">
        <v>242</v>
      </c>
      <c r="F103" t="s">
        <v>51</v>
      </c>
      <c r="G103" t="s">
        <v>52</v>
      </c>
      <c r="H103" t="s">
        <v>53</v>
      </c>
      <c r="I103">
        <f>ROUND(I102*110,9)</f>
        <v>474.1</v>
      </c>
      <c r="J103">
        <v>0</v>
      </c>
      <c r="K103">
        <f>ROUND(I102*110,9)</f>
        <v>474.1</v>
      </c>
      <c r="O103">
        <f t="shared" si="74"/>
        <v>0</v>
      </c>
      <c r="P103">
        <f t="shared" si="75"/>
        <v>0</v>
      </c>
      <c r="Q103">
        <f t="shared" si="76"/>
        <v>0</v>
      </c>
      <c r="R103">
        <f t="shared" si="77"/>
        <v>0</v>
      </c>
      <c r="S103">
        <f t="shared" si="78"/>
        <v>0</v>
      </c>
      <c r="T103">
        <f t="shared" si="79"/>
        <v>0</v>
      </c>
      <c r="U103">
        <f t="shared" si="80"/>
        <v>0</v>
      </c>
      <c r="V103">
        <f t="shared" si="81"/>
        <v>0</v>
      </c>
      <c r="W103">
        <f t="shared" si="82"/>
        <v>0</v>
      </c>
      <c r="X103">
        <f t="shared" si="83"/>
        <v>0</v>
      </c>
      <c r="Y103">
        <f t="shared" si="84"/>
        <v>0</v>
      </c>
      <c r="AA103">
        <v>145185703</v>
      </c>
      <c r="AB103">
        <f t="shared" si="85"/>
        <v>0</v>
      </c>
      <c r="AC103">
        <f>ROUND((ES103),2)</f>
        <v>0</v>
      </c>
      <c r="AD103">
        <f>ROUND((((ET103)-(EU103))+AE103),2)</f>
        <v>0</v>
      </c>
      <c r="AE103">
        <f>ROUND((EU103),2)</f>
        <v>0</v>
      </c>
      <c r="AF103">
        <f>ROUND((EV103),2)</f>
        <v>0</v>
      </c>
      <c r="AG103">
        <f t="shared" si="86"/>
        <v>0</v>
      </c>
      <c r="AH103">
        <f>(EW103)</f>
        <v>0</v>
      </c>
      <c r="AI103">
        <f>(EX103)</f>
        <v>0</v>
      </c>
      <c r="AJ103">
        <f t="shared" si="87"/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8.3800000000000008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1</v>
      </c>
      <c r="BJ103" t="s">
        <v>3</v>
      </c>
      <c r="BM103">
        <v>1100</v>
      </c>
      <c r="BN103">
        <v>0</v>
      </c>
      <c r="BO103" t="s">
        <v>3</v>
      </c>
      <c r="BP103">
        <v>0</v>
      </c>
      <c r="BQ103">
        <v>8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88"/>
        <v>0</v>
      </c>
      <c r="CQ103">
        <f t="shared" si="89"/>
        <v>0</v>
      </c>
      <c r="CR103">
        <f>(((ET103)*BB103-(EU103)*BS103)+AE103*BS103)</f>
        <v>0</v>
      </c>
      <c r="CS103">
        <f t="shared" si="90"/>
        <v>0</v>
      </c>
      <c r="CT103">
        <f t="shared" si="91"/>
        <v>0</v>
      </c>
      <c r="CU103">
        <f t="shared" si="92"/>
        <v>0</v>
      </c>
      <c r="CV103">
        <f t="shared" si="93"/>
        <v>0</v>
      </c>
      <c r="CW103">
        <f t="shared" si="94"/>
        <v>0</v>
      </c>
      <c r="CX103">
        <f t="shared" si="95"/>
        <v>0</v>
      </c>
      <c r="CY103">
        <f t="shared" si="96"/>
        <v>0</v>
      </c>
      <c r="CZ103">
        <f t="shared" si="97"/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1005</v>
      </c>
      <c r="DV103" t="s">
        <v>53</v>
      </c>
      <c r="DW103" t="s">
        <v>53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140625274</v>
      </c>
      <c r="EF103">
        <v>8</v>
      </c>
      <c r="EG103" t="s">
        <v>22</v>
      </c>
      <c r="EH103">
        <v>0</v>
      </c>
      <c r="EI103" t="s">
        <v>3</v>
      </c>
      <c r="EJ103">
        <v>1</v>
      </c>
      <c r="EK103">
        <v>1100</v>
      </c>
      <c r="EL103" t="s">
        <v>23</v>
      </c>
      <c r="EM103" t="s">
        <v>24</v>
      </c>
      <c r="EO103" t="s">
        <v>3</v>
      </c>
      <c r="EQ103">
        <v>786432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FQ103">
        <v>0</v>
      </c>
      <c r="FR103">
        <f t="shared" si="98"/>
        <v>0</v>
      </c>
      <c r="FS103">
        <v>0</v>
      </c>
      <c r="FX103">
        <v>0</v>
      </c>
      <c r="FY103">
        <v>0</v>
      </c>
      <c r="GA103" t="s">
        <v>54</v>
      </c>
      <c r="GD103">
        <v>1</v>
      </c>
      <c r="GF103">
        <v>1058232208</v>
      </c>
      <c r="GG103">
        <v>2</v>
      </c>
      <c r="GH103">
        <v>0</v>
      </c>
      <c r="GI103">
        <v>4</v>
      </c>
      <c r="GJ103">
        <v>0</v>
      </c>
      <c r="GK103">
        <v>0</v>
      </c>
      <c r="GL103">
        <f t="shared" si="99"/>
        <v>0</v>
      </c>
      <c r="GM103">
        <f t="shared" si="100"/>
        <v>0</v>
      </c>
      <c r="GN103">
        <f t="shared" si="101"/>
        <v>0</v>
      </c>
      <c r="GO103">
        <f t="shared" si="102"/>
        <v>0</v>
      </c>
      <c r="GP103">
        <f t="shared" si="103"/>
        <v>0</v>
      </c>
      <c r="GR103">
        <v>0</v>
      </c>
      <c r="GS103">
        <v>4</v>
      </c>
      <c r="GT103">
        <v>0</v>
      </c>
      <c r="GU103" t="s">
        <v>3</v>
      </c>
      <c r="GV103">
        <f t="shared" si="104"/>
        <v>0</v>
      </c>
      <c r="GW103">
        <v>1</v>
      </c>
      <c r="GX103">
        <f t="shared" si="105"/>
        <v>0</v>
      </c>
      <c r="HA103">
        <v>0</v>
      </c>
      <c r="HB103">
        <v>0</v>
      </c>
      <c r="HC103">
        <f t="shared" si="106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17</v>
      </c>
      <c r="B104">
        <v>1</v>
      </c>
      <c r="E104" t="s">
        <v>243</v>
      </c>
      <c r="F104" t="s">
        <v>56</v>
      </c>
      <c r="G104" t="s">
        <v>57</v>
      </c>
      <c r="H104" t="s">
        <v>58</v>
      </c>
      <c r="I104">
        <f>ROUND(I102*1000,9)</f>
        <v>4310</v>
      </c>
      <c r="J104">
        <v>0</v>
      </c>
      <c r="K104">
        <f>ROUND(I102*1000,9)</f>
        <v>4310</v>
      </c>
      <c r="O104">
        <f t="shared" si="74"/>
        <v>19503.61</v>
      </c>
      <c r="P104">
        <f t="shared" si="75"/>
        <v>19503.61</v>
      </c>
      <c r="Q104">
        <f t="shared" si="76"/>
        <v>0</v>
      </c>
      <c r="R104">
        <f t="shared" si="77"/>
        <v>0</v>
      </c>
      <c r="S104">
        <f t="shared" si="78"/>
        <v>0</v>
      </c>
      <c r="T104">
        <f t="shared" si="79"/>
        <v>0</v>
      </c>
      <c r="U104">
        <f t="shared" si="80"/>
        <v>0</v>
      </c>
      <c r="V104">
        <f t="shared" si="81"/>
        <v>0</v>
      </c>
      <c r="W104">
        <f t="shared" si="82"/>
        <v>0</v>
      </c>
      <c r="X104">
        <f t="shared" si="83"/>
        <v>0</v>
      </c>
      <c r="Y104">
        <f t="shared" si="84"/>
        <v>0</v>
      </c>
      <c r="AA104">
        <v>145185703</v>
      </c>
      <c r="AB104">
        <f t="shared" si="85"/>
        <v>0.54</v>
      </c>
      <c r="AC104">
        <f>ROUND((ES104),2)</f>
        <v>0.54</v>
      </c>
      <c r="AD104">
        <f>ROUND((((ET104)-(EU104))+AE104),2)</f>
        <v>0</v>
      </c>
      <c r="AE104">
        <f>ROUND((EU104),2)</f>
        <v>0</v>
      </c>
      <c r="AF104">
        <f>ROUND((EV104),2)</f>
        <v>0</v>
      </c>
      <c r="AG104">
        <f t="shared" si="86"/>
        <v>0</v>
      </c>
      <c r="AH104">
        <f>(EW104)</f>
        <v>0</v>
      </c>
      <c r="AI104">
        <f>(EX104)</f>
        <v>0</v>
      </c>
      <c r="AJ104">
        <f t="shared" si="87"/>
        <v>0</v>
      </c>
      <c r="AK104">
        <v>0.54</v>
      </c>
      <c r="AL104">
        <v>0.54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8.3800000000000008</v>
      </c>
      <c r="BD104" t="s">
        <v>3</v>
      </c>
      <c r="BE104" t="s">
        <v>3</v>
      </c>
      <c r="BF104" t="s">
        <v>3</v>
      </c>
      <c r="BG104" t="s">
        <v>3</v>
      </c>
      <c r="BH104">
        <v>3</v>
      </c>
      <c r="BI104">
        <v>1</v>
      </c>
      <c r="BJ104" t="s">
        <v>3</v>
      </c>
      <c r="BM104">
        <v>1100</v>
      </c>
      <c r="BN104">
        <v>0</v>
      </c>
      <c r="BO104" t="s">
        <v>3</v>
      </c>
      <c r="BP104">
        <v>0</v>
      </c>
      <c r="BQ104">
        <v>8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0</v>
      </c>
      <c r="CA104">
        <v>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88"/>
        <v>19503.61</v>
      </c>
      <c r="CQ104">
        <f t="shared" si="89"/>
        <v>4.5252000000000008</v>
      </c>
      <c r="CR104">
        <f>(((ET104)*BB104-(EU104)*BS104)+AE104*BS104)</f>
        <v>0</v>
      </c>
      <c r="CS104">
        <f t="shared" si="90"/>
        <v>0</v>
      </c>
      <c r="CT104">
        <f t="shared" si="91"/>
        <v>0</v>
      </c>
      <c r="CU104">
        <f t="shared" si="92"/>
        <v>0</v>
      </c>
      <c r="CV104">
        <f t="shared" si="93"/>
        <v>0</v>
      </c>
      <c r="CW104">
        <f t="shared" si="94"/>
        <v>0</v>
      </c>
      <c r="CX104">
        <f t="shared" si="95"/>
        <v>0</v>
      </c>
      <c r="CY104">
        <f t="shared" si="96"/>
        <v>0</v>
      </c>
      <c r="CZ104">
        <f t="shared" si="97"/>
        <v>0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1010</v>
      </c>
      <c r="DV104" t="s">
        <v>58</v>
      </c>
      <c r="DW104" t="s">
        <v>58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140625274</v>
      </c>
      <c r="EF104">
        <v>8</v>
      </c>
      <c r="EG104" t="s">
        <v>22</v>
      </c>
      <c r="EH104">
        <v>0</v>
      </c>
      <c r="EI104" t="s">
        <v>3</v>
      </c>
      <c r="EJ104">
        <v>1</v>
      </c>
      <c r="EK104">
        <v>1100</v>
      </c>
      <c r="EL104" t="s">
        <v>23</v>
      </c>
      <c r="EM104" t="s">
        <v>24</v>
      </c>
      <c r="EO104" t="s">
        <v>3</v>
      </c>
      <c r="EQ104">
        <v>0</v>
      </c>
      <c r="ER104">
        <v>0.54</v>
      </c>
      <c r="ES104">
        <v>0.54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5</v>
      </c>
      <c r="FC104">
        <v>1</v>
      </c>
      <c r="FD104">
        <v>18</v>
      </c>
      <c r="FF104">
        <v>5</v>
      </c>
      <c r="FQ104">
        <v>0</v>
      </c>
      <c r="FR104">
        <f t="shared" si="98"/>
        <v>0</v>
      </c>
      <c r="FS104">
        <v>0</v>
      </c>
      <c r="FX104">
        <v>0</v>
      </c>
      <c r="FY104">
        <v>0</v>
      </c>
      <c r="GA104" t="s">
        <v>59</v>
      </c>
      <c r="GD104">
        <v>1</v>
      </c>
      <c r="GF104">
        <v>-1778612597</v>
      </c>
      <c r="GG104">
        <v>2</v>
      </c>
      <c r="GH104">
        <v>3</v>
      </c>
      <c r="GI104">
        <v>4</v>
      </c>
      <c r="GJ104">
        <v>0</v>
      </c>
      <c r="GK104">
        <v>0</v>
      </c>
      <c r="GL104">
        <f t="shared" si="99"/>
        <v>0</v>
      </c>
      <c r="GM104">
        <f t="shared" si="100"/>
        <v>19503.61</v>
      </c>
      <c r="GN104">
        <f t="shared" si="101"/>
        <v>19503.61</v>
      </c>
      <c r="GO104">
        <f t="shared" si="102"/>
        <v>0</v>
      </c>
      <c r="GP104">
        <f t="shared" si="103"/>
        <v>0</v>
      </c>
      <c r="GR104">
        <v>1</v>
      </c>
      <c r="GS104">
        <v>1</v>
      </c>
      <c r="GT104">
        <v>0</v>
      </c>
      <c r="GU104" t="s">
        <v>3</v>
      </c>
      <c r="GV104">
        <f t="shared" si="104"/>
        <v>0</v>
      </c>
      <c r="GW104">
        <v>1</v>
      </c>
      <c r="GX104">
        <f t="shared" si="105"/>
        <v>0</v>
      </c>
      <c r="HA104">
        <v>0</v>
      </c>
      <c r="HB104">
        <v>0</v>
      </c>
      <c r="HC104">
        <f t="shared" si="106"/>
        <v>0</v>
      </c>
      <c r="HE104" t="s">
        <v>55</v>
      </c>
      <c r="HF104" t="s">
        <v>27</v>
      </c>
      <c r="HM104" t="s">
        <v>3</v>
      </c>
      <c r="HN104" t="s">
        <v>3</v>
      </c>
      <c r="HO104" t="s">
        <v>3</v>
      </c>
      <c r="HP104" t="s">
        <v>3</v>
      </c>
      <c r="HQ104" t="s">
        <v>3</v>
      </c>
      <c r="IK104">
        <v>0</v>
      </c>
    </row>
    <row r="105" spans="1:245" x14ac:dyDescent="0.2">
      <c r="A105">
        <v>17</v>
      </c>
      <c r="B105">
        <v>1</v>
      </c>
      <c r="C105">
        <f>ROW(SmtRes!A111)</f>
        <v>111</v>
      </c>
      <c r="D105">
        <f>ROW(EtalonRes!A111)</f>
        <v>111</v>
      </c>
      <c r="E105" t="s">
        <v>244</v>
      </c>
      <c r="F105" t="s">
        <v>61</v>
      </c>
      <c r="G105" t="s">
        <v>62</v>
      </c>
      <c r="H105" t="s">
        <v>30</v>
      </c>
      <c r="I105">
        <f>ROUND((41*0.2+21*0.6)/100,9)</f>
        <v>0.20799999999999999</v>
      </c>
      <c r="J105">
        <v>0</v>
      </c>
      <c r="K105">
        <f>ROUND((41*0.2+21*0.6)/100,9)</f>
        <v>0.20799999999999999</v>
      </c>
      <c r="O105">
        <f t="shared" si="74"/>
        <v>9141.7900000000009</v>
      </c>
      <c r="P105">
        <f t="shared" si="75"/>
        <v>0</v>
      </c>
      <c r="Q105">
        <f t="shared" si="76"/>
        <v>76.31</v>
      </c>
      <c r="R105">
        <f t="shared" si="77"/>
        <v>41.74</v>
      </c>
      <c r="S105">
        <f t="shared" si="78"/>
        <v>9065.48</v>
      </c>
      <c r="T105">
        <f t="shared" si="79"/>
        <v>0</v>
      </c>
      <c r="U105">
        <f t="shared" si="80"/>
        <v>23.250239999999998</v>
      </c>
      <c r="V105">
        <f t="shared" si="81"/>
        <v>7.0199999999999999E-2</v>
      </c>
      <c r="W105">
        <f t="shared" si="82"/>
        <v>0</v>
      </c>
      <c r="X105">
        <f t="shared" si="83"/>
        <v>9926.8700000000008</v>
      </c>
      <c r="Y105">
        <f t="shared" si="84"/>
        <v>4412.45</v>
      </c>
      <c r="AA105">
        <v>145185703</v>
      </c>
      <c r="AB105">
        <f t="shared" si="85"/>
        <v>980.84</v>
      </c>
      <c r="AC105">
        <f>ROUND(((ES105*0)),2)</f>
        <v>0</v>
      </c>
      <c r="AD105">
        <f>ROUND(((((ET105*1.25))-((EU105*1.25)))+AE105),2)</f>
        <v>27.35</v>
      </c>
      <c r="AE105">
        <f>ROUND(((EU105*1.25)),2)</f>
        <v>4.3899999999999997</v>
      </c>
      <c r="AF105">
        <f>ROUND(((EV105*1.15)),2)</f>
        <v>953.49</v>
      </c>
      <c r="AG105">
        <f t="shared" si="86"/>
        <v>0</v>
      </c>
      <c r="AH105">
        <f>((EW105*1.15))</f>
        <v>111.78</v>
      </c>
      <c r="AI105">
        <f>((EX105*1.25))</f>
        <v>0.33750000000000002</v>
      </c>
      <c r="AJ105">
        <f t="shared" si="87"/>
        <v>0</v>
      </c>
      <c r="AK105">
        <v>7367.18</v>
      </c>
      <c r="AL105">
        <v>6516.18</v>
      </c>
      <c r="AM105">
        <v>21.88</v>
      </c>
      <c r="AN105">
        <v>3.51</v>
      </c>
      <c r="AO105">
        <v>829.12</v>
      </c>
      <c r="AP105">
        <v>0</v>
      </c>
      <c r="AQ105">
        <v>97.2</v>
      </c>
      <c r="AR105">
        <v>0.27</v>
      </c>
      <c r="AS105">
        <v>0</v>
      </c>
      <c r="AT105">
        <v>109</v>
      </c>
      <c r="AU105">
        <v>48.45</v>
      </c>
      <c r="AV105">
        <v>1</v>
      </c>
      <c r="AW105">
        <v>1</v>
      </c>
      <c r="AZ105">
        <v>1</v>
      </c>
      <c r="BA105">
        <v>45.71</v>
      </c>
      <c r="BB105">
        <v>13.41</v>
      </c>
      <c r="BC105">
        <v>8.3800000000000008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1</v>
      </c>
      <c r="BJ105" t="s">
        <v>63</v>
      </c>
      <c r="BM105">
        <v>12001</v>
      </c>
      <c r="BN105">
        <v>0</v>
      </c>
      <c r="BO105" t="s">
        <v>3</v>
      </c>
      <c r="BP105">
        <v>0</v>
      </c>
      <c r="BQ105">
        <v>2</v>
      </c>
      <c r="BR105">
        <v>0</v>
      </c>
      <c r="BS105">
        <v>45.71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109</v>
      </c>
      <c r="CA105">
        <v>57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548</v>
      </c>
      <c r="CO105">
        <v>0</v>
      </c>
      <c r="CP105">
        <f t="shared" si="88"/>
        <v>9141.7899999999991</v>
      </c>
      <c r="CQ105">
        <f t="shared" si="89"/>
        <v>0</v>
      </c>
      <c r="CR105">
        <f>((((ET105*1.25))*BB105-((EU105*1.25))*BS105)+AE105*BS105)</f>
        <v>366.87777499999999</v>
      </c>
      <c r="CS105">
        <f t="shared" si="90"/>
        <v>200.6669</v>
      </c>
      <c r="CT105">
        <f t="shared" si="91"/>
        <v>43584.027900000001</v>
      </c>
      <c r="CU105">
        <f t="shared" si="92"/>
        <v>0</v>
      </c>
      <c r="CV105">
        <f t="shared" si="93"/>
        <v>111.78</v>
      </c>
      <c r="CW105">
        <f t="shared" si="94"/>
        <v>0.33750000000000002</v>
      </c>
      <c r="CX105">
        <f t="shared" si="95"/>
        <v>0</v>
      </c>
      <c r="CY105">
        <f t="shared" si="96"/>
        <v>9926.8698000000004</v>
      </c>
      <c r="CZ105">
        <f t="shared" si="97"/>
        <v>4412.4480899999999</v>
      </c>
      <c r="DC105" t="s">
        <v>3</v>
      </c>
      <c r="DD105" t="s">
        <v>64</v>
      </c>
      <c r="DE105" t="s">
        <v>42</v>
      </c>
      <c r="DF105" t="s">
        <v>42</v>
      </c>
      <c r="DG105" t="s">
        <v>43</v>
      </c>
      <c r="DH105" t="s">
        <v>3</v>
      </c>
      <c r="DI105" t="s">
        <v>43</v>
      </c>
      <c r="DJ105" t="s">
        <v>42</v>
      </c>
      <c r="DK105" t="s">
        <v>3</v>
      </c>
      <c r="DL105" t="s">
        <v>3</v>
      </c>
      <c r="DM105" t="s">
        <v>44</v>
      </c>
      <c r="DN105">
        <v>0</v>
      </c>
      <c r="DO105">
        <v>0</v>
      </c>
      <c r="DP105">
        <v>1</v>
      </c>
      <c r="DQ105">
        <v>1</v>
      </c>
      <c r="DU105">
        <v>1005</v>
      </c>
      <c r="DV105" t="s">
        <v>30</v>
      </c>
      <c r="DW105" t="s">
        <v>30</v>
      </c>
      <c r="DX105">
        <v>100</v>
      </c>
      <c r="DZ105" t="s">
        <v>3</v>
      </c>
      <c r="EA105" t="s">
        <v>3</v>
      </c>
      <c r="EB105" t="s">
        <v>3</v>
      </c>
      <c r="EC105" t="s">
        <v>3</v>
      </c>
      <c r="EE105">
        <v>140625032</v>
      </c>
      <c r="EF105">
        <v>2</v>
      </c>
      <c r="EG105" t="s">
        <v>32</v>
      </c>
      <c r="EH105">
        <v>12</v>
      </c>
      <c r="EI105" t="s">
        <v>65</v>
      </c>
      <c r="EJ105">
        <v>1</v>
      </c>
      <c r="EK105">
        <v>12001</v>
      </c>
      <c r="EL105" t="s">
        <v>65</v>
      </c>
      <c r="EM105" t="s">
        <v>66</v>
      </c>
      <c r="EO105" t="s">
        <v>47</v>
      </c>
      <c r="EQ105">
        <v>0</v>
      </c>
      <c r="ER105">
        <v>7367.18</v>
      </c>
      <c r="ES105">
        <v>6516.18</v>
      </c>
      <c r="ET105">
        <v>21.88</v>
      </c>
      <c r="EU105">
        <v>3.51</v>
      </c>
      <c r="EV105">
        <v>829.12</v>
      </c>
      <c r="EW105">
        <v>97.2</v>
      </c>
      <c r="EX105">
        <v>0.27</v>
      </c>
      <c r="EY105">
        <v>0</v>
      </c>
      <c r="FQ105">
        <v>0</v>
      </c>
      <c r="FR105">
        <f t="shared" si="98"/>
        <v>0</v>
      </c>
      <c r="FS105">
        <v>0</v>
      </c>
      <c r="FX105">
        <v>109</v>
      </c>
      <c r="FY105">
        <v>48.45</v>
      </c>
      <c r="GA105" t="s">
        <v>3</v>
      </c>
      <c r="GD105">
        <v>1</v>
      </c>
      <c r="GF105">
        <v>-601591418</v>
      </c>
      <c r="GG105">
        <v>2</v>
      </c>
      <c r="GH105">
        <v>1</v>
      </c>
      <c r="GI105">
        <v>4</v>
      </c>
      <c r="GJ105">
        <v>0</v>
      </c>
      <c r="GK105">
        <v>0</v>
      </c>
      <c r="GL105">
        <f t="shared" si="99"/>
        <v>0</v>
      </c>
      <c r="GM105">
        <f t="shared" si="100"/>
        <v>23481.11</v>
      </c>
      <c r="GN105">
        <f t="shared" si="101"/>
        <v>23481.11</v>
      </c>
      <c r="GO105">
        <f t="shared" si="102"/>
        <v>0</v>
      </c>
      <c r="GP105">
        <f t="shared" si="103"/>
        <v>0</v>
      </c>
      <c r="GR105">
        <v>0</v>
      </c>
      <c r="GS105">
        <v>3</v>
      </c>
      <c r="GT105">
        <v>0</v>
      </c>
      <c r="GU105" t="s">
        <v>3</v>
      </c>
      <c r="GV105">
        <f t="shared" si="104"/>
        <v>0</v>
      </c>
      <c r="GW105">
        <v>1</v>
      </c>
      <c r="GX105">
        <f t="shared" si="105"/>
        <v>0</v>
      </c>
      <c r="HA105">
        <v>0</v>
      </c>
      <c r="HB105">
        <v>0</v>
      </c>
      <c r="HC105">
        <f t="shared" si="106"/>
        <v>0</v>
      </c>
      <c r="HE105" t="s">
        <v>3</v>
      </c>
      <c r="HF105" t="s">
        <v>3</v>
      </c>
      <c r="HM105" t="s">
        <v>3</v>
      </c>
      <c r="HN105" t="s">
        <v>67</v>
      </c>
      <c r="HO105" t="s">
        <v>68</v>
      </c>
      <c r="HP105" t="s">
        <v>65</v>
      </c>
      <c r="HQ105" t="s">
        <v>65</v>
      </c>
      <c r="IK105">
        <v>0</v>
      </c>
    </row>
    <row r="106" spans="1:245" x14ac:dyDescent="0.2">
      <c r="A106">
        <v>17</v>
      </c>
      <c r="B106">
        <v>1</v>
      </c>
      <c r="E106" t="s">
        <v>245</v>
      </c>
      <c r="F106" t="s">
        <v>70</v>
      </c>
      <c r="G106" t="s">
        <v>71</v>
      </c>
      <c r="H106" t="s">
        <v>72</v>
      </c>
      <c r="I106">
        <v>41</v>
      </c>
      <c r="J106">
        <v>0</v>
      </c>
      <c r="K106">
        <v>41</v>
      </c>
      <c r="O106">
        <f t="shared" si="74"/>
        <v>10977.38</v>
      </c>
      <c r="P106">
        <f t="shared" si="75"/>
        <v>10977.38</v>
      </c>
      <c r="Q106">
        <f t="shared" si="76"/>
        <v>0</v>
      </c>
      <c r="R106">
        <f t="shared" si="77"/>
        <v>0</v>
      </c>
      <c r="S106">
        <f t="shared" si="78"/>
        <v>0</v>
      </c>
      <c r="T106">
        <f t="shared" si="79"/>
        <v>0</v>
      </c>
      <c r="U106">
        <f t="shared" si="80"/>
        <v>0</v>
      </c>
      <c r="V106">
        <f t="shared" si="81"/>
        <v>0</v>
      </c>
      <c r="W106">
        <f t="shared" si="82"/>
        <v>0</v>
      </c>
      <c r="X106">
        <f t="shared" si="83"/>
        <v>0</v>
      </c>
      <c r="Y106">
        <f t="shared" si="84"/>
        <v>0</v>
      </c>
      <c r="AA106">
        <v>145185703</v>
      </c>
      <c r="AB106">
        <f t="shared" si="85"/>
        <v>31.95</v>
      </c>
      <c r="AC106">
        <f t="shared" ref="AC106:AC141" si="107">ROUND((ES106),2)</f>
        <v>31.95</v>
      </c>
      <c r="AD106">
        <f>ROUND((((ET106)-(EU106))+AE106),2)</f>
        <v>0</v>
      </c>
      <c r="AE106">
        <f t="shared" ref="AE106:AF108" si="108">ROUND((EU106),2)</f>
        <v>0</v>
      </c>
      <c r="AF106">
        <f t="shared" si="108"/>
        <v>0</v>
      </c>
      <c r="AG106">
        <f t="shared" si="86"/>
        <v>0</v>
      </c>
      <c r="AH106">
        <f t="shared" ref="AH106:AI108" si="109">(EW106)</f>
        <v>0</v>
      </c>
      <c r="AI106">
        <f t="shared" si="109"/>
        <v>0</v>
      </c>
      <c r="AJ106">
        <f t="shared" si="87"/>
        <v>0</v>
      </c>
      <c r="AK106">
        <v>31.949999999999996</v>
      </c>
      <c r="AL106">
        <v>31.949999999999996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8.3800000000000008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1</v>
      </c>
      <c r="BJ106" t="s">
        <v>3</v>
      </c>
      <c r="BM106">
        <v>1100</v>
      </c>
      <c r="BN106">
        <v>0</v>
      </c>
      <c r="BO106" t="s">
        <v>3</v>
      </c>
      <c r="BP106">
        <v>0</v>
      </c>
      <c r="BQ106">
        <v>8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88"/>
        <v>10977.38</v>
      </c>
      <c r="CQ106">
        <f t="shared" si="89"/>
        <v>267.74100000000004</v>
      </c>
      <c r="CR106">
        <f>(((ET106)*BB106-(EU106)*BS106)+AE106*BS106)</f>
        <v>0</v>
      </c>
      <c r="CS106">
        <f t="shared" si="90"/>
        <v>0</v>
      </c>
      <c r="CT106">
        <f t="shared" si="91"/>
        <v>0</v>
      </c>
      <c r="CU106">
        <f t="shared" si="92"/>
        <v>0</v>
      </c>
      <c r="CV106">
        <f t="shared" si="93"/>
        <v>0</v>
      </c>
      <c r="CW106">
        <f t="shared" si="94"/>
        <v>0</v>
      </c>
      <c r="CX106">
        <f t="shared" si="95"/>
        <v>0</v>
      </c>
      <c r="CY106">
        <f t="shared" si="96"/>
        <v>0</v>
      </c>
      <c r="CZ106">
        <f t="shared" si="97"/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1003</v>
      </c>
      <c r="DV106" t="s">
        <v>72</v>
      </c>
      <c r="DW106" t="s">
        <v>72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140625274</v>
      </c>
      <c r="EF106">
        <v>8</v>
      </c>
      <c r="EG106" t="s">
        <v>22</v>
      </c>
      <c r="EH106">
        <v>0</v>
      </c>
      <c r="EI106" t="s">
        <v>3</v>
      </c>
      <c r="EJ106">
        <v>1</v>
      </c>
      <c r="EK106">
        <v>1100</v>
      </c>
      <c r="EL106" t="s">
        <v>23</v>
      </c>
      <c r="EM106" t="s">
        <v>24</v>
      </c>
      <c r="EO106" t="s">
        <v>3</v>
      </c>
      <c r="EQ106">
        <v>0</v>
      </c>
      <c r="ER106">
        <v>32.21</v>
      </c>
      <c r="ES106">
        <v>31.949999999999996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5</v>
      </c>
      <c r="FC106">
        <v>1</v>
      </c>
      <c r="FD106">
        <v>18</v>
      </c>
      <c r="FF106">
        <v>300</v>
      </c>
      <c r="FQ106">
        <v>0</v>
      </c>
      <c r="FR106">
        <f t="shared" si="98"/>
        <v>0</v>
      </c>
      <c r="FS106">
        <v>0</v>
      </c>
      <c r="FX106">
        <v>0</v>
      </c>
      <c r="FY106">
        <v>0</v>
      </c>
      <c r="GA106" t="s">
        <v>73</v>
      </c>
      <c r="GD106">
        <v>1</v>
      </c>
      <c r="GF106">
        <v>871757448</v>
      </c>
      <c r="GG106">
        <v>2</v>
      </c>
      <c r="GH106">
        <v>3</v>
      </c>
      <c r="GI106">
        <v>4</v>
      </c>
      <c r="GJ106">
        <v>0</v>
      </c>
      <c r="GK106">
        <v>0</v>
      </c>
      <c r="GL106">
        <f t="shared" si="99"/>
        <v>0</v>
      </c>
      <c r="GM106">
        <f t="shared" si="100"/>
        <v>10977.38</v>
      </c>
      <c r="GN106">
        <f t="shared" si="101"/>
        <v>10977.38</v>
      </c>
      <c r="GO106">
        <f t="shared" si="102"/>
        <v>0</v>
      </c>
      <c r="GP106">
        <f t="shared" si="103"/>
        <v>0</v>
      </c>
      <c r="GR106">
        <v>1</v>
      </c>
      <c r="GS106">
        <v>1</v>
      </c>
      <c r="GT106">
        <v>0</v>
      </c>
      <c r="GU106" t="s">
        <v>3</v>
      </c>
      <c r="GV106">
        <f t="shared" si="104"/>
        <v>0</v>
      </c>
      <c r="GW106">
        <v>1</v>
      </c>
      <c r="GX106">
        <f t="shared" si="105"/>
        <v>0</v>
      </c>
      <c r="HA106">
        <v>0</v>
      </c>
      <c r="HB106">
        <v>0</v>
      </c>
      <c r="HC106">
        <f t="shared" si="106"/>
        <v>0</v>
      </c>
      <c r="HE106" t="s">
        <v>55</v>
      </c>
      <c r="HF106" t="s">
        <v>27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45" x14ac:dyDescent="0.2">
      <c r="A107">
        <v>17</v>
      </c>
      <c r="B107">
        <v>1</v>
      </c>
      <c r="E107" t="s">
        <v>246</v>
      </c>
      <c r="F107" t="s">
        <v>70</v>
      </c>
      <c r="G107" t="s">
        <v>75</v>
      </c>
      <c r="H107" t="s">
        <v>72</v>
      </c>
      <c r="I107">
        <v>21</v>
      </c>
      <c r="J107">
        <v>0</v>
      </c>
      <c r="K107">
        <v>21</v>
      </c>
      <c r="O107">
        <f t="shared" si="74"/>
        <v>7026.88</v>
      </c>
      <c r="P107">
        <f t="shared" si="75"/>
        <v>7026.88</v>
      </c>
      <c r="Q107">
        <f t="shared" si="76"/>
        <v>0</v>
      </c>
      <c r="R107">
        <f t="shared" si="77"/>
        <v>0</v>
      </c>
      <c r="S107">
        <f t="shared" si="78"/>
        <v>0</v>
      </c>
      <c r="T107">
        <f t="shared" si="79"/>
        <v>0</v>
      </c>
      <c r="U107">
        <f t="shared" si="80"/>
        <v>0</v>
      </c>
      <c r="V107">
        <f t="shared" si="81"/>
        <v>0</v>
      </c>
      <c r="W107">
        <f t="shared" si="82"/>
        <v>0</v>
      </c>
      <c r="X107">
        <f t="shared" si="83"/>
        <v>0</v>
      </c>
      <c r="Y107">
        <f t="shared" si="84"/>
        <v>0</v>
      </c>
      <c r="AA107">
        <v>145185703</v>
      </c>
      <c r="AB107">
        <f t="shared" si="85"/>
        <v>39.93</v>
      </c>
      <c r="AC107">
        <f t="shared" si="107"/>
        <v>39.93</v>
      </c>
      <c r="AD107">
        <f>ROUND((((ET107)-(EU107))+AE107),2)</f>
        <v>0</v>
      </c>
      <c r="AE107">
        <f t="shared" si="108"/>
        <v>0</v>
      </c>
      <c r="AF107">
        <f t="shared" si="108"/>
        <v>0</v>
      </c>
      <c r="AG107">
        <f t="shared" si="86"/>
        <v>0</v>
      </c>
      <c r="AH107">
        <f t="shared" si="109"/>
        <v>0</v>
      </c>
      <c r="AI107">
        <f t="shared" si="109"/>
        <v>0</v>
      </c>
      <c r="AJ107">
        <f t="shared" si="87"/>
        <v>0</v>
      </c>
      <c r="AK107">
        <v>39.93</v>
      </c>
      <c r="AL107">
        <v>39.93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8.3800000000000008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1</v>
      </c>
      <c r="BJ107" t="s">
        <v>3</v>
      </c>
      <c r="BM107">
        <v>1100</v>
      </c>
      <c r="BN107">
        <v>0</v>
      </c>
      <c r="BO107" t="s">
        <v>3</v>
      </c>
      <c r="BP107">
        <v>0</v>
      </c>
      <c r="BQ107">
        <v>8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0</v>
      </c>
      <c r="CA107">
        <v>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88"/>
        <v>7026.88</v>
      </c>
      <c r="CQ107">
        <f t="shared" si="89"/>
        <v>334.61340000000001</v>
      </c>
      <c r="CR107">
        <f>(((ET107)*BB107-(EU107)*BS107)+AE107*BS107)</f>
        <v>0</v>
      </c>
      <c r="CS107">
        <f t="shared" si="90"/>
        <v>0</v>
      </c>
      <c r="CT107">
        <f t="shared" si="91"/>
        <v>0</v>
      </c>
      <c r="CU107">
        <f t="shared" si="92"/>
        <v>0</v>
      </c>
      <c r="CV107">
        <f t="shared" si="93"/>
        <v>0</v>
      </c>
      <c r="CW107">
        <f t="shared" si="94"/>
        <v>0</v>
      </c>
      <c r="CX107">
        <f t="shared" si="95"/>
        <v>0</v>
      </c>
      <c r="CY107">
        <f t="shared" si="96"/>
        <v>0</v>
      </c>
      <c r="CZ107">
        <f t="shared" si="97"/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72</v>
      </c>
      <c r="DW107" t="s">
        <v>72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140625274</v>
      </c>
      <c r="EF107">
        <v>8</v>
      </c>
      <c r="EG107" t="s">
        <v>22</v>
      </c>
      <c r="EH107">
        <v>0</v>
      </c>
      <c r="EI107" t="s">
        <v>3</v>
      </c>
      <c r="EJ107">
        <v>1</v>
      </c>
      <c r="EK107">
        <v>1100</v>
      </c>
      <c r="EL107" t="s">
        <v>23</v>
      </c>
      <c r="EM107" t="s">
        <v>24</v>
      </c>
      <c r="EO107" t="s">
        <v>3</v>
      </c>
      <c r="EQ107">
        <v>0</v>
      </c>
      <c r="ER107">
        <v>40.28</v>
      </c>
      <c r="ES107">
        <v>39.93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5</v>
      </c>
      <c r="FC107">
        <v>1</v>
      </c>
      <c r="FD107">
        <v>18</v>
      </c>
      <c r="FF107">
        <v>375</v>
      </c>
      <c r="FQ107">
        <v>0</v>
      </c>
      <c r="FR107">
        <f t="shared" si="98"/>
        <v>0</v>
      </c>
      <c r="FS107">
        <v>0</v>
      </c>
      <c r="FX107">
        <v>0</v>
      </c>
      <c r="FY107">
        <v>0</v>
      </c>
      <c r="GA107" t="s">
        <v>76</v>
      </c>
      <c r="GD107">
        <v>1</v>
      </c>
      <c r="GF107">
        <v>-1064455655</v>
      </c>
      <c r="GG107">
        <v>2</v>
      </c>
      <c r="GH107">
        <v>3</v>
      </c>
      <c r="GI107">
        <v>4</v>
      </c>
      <c r="GJ107">
        <v>0</v>
      </c>
      <c r="GK107">
        <v>0</v>
      </c>
      <c r="GL107">
        <f t="shared" si="99"/>
        <v>0</v>
      </c>
      <c r="GM107">
        <f t="shared" si="100"/>
        <v>7026.88</v>
      </c>
      <c r="GN107">
        <f t="shared" si="101"/>
        <v>7026.88</v>
      </c>
      <c r="GO107">
        <f t="shared" si="102"/>
        <v>0</v>
      </c>
      <c r="GP107">
        <f t="shared" si="103"/>
        <v>0</v>
      </c>
      <c r="GR107">
        <v>1</v>
      </c>
      <c r="GS107">
        <v>1</v>
      </c>
      <c r="GT107">
        <v>0</v>
      </c>
      <c r="GU107" t="s">
        <v>3</v>
      </c>
      <c r="GV107">
        <f t="shared" si="104"/>
        <v>0</v>
      </c>
      <c r="GW107">
        <v>1</v>
      </c>
      <c r="GX107">
        <f t="shared" si="105"/>
        <v>0</v>
      </c>
      <c r="HA107">
        <v>0</v>
      </c>
      <c r="HB107">
        <v>0</v>
      </c>
      <c r="HC107">
        <f t="shared" si="106"/>
        <v>0</v>
      </c>
      <c r="HE107" t="s">
        <v>55</v>
      </c>
      <c r="HF107" t="s">
        <v>27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17</v>
      </c>
      <c r="B108">
        <v>1</v>
      </c>
      <c r="E108" t="s">
        <v>247</v>
      </c>
      <c r="F108" t="s">
        <v>56</v>
      </c>
      <c r="G108" t="s">
        <v>57</v>
      </c>
      <c r="H108" t="s">
        <v>58</v>
      </c>
      <c r="I108">
        <f>ROUND((I106+I107)/0.5*2,9)</f>
        <v>248</v>
      </c>
      <c r="J108">
        <v>0</v>
      </c>
      <c r="K108">
        <f>ROUND((I106+I107)/0.5*2,9)</f>
        <v>248</v>
      </c>
      <c r="O108">
        <f t="shared" si="74"/>
        <v>1122.25</v>
      </c>
      <c r="P108">
        <f t="shared" si="75"/>
        <v>1122.25</v>
      </c>
      <c r="Q108">
        <f t="shared" si="76"/>
        <v>0</v>
      </c>
      <c r="R108">
        <f t="shared" si="77"/>
        <v>0</v>
      </c>
      <c r="S108">
        <f t="shared" si="78"/>
        <v>0</v>
      </c>
      <c r="T108">
        <f t="shared" si="79"/>
        <v>0</v>
      </c>
      <c r="U108">
        <f t="shared" si="80"/>
        <v>0</v>
      </c>
      <c r="V108">
        <f t="shared" si="81"/>
        <v>0</v>
      </c>
      <c r="W108">
        <f t="shared" si="82"/>
        <v>0</v>
      </c>
      <c r="X108">
        <f t="shared" si="83"/>
        <v>0</v>
      </c>
      <c r="Y108">
        <f t="shared" si="84"/>
        <v>0</v>
      </c>
      <c r="AA108">
        <v>145185703</v>
      </c>
      <c r="AB108">
        <f t="shared" si="85"/>
        <v>0.54</v>
      </c>
      <c r="AC108">
        <f t="shared" si="107"/>
        <v>0.54</v>
      </c>
      <c r="AD108">
        <f>ROUND((((ET108)-(EU108))+AE108),2)</f>
        <v>0</v>
      </c>
      <c r="AE108">
        <f t="shared" si="108"/>
        <v>0</v>
      </c>
      <c r="AF108">
        <f t="shared" si="108"/>
        <v>0</v>
      </c>
      <c r="AG108">
        <f t="shared" si="86"/>
        <v>0</v>
      </c>
      <c r="AH108">
        <f t="shared" si="109"/>
        <v>0</v>
      </c>
      <c r="AI108">
        <f t="shared" si="109"/>
        <v>0</v>
      </c>
      <c r="AJ108">
        <f t="shared" si="87"/>
        <v>0</v>
      </c>
      <c r="AK108">
        <v>0.54</v>
      </c>
      <c r="AL108">
        <v>0.54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8.3800000000000008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3</v>
      </c>
      <c r="BM108">
        <v>1100</v>
      </c>
      <c r="BN108">
        <v>0</v>
      </c>
      <c r="BO108" t="s">
        <v>3</v>
      </c>
      <c r="BP108">
        <v>0</v>
      </c>
      <c r="BQ108">
        <v>8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88"/>
        <v>1122.25</v>
      </c>
      <c r="CQ108">
        <f t="shared" si="89"/>
        <v>4.5252000000000008</v>
      </c>
      <c r="CR108">
        <f>(((ET108)*BB108-(EU108)*BS108)+AE108*BS108)</f>
        <v>0</v>
      </c>
      <c r="CS108">
        <f t="shared" si="90"/>
        <v>0</v>
      </c>
      <c r="CT108">
        <f t="shared" si="91"/>
        <v>0</v>
      </c>
      <c r="CU108">
        <f t="shared" si="92"/>
        <v>0</v>
      </c>
      <c r="CV108">
        <f t="shared" si="93"/>
        <v>0</v>
      </c>
      <c r="CW108">
        <f t="shared" si="94"/>
        <v>0</v>
      </c>
      <c r="CX108">
        <f t="shared" si="95"/>
        <v>0</v>
      </c>
      <c r="CY108">
        <f t="shared" si="96"/>
        <v>0</v>
      </c>
      <c r="CZ108">
        <f t="shared" si="97"/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1010</v>
      </c>
      <c r="DV108" t="s">
        <v>58</v>
      </c>
      <c r="DW108" t="s">
        <v>58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140625274</v>
      </c>
      <c r="EF108">
        <v>8</v>
      </c>
      <c r="EG108" t="s">
        <v>22</v>
      </c>
      <c r="EH108">
        <v>0</v>
      </c>
      <c r="EI108" t="s">
        <v>3</v>
      </c>
      <c r="EJ108">
        <v>1</v>
      </c>
      <c r="EK108">
        <v>1100</v>
      </c>
      <c r="EL108" t="s">
        <v>23</v>
      </c>
      <c r="EM108" t="s">
        <v>24</v>
      </c>
      <c r="EO108" t="s">
        <v>3</v>
      </c>
      <c r="EQ108">
        <v>0</v>
      </c>
      <c r="ER108">
        <v>0.54</v>
      </c>
      <c r="ES108">
        <v>0.54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5</v>
      </c>
      <c r="FC108">
        <v>1</v>
      </c>
      <c r="FD108">
        <v>18</v>
      </c>
      <c r="FF108">
        <v>5</v>
      </c>
      <c r="FQ108">
        <v>0</v>
      </c>
      <c r="FR108">
        <f t="shared" si="98"/>
        <v>0</v>
      </c>
      <c r="FS108">
        <v>0</v>
      </c>
      <c r="FX108">
        <v>0</v>
      </c>
      <c r="FY108">
        <v>0</v>
      </c>
      <c r="GA108" t="s">
        <v>59</v>
      </c>
      <c r="GD108">
        <v>1</v>
      </c>
      <c r="GF108">
        <v>-1778612597</v>
      </c>
      <c r="GG108">
        <v>2</v>
      </c>
      <c r="GH108">
        <v>3</v>
      </c>
      <c r="GI108">
        <v>4</v>
      </c>
      <c r="GJ108">
        <v>0</v>
      </c>
      <c r="GK108">
        <v>0</v>
      </c>
      <c r="GL108">
        <f t="shared" si="99"/>
        <v>0</v>
      </c>
      <c r="GM108">
        <f t="shared" si="100"/>
        <v>1122.25</v>
      </c>
      <c r="GN108">
        <f t="shared" si="101"/>
        <v>1122.25</v>
      </c>
      <c r="GO108">
        <f t="shared" si="102"/>
        <v>0</v>
      </c>
      <c r="GP108">
        <f t="shared" si="103"/>
        <v>0</v>
      </c>
      <c r="GR108">
        <v>1</v>
      </c>
      <c r="GS108">
        <v>1</v>
      </c>
      <c r="GT108">
        <v>0</v>
      </c>
      <c r="GU108" t="s">
        <v>3</v>
      </c>
      <c r="GV108">
        <f t="shared" si="104"/>
        <v>0</v>
      </c>
      <c r="GW108">
        <v>1</v>
      </c>
      <c r="GX108">
        <f t="shared" si="105"/>
        <v>0</v>
      </c>
      <c r="HA108">
        <v>0</v>
      </c>
      <c r="HB108">
        <v>0</v>
      </c>
      <c r="HC108">
        <f t="shared" si="106"/>
        <v>0</v>
      </c>
      <c r="HE108" t="s">
        <v>55</v>
      </c>
      <c r="HF108" t="s">
        <v>27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C109">
        <f>ROW(SmtRes!A119)</f>
        <v>119</v>
      </c>
      <c r="D109">
        <f>ROW(EtalonRes!A119)</f>
        <v>119</v>
      </c>
      <c r="E109" t="s">
        <v>248</v>
      </c>
      <c r="F109" t="s">
        <v>79</v>
      </c>
      <c r="G109" t="s">
        <v>80</v>
      </c>
      <c r="H109" t="s">
        <v>81</v>
      </c>
      <c r="I109">
        <f>ROUND(41/100,9)</f>
        <v>0.41</v>
      </c>
      <c r="J109">
        <v>0</v>
      </c>
      <c r="K109">
        <f>ROUND(41/100,9)</f>
        <v>0.41</v>
      </c>
      <c r="O109">
        <f t="shared" si="74"/>
        <v>22743.17</v>
      </c>
      <c r="P109">
        <f t="shared" si="75"/>
        <v>17486.95</v>
      </c>
      <c r="Q109">
        <f t="shared" si="76"/>
        <v>145.52000000000001</v>
      </c>
      <c r="R109">
        <f t="shared" si="77"/>
        <v>75.150000000000006</v>
      </c>
      <c r="S109">
        <f t="shared" si="78"/>
        <v>5110.7</v>
      </c>
      <c r="T109">
        <f t="shared" si="79"/>
        <v>0</v>
      </c>
      <c r="U109">
        <f t="shared" si="80"/>
        <v>13.107699999999999</v>
      </c>
      <c r="V109">
        <f t="shared" si="81"/>
        <v>0.12812499999999999</v>
      </c>
      <c r="W109">
        <f t="shared" si="82"/>
        <v>0</v>
      </c>
      <c r="X109">
        <f t="shared" si="83"/>
        <v>5652.58</v>
      </c>
      <c r="Y109">
        <f t="shared" si="84"/>
        <v>2512.54</v>
      </c>
      <c r="AA109">
        <v>145185703</v>
      </c>
      <c r="AB109">
        <f t="shared" si="85"/>
        <v>5388.8</v>
      </c>
      <c r="AC109">
        <f t="shared" si="107"/>
        <v>5089.63</v>
      </c>
      <c r="AD109">
        <f>ROUND(((((ET109*1.25))-((EU109*1.25)))+AE109),2)</f>
        <v>26.47</v>
      </c>
      <c r="AE109">
        <f>ROUND(((EU109*1.25)),2)</f>
        <v>4.01</v>
      </c>
      <c r="AF109">
        <f>ROUND(((EV109*1.15)),2)</f>
        <v>272.7</v>
      </c>
      <c r="AG109">
        <f t="shared" si="86"/>
        <v>0</v>
      </c>
      <c r="AH109">
        <f>((EW109*1.15))</f>
        <v>31.97</v>
      </c>
      <c r="AI109">
        <f>((EX109*1.25))</f>
        <v>0.3125</v>
      </c>
      <c r="AJ109">
        <f t="shared" si="87"/>
        <v>0</v>
      </c>
      <c r="AK109">
        <v>5347.94</v>
      </c>
      <c r="AL109">
        <v>5089.63</v>
      </c>
      <c r="AM109">
        <v>21.18</v>
      </c>
      <c r="AN109">
        <v>3.21</v>
      </c>
      <c r="AO109">
        <v>237.13</v>
      </c>
      <c r="AP109">
        <v>0</v>
      </c>
      <c r="AQ109">
        <v>27.8</v>
      </c>
      <c r="AR109">
        <v>0.25</v>
      </c>
      <c r="AS109">
        <v>0</v>
      </c>
      <c r="AT109">
        <v>109</v>
      </c>
      <c r="AU109">
        <v>48.45</v>
      </c>
      <c r="AV109">
        <v>1</v>
      </c>
      <c r="AW109">
        <v>1</v>
      </c>
      <c r="AZ109">
        <v>1</v>
      </c>
      <c r="BA109">
        <v>45.71</v>
      </c>
      <c r="BB109">
        <v>13.41</v>
      </c>
      <c r="BC109">
        <v>8.3800000000000008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1</v>
      </c>
      <c r="BJ109" t="s">
        <v>82</v>
      </c>
      <c r="BM109">
        <v>12001</v>
      </c>
      <c r="BN109">
        <v>0</v>
      </c>
      <c r="BO109" t="s">
        <v>3</v>
      </c>
      <c r="BP109">
        <v>0</v>
      </c>
      <c r="BQ109">
        <v>2</v>
      </c>
      <c r="BR109">
        <v>0</v>
      </c>
      <c r="BS109">
        <v>45.71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109</v>
      </c>
      <c r="CA109">
        <v>57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548</v>
      </c>
      <c r="CO109">
        <v>0</v>
      </c>
      <c r="CP109">
        <f t="shared" si="88"/>
        <v>22743.170000000002</v>
      </c>
      <c r="CQ109">
        <f t="shared" si="89"/>
        <v>42651.099400000006</v>
      </c>
      <c r="CR109">
        <f>((((ET109*1.25))*BB109-((EU109*1.25))*BS109)+AE109*BS109)</f>
        <v>354.91547500000001</v>
      </c>
      <c r="CS109">
        <f t="shared" si="90"/>
        <v>183.2971</v>
      </c>
      <c r="CT109">
        <f t="shared" si="91"/>
        <v>12465.117</v>
      </c>
      <c r="CU109">
        <f t="shared" si="92"/>
        <v>0</v>
      </c>
      <c r="CV109">
        <f t="shared" si="93"/>
        <v>31.97</v>
      </c>
      <c r="CW109">
        <f t="shared" si="94"/>
        <v>0.3125</v>
      </c>
      <c r="CX109">
        <f t="shared" si="95"/>
        <v>0</v>
      </c>
      <c r="CY109">
        <f t="shared" si="96"/>
        <v>5652.5764999999992</v>
      </c>
      <c r="CZ109">
        <f t="shared" si="97"/>
        <v>2512.5443249999998</v>
      </c>
      <c r="DC109" t="s">
        <v>3</v>
      </c>
      <c r="DD109" t="s">
        <v>3</v>
      </c>
      <c r="DE109" t="s">
        <v>42</v>
      </c>
      <c r="DF109" t="s">
        <v>42</v>
      </c>
      <c r="DG109" t="s">
        <v>43</v>
      </c>
      <c r="DH109" t="s">
        <v>3</v>
      </c>
      <c r="DI109" t="s">
        <v>43</v>
      </c>
      <c r="DJ109" t="s">
        <v>42</v>
      </c>
      <c r="DK109" t="s">
        <v>3</v>
      </c>
      <c r="DL109" t="s">
        <v>3</v>
      </c>
      <c r="DM109" t="s">
        <v>44</v>
      </c>
      <c r="DN109">
        <v>0</v>
      </c>
      <c r="DO109">
        <v>0</v>
      </c>
      <c r="DP109">
        <v>1</v>
      </c>
      <c r="DQ109">
        <v>1</v>
      </c>
      <c r="DU109">
        <v>1003</v>
      </c>
      <c r="DV109" t="s">
        <v>81</v>
      </c>
      <c r="DW109" t="s">
        <v>81</v>
      </c>
      <c r="DX109">
        <v>100</v>
      </c>
      <c r="DZ109" t="s">
        <v>3</v>
      </c>
      <c r="EA109" t="s">
        <v>3</v>
      </c>
      <c r="EB109" t="s">
        <v>3</v>
      </c>
      <c r="EC109" t="s">
        <v>3</v>
      </c>
      <c r="EE109">
        <v>140625032</v>
      </c>
      <c r="EF109">
        <v>2</v>
      </c>
      <c r="EG109" t="s">
        <v>32</v>
      </c>
      <c r="EH109">
        <v>12</v>
      </c>
      <c r="EI109" t="s">
        <v>65</v>
      </c>
      <c r="EJ109">
        <v>1</v>
      </c>
      <c r="EK109">
        <v>12001</v>
      </c>
      <c r="EL109" t="s">
        <v>65</v>
      </c>
      <c r="EM109" t="s">
        <v>66</v>
      </c>
      <c r="EO109" t="s">
        <v>47</v>
      </c>
      <c r="EQ109">
        <v>0</v>
      </c>
      <c r="ER109">
        <v>5347.94</v>
      </c>
      <c r="ES109">
        <v>5089.63</v>
      </c>
      <c r="ET109">
        <v>21.18</v>
      </c>
      <c r="EU109">
        <v>3.21</v>
      </c>
      <c r="EV109">
        <v>237.13</v>
      </c>
      <c r="EW109">
        <v>27.8</v>
      </c>
      <c r="EX109">
        <v>0.25</v>
      </c>
      <c r="EY109">
        <v>0</v>
      </c>
      <c r="FQ109">
        <v>0</v>
      </c>
      <c r="FR109">
        <f t="shared" si="98"/>
        <v>0</v>
      </c>
      <c r="FS109">
        <v>0</v>
      </c>
      <c r="FX109">
        <v>109</v>
      </c>
      <c r="FY109">
        <v>48.45</v>
      </c>
      <c r="GA109" t="s">
        <v>3</v>
      </c>
      <c r="GD109">
        <v>1</v>
      </c>
      <c r="GF109">
        <v>-1062366555</v>
      </c>
      <c r="GG109">
        <v>2</v>
      </c>
      <c r="GH109">
        <v>1</v>
      </c>
      <c r="GI109">
        <v>4</v>
      </c>
      <c r="GJ109">
        <v>0</v>
      </c>
      <c r="GK109">
        <v>0</v>
      </c>
      <c r="GL109">
        <f t="shared" si="99"/>
        <v>0</v>
      </c>
      <c r="GM109">
        <f t="shared" si="100"/>
        <v>30908.29</v>
      </c>
      <c r="GN109">
        <f t="shared" si="101"/>
        <v>30908.29</v>
      </c>
      <c r="GO109">
        <f t="shared" si="102"/>
        <v>0</v>
      </c>
      <c r="GP109">
        <f t="shared" si="103"/>
        <v>0</v>
      </c>
      <c r="GR109">
        <v>0</v>
      </c>
      <c r="GS109">
        <v>3</v>
      </c>
      <c r="GT109">
        <v>0</v>
      </c>
      <c r="GU109" t="s">
        <v>3</v>
      </c>
      <c r="GV109">
        <f t="shared" si="104"/>
        <v>0</v>
      </c>
      <c r="GW109">
        <v>1</v>
      </c>
      <c r="GX109">
        <f t="shared" si="105"/>
        <v>0</v>
      </c>
      <c r="HA109">
        <v>0</v>
      </c>
      <c r="HB109">
        <v>0</v>
      </c>
      <c r="HC109">
        <f t="shared" si="106"/>
        <v>0</v>
      </c>
      <c r="HE109" t="s">
        <v>3</v>
      </c>
      <c r="HF109" t="s">
        <v>3</v>
      </c>
      <c r="HM109" t="s">
        <v>3</v>
      </c>
      <c r="HN109" t="s">
        <v>67</v>
      </c>
      <c r="HO109" t="s">
        <v>68</v>
      </c>
      <c r="HP109" t="s">
        <v>65</v>
      </c>
      <c r="HQ109" t="s">
        <v>65</v>
      </c>
      <c r="IK109">
        <v>0</v>
      </c>
    </row>
    <row r="110" spans="1:245" x14ac:dyDescent="0.2">
      <c r="A110">
        <v>18</v>
      </c>
      <c r="B110">
        <v>1</v>
      </c>
      <c r="C110">
        <v>119</v>
      </c>
      <c r="E110" t="s">
        <v>249</v>
      </c>
      <c r="F110" t="s">
        <v>84</v>
      </c>
      <c r="G110" t="s">
        <v>85</v>
      </c>
      <c r="H110" t="s">
        <v>21</v>
      </c>
      <c r="I110">
        <f>I109*J110</f>
        <v>-0.1353</v>
      </c>
      <c r="J110">
        <v>-0.33</v>
      </c>
      <c r="K110">
        <v>-0.33</v>
      </c>
      <c r="O110">
        <f t="shared" si="74"/>
        <v>-12698.72</v>
      </c>
      <c r="P110">
        <f t="shared" si="75"/>
        <v>-12698.72</v>
      </c>
      <c r="Q110">
        <f t="shared" si="76"/>
        <v>0</v>
      </c>
      <c r="R110">
        <f t="shared" si="77"/>
        <v>0</v>
      </c>
      <c r="S110">
        <f t="shared" si="78"/>
        <v>0</v>
      </c>
      <c r="T110">
        <f t="shared" si="79"/>
        <v>0</v>
      </c>
      <c r="U110">
        <f t="shared" si="80"/>
        <v>0</v>
      </c>
      <c r="V110">
        <f t="shared" si="81"/>
        <v>0</v>
      </c>
      <c r="W110">
        <f t="shared" si="82"/>
        <v>0</v>
      </c>
      <c r="X110">
        <f t="shared" si="83"/>
        <v>0</v>
      </c>
      <c r="Y110">
        <f t="shared" si="84"/>
        <v>0</v>
      </c>
      <c r="AA110">
        <v>145185703</v>
      </c>
      <c r="AB110">
        <f t="shared" si="85"/>
        <v>11200</v>
      </c>
      <c r="AC110">
        <f t="shared" si="107"/>
        <v>11200</v>
      </c>
      <c r="AD110">
        <f>ROUND((((ET110)-(EU110))+AE110),2)</f>
        <v>0</v>
      </c>
      <c r="AE110">
        <f t="shared" ref="AE110:AF113" si="110">ROUND((EU110),2)</f>
        <v>0</v>
      </c>
      <c r="AF110">
        <f t="shared" si="110"/>
        <v>0</v>
      </c>
      <c r="AG110">
        <f t="shared" si="86"/>
        <v>0</v>
      </c>
      <c r="AH110">
        <f t="shared" ref="AH110:AI113" si="111">(EW110)</f>
        <v>0</v>
      </c>
      <c r="AI110">
        <f t="shared" si="111"/>
        <v>0</v>
      </c>
      <c r="AJ110">
        <f t="shared" si="87"/>
        <v>0</v>
      </c>
      <c r="AK110">
        <v>11200</v>
      </c>
      <c r="AL110">
        <v>11200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109</v>
      </c>
      <c r="AU110">
        <v>57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8.3800000000000008</v>
      </c>
      <c r="BD110" t="s">
        <v>3</v>
      </c>
      <c r="BE110" t="s">
        <v>3</v>
      </c>
      <c r="BF110" t="s">
        <v>3</v>
      </c>
      <c r="BG110" t="s">
        <v>3</v>
      </c>
      <c r="BH110">
        <v>3</v>
      </c>
      <c r="BI110">
        <v>1</v>
      </c>
      <c r="BJ110" t="s">
        <v>86</v>
      </c>
      <c r="BM110">
        <v>12001</v>
      </c>
      <c r="BN110">
        <v>0</v>
      </c>
      <c r="BO110" t="s">
        <v>3</v>
      </c>
      <c r="BP110">
        <v>0</v>
      </c>
      <c r="BQ110">
        <v>2</v>
      </c>
      <c r="BR110">
        <v>1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109</v>
      </c>
      <c r="CA110">
        <v>57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88"/>
        <v>-12698.72</v>
      </c>
      <c r="CQ110">
        <f t="shared" si="89"/>
        <v>93856.000000000015</v>
      </c>
      <c r="CR110">
        <f>(((ET110)*BB110-(EU110)*BS110)+AE110*BS110)</f>
        <v>0</v>
      </c>
      <c r="CS110">
        <f t="shared" si="90"/>
        <v>0</v>
      </c>
      <c r="CT110">
        <f t="shared" si="91"/>
        <v>0</v>
      </c>
      <c r="CU110">
        <f t="shared" si="92"/>
        <v>0</v>
      </c>
      <c r="CV110">
        <f t="shared" si="93"/>
        <v>0</v>
      </c>
      <c r="CW110">
        <f t="shared" si="94"/>
        <v>0</v>
      </c>
      <c r="CX110">
        <f t="shared" si="95"/>
        <v>0</v>
      </c>
      <c r="CY110">
        <f t="shared" si="96"/>
        <v>0</v>
      </c>
      <c r="CZ110">
        <f t="shared" si="97"/>
        <v>0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1009</v>
      </c>
      <c r="DV110" t="s">
        <v>21</v>
      </c>
      <c r="DW110" t="s">
        <v>21</v>
      </c>
      <c r="DX110">
        <v>1000</v>
      </c>
      <c r="DZ110" t="s">
        <v>3</v>
      </c>
      <c r="EA110" t="s">
        <v>3</v>
      </c>
      <c r="EB110" t="s">
        <v>3</v>
      </c>
      <c r="EC110" t="s">
        <v>3</v>
      </c>
      <c r="EE110">
        <v>140625032</v>
      </c>
      <c r="EF110">
        <v>2</v>
      </c>
      <c r="EG110" t="s">
        <v>32</v>
      </c>
      <c r="EH110">
        <v>12</v>
      </c>
      <c r="EI110" t="s">
        <v>65</v>
      </c>
      <c r="EJ110">
        <v>1</v>
      </c>
      <c r="EK110">
        <v>12001</v>
      </c>
      <c r="EL110" t="s">
        <v>65</v>
      </c>
      <c r="EM110" t="s">
        <v>66</v>
      </c>
      <c r="EO110" t="s">
        <v>3</v>
      </c>
      <c r="EQ110">
        <v>32768</v>
      </c>
      <c r="ER110">
        <v>11200</v>
      </c>
      <c r="ES110">
        <v>11200</v>
      </c>
      <c r="ET110">
        <v>0</v>
      </c>
      <c r="EU110">
        <v>0</v>
      </c>
      <c r="EV110">
        <v>0</v>
      </c>
      <c r="EW110">
        <v>0</v>
      </c>
      <c r="EX110">
        <v>0</v>
      </c>
      <c r="FQ110">
        <v>0</v>
      </c>
      <c r="FR110">
        <f t="shared" si="98"/>
        <v>0</v>
      </c>
      <c r="FS110">
        <v>0</v>
      </c>
      <c r="FX110">
        <v>109</v>
      </c>
      <c r="FY110">
        <v>57</v>
      </c>
      <c r="GA110" t="s">
        <v>3</v>
      </c>
      <c r="GD110">
        <v>1</v>
      </c>
      <c r="GF110">
        <v>-509681559</v>
      </c>
      <c r="GG110">
        <v>2</v>
      </c>
      <c r="GH110">
        <v>1</v>
      </c>
      <c r="GI110">
        <v>4</v>
      </c>
      <c r="GJ110">
        <v>0</v>
      </c>
      <c r="GK110">
        <v>0</v>
      </c>
      <c r="GL110">
        <f t="shared" si="99"/>
        <v>0</v>
      </c>
      <c r="GM110">
        <f t="shared" si="100"/>
        <v>-12698.72</v>
      </c>
      <c r="GN110">
        <f t="shared" si="101"/>
        <v>-12698.72</v>
      </c>
      <c r="GO110">
        <f t="shared" si="102"/>
        <v>0</v>
      </c>
      <c r="GP110">
        <f t="shared" si="103"/>
        <v>0</v>
      </c>
      <c r="GR110">
        <v>0</v>
      </c>
      <c r="GS110">
        <v>3</v>
      </c>
      <c r="GT110">
        <v>0</v>
      </c>
      <c r="GU110" t="s">
        <v>3</v>
      </c>
      <c r="GV110">
        <f t="shared" si="104"/>
        <v>0</v>
      </c>
      <c r="GW110">
        <v>1</v>
      </c>
      <c r="GX110">
        <f t="shared" si="105"/>
        <v>0</v>
      </c>
      <c r="HA110">
        <v>0</v>
      </c>
      <c r="HB110">
        <v>0</v>
      </c>
      <c r="HC110">
        <f t="shared" si="106"/>
        <v>0</v>
      </c>
      <c r="HE110" t="s">
        <v>3</v>
      </c>
      <c r="HF110" t="s">
        <v>3</v>
      </c>
      <c r="HM110" t="s">
        <v>3</v>
      </c>
      <c r="HN110" t="s">
        <v>67</v>
      </c>
      <c r="HO110" t="s">
        <v>68</v>
      </c>
      <c r="HP110" t="s">
        <v>65</v>
      </c>
      <c r="HQ110" t="s">
        <v>65</v>
      </c>
      <c r="IK110">
        <v>0</v>
      </c>
    </row>
    <row r="111" spans="1:245" x14ac:dyDescent="0.2">
      <c r="A111">
        <v>17</v>
      </c>
      <c r="B111">
        <v>1</v>
      </c>
      <c r="E111" t="s">
        <v>250</v>
      </c>
      <c r="F111" t="s">
        <v>56</v>
      </c>
      <c r="G111" t="s">
        <v>88</v>
      </c>
      <c r="H111" t="s">
        <v>58</v>
      </c>
      <c r="I111">
        <v>21</v>
      </c>
      <c r="J111">
        <v>0</v>
      </c>
      <c r="K111">
        <v>21</v>
      </c>
      <c r="O111">
        <f t="shared" si="74"/>
        <v>31542.66</v>
      </c>
      <c r="P111">
        <f t="shared" si="75"/>
        <v>31542.66</v>
      </c>
      <c r="Q111">
        <f t="shared" si="76"/>
        <v>0</v>
      </c>
      <c r="R111">
        <f t="shared" si="77"/>
        <v>0</v>
      </c>
      <c r="S111">
        <f t="shared" si="78"/>
        <v>0</v>
      </c>
      <c r="T111">
        <f t="shared" si="79"/>
        <v>0</v>
      </c>
      <c r="U111">
        <f t="shared" si="80"/>
        <v>0</v>
      </c>
      <c r="V111">
        <f t="shared" si="81"/>
        <v>0</v>
      </c>
      <c r="W111">
        <f t="shared" si="82"/>
        <v>0</v>
      </c>
      <c r="X111">
        <f t="shared" si="83"/>
        <v>0</v>
      </c>
      <c r="Y111">
        <f t="shared" si="84"/>
        <v>0</v>
      </c>
      <c r="AA111">
        <v>145185703</v>
      </c>
      <c r="AB111">
        <f t="shared" si="85"/>
        <v>179.24</v>
      </c>
      <c r="AC111">
        <f t="shared" si="107"/>
        <v>179.24</v>
      </c>
      <c r="AD111">
        <f>ROUND((((ET111)-(EU111))+AE111),2)</f>
        <v>0</v>
      </c>
      <c r="AE111">
        <f t="shared" si="110"/>
        <v>0</v>
      </c>
      <c r="AF111">
        <f t="shared" si="110"/>
        <v>0</v>
      </c>
      <c r="AG111">
        <f t="shared" si="86"/>
        <v>0</v>
      </c>
      <c r="AH111">
        <f t="shared" si="111"/>
        <v>0</v>
      </c>
      <c r="AI111">
        <f t="shared" si="111"/>
        <v>0</v>
      </c>
      <c r="AJ111">
        <f t="shared" si="87"/>
        <v>0</v>
      </c>
      <c r="AK111">
        <v>179.24</v>
      </c>
      <c r="AL111">
        <v>179.24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8.3800000000000008</v>
      </c>
      <c r="BD111" t="s">
        <v>3</v>
      </c>
      <c r="BE111" t="s">
        <v>3</v>
      </c>
      <c r="BF111" t="s">
        <v>3</v>
      </c>
      <c r="BG111" t="s">
        <v>3</v>
      </c>
      <c r="BH111">
        <v>3</v>
      </c>
      <c r="BI111">
        <v>1</v>
      </c>
      <c r="BJ111" t="s">
        <v>3</v>
      </c>
      <c r="BM111">
        <v>1100</v>
      </c>
      <c r="BN111">
        <v>0</v>
      </c>
      <c r="BO111" t="s">
        <v>3</v>
      </c>
      <c r="BP111">
        <v>0</v>
      </c>
      <c r="BQ111">
        <v>8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0</v>
      </c>
      <c r="CA111">
        <v>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88"/>
        <v>31542.66</v>
      </c>
      <c r="CQ111">
        <f t="shared" si="89"/>
        <v>1502.0312000000001</v>
      </c>
      <c r="CR111">
        <f>(((ET111)*BB111-(EU111)*BS111)+AE111*BS111)</f>
        <v>0</v>
      </c>
      <c r="CS111">
        <f t="shared" si="90"/>
        <v>0</v>
      </c>
      <c r="CT111">
        <f t="shared" si="91"/>
        <v>0</v>
      </c>
      <c r="CU111">
        <f t="shared" si="92"/>
        <v>0</v>
      </c>
      <c r="CV111">
        <f t="shared" si="93"/>
        <v>0</v>
      </c>
      <c r="CW111">
        <f t="shared" si="94"/>
        <v>0</v>
      </c>
      <c r="CX111">
        <f t="shared" si="95"/>
        <v>0</v>
      </c>
      <c r="CY111">
        <f t="shared" si="96"/>
        <v>0</v>
      </c>
      <c r="CZ111">
        <f t="shared" si="97"/>
        <v>0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1010</v>
      </c>
      <c r="DV111" t="s">
        <v>58</v>
      </c>
      <c r="DW111" t="s">
        <v>58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140625274</v>
      </c>
      <c r="EF111">
        <v>8</v>
      </c>
      <c r="EG111" t="s">
        <v>22</v>
      </c>
      <c r="EH111">
        <v>0</v>
      </c>
      <c r="EI111" t="s">
        <v>3</v>
      </c>
      <c r="EJ111">
        <v>1</v>
      </c>
      <c r="EK111">
        <v>1100</v>
      </c>
      <c r="EL111" t="s">
        <v>23</v>
      </c>
      <c r="EM111" t="s">
        <v>24</v>
      </c>
      <c r="EO111" t="s">
        <v>3</v>
      </c>
      <c r="EQ111">
        <v>0</v>
      </c>
      <c r="ER111">
        <v>180.75</v>
      </c>
      <c r="ES111">
        <v>179.24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5</v>
      </c>
      <c r="FC111">
        <v>1</v>
      </c>
      <c r="FD111">
        <v>18</v>
      </c>
      <c r="FF111">
        <v>1683</v>
      </c>
      <c r="FQ111">
        <v>0</v>
      </c>
      <c r="FR111">
        <f t="shared" si="98"/>
        <v>0</v>
      </c>
      <c r="FS111">
        <v>0</v>
      </c>
      <c r="FX111">
        <v>0</v>
      </c>
      <c r="FY111">
        <v>0</v>
      </c>
      <c r="GA111" t="s">
        <v>89</v>
      </c>
      <c r="GD111">
        <v>1</v>
      </c>
      <c r="GF111">
        <v>-1892267403</v>
      </c>
      <c r="GG111">
        <v>2</v>
      </c>
      <c r="GH111">
        <v>3</v>
      </c>
      <c r="GI111">
        <v>4</v>
      </c>
      <c r="GJ111">
        <v>0</v>
      </c>
      <c r="GK111">
        <v>0</v>
      </c>
      <c r="GL111">
        <f t="shared" si="99"/>
        <v>0</v>
      </c>
      <c r="GM111">
        <f t="shared" si="100"/>
        <v>31542.66</v>
      </c>
      <c r="GN111">
        <f t="shared" si="101"/>
        <v>31542.66</v>
      </c>
      <c r="GO111">
        <f t="shared" si="102"/>
        <v>0</v>
      </c>
      <c r="GP111">
        <f t="shared" si="103"/>
        <v>0</v>
      </c>
      <c r="GR111">
        <v>1</v>
      </c>
      <c r="GS111">
        <v>1</v>
      </c>
      <c r="GT111">
        <v>0</v>
      </c>
      <c r="GU111" t="s">
        <v>3</v>
      </c>
      <c r="GV111">
        <f t="shared" si="104"/>
        <v>0</v>
      </c>
      <c r="GW111">
        <v>1</v>
      </c>
      <c r="GX111">
        <f t="shared" si="105"/>
        <v>0</v>
      </c>
      <c r="HA111">
        <v>0</v>
      </c>
      <c r="HB111">
        <v>0</v>
      </c>
      <c r="HC111">
        <f t="shared" si="106"/>
        <v>0</v>
      </c>
      <c r="HE111" t="s">
        <v>55</v>
      </c>
      <c r="HF111" t="s">
        <v>27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IK111">
        <v>0</v>
      </c>
    </row>
    <row r="112" spans="1:245" x14ac:dyDescent="0.2">
      <c r="A112">
        <v>17</v>
      </c>
      <c r="B112">
        <v>1</v>
      </c>
      <c r="E112" t="s">
        <v>251</v>
      </c>
      <c r="F112" t="s">
        <v>56</v>
      </c>
      <c r="G112" t="s">
        <v>91</v>
      </c>
      <c r="H112" t="s">
        <v>58</v>
      </c>
      <c r="I112">
        <v>68</v>
      </c>
      <c r="J112">
        <v>0</v>
      </c>
      <c r="K112">
        <v>68</v>
      </c>
      <c r="O112">
        <f t="shared" si="74"/>
        <v>19539.810000000001</v>
      </c>
      <c r="P112">
        <f t="shared" si="75"/>
        <v>19539.810000000001</v>
      </c>
      <c r="Q112">
        <f t="shared" si="76"/>
        <v>0</v>
      </c>
      <c r="R112">
        <f t="shared" si="77"/>
        <v>0</v>
      </c>
      <c r="S112">
        <f t="shared" si="78"/>
        <v>0</v>
      </c>
      <c r="T112">
        <f t="shared" si="79"/>
        <v>0</v>
      </c>
      <c r="U112">
        <f t="shared" si="80"/>
        <v>0</v>
      </c>
      <c r="V112">
        <f t="shared" si="81"/>
        <v>0</v>
      </c>
      <c r="W112">
        <f t="shared" si="82"/>
        <v>0</v>
      </c>
      <c r="X112">
        <f t="shared" si="83"/>
        <v>0</v>
      </c>
      <c r="Y112">
        <f t="shared" si="84"/>
        <v>0</v>
      </c>
      <c r="AA112">
        <v>145185703</v>
      </c>
      <c r="AB112">
        <f t="shared" si="85"/>
        <v>34.29</v>
      </c>
      <c r="AC112">
        <f t="shared" si="107"/>
        <v>34.29</v>
      </c>
      <c r="AD112">
        <f>ROUND((((ET112)-(EU112))+AE112),2)</f>
        <v>0</v>
      </c>
      <c r="AE112">
        <f t="shared" si="110"/>
        <v>0</v>
      </c>
      <c r="AF112">
        <f t="shared" si="110"/>
        <v>0</v>
      </c>
      <c r="AG112">
        <f t="shared" si="86"/>
        <v>0</v>
      </c>
      <c r="AH112">
        <f t="shared" si="111"/>
        <v>0</v>
      </c>
      <c r="AI112">
        <f t="shared" si="111"/>
        <v>0</v>
      </c>
      <c r="AJ112">
        <f t="shared" si="87"/>
        <v>0</v>
      </c>
      <c r="AK112">
        <v>34.290000000000006</v>
      </c>
      <c r="AL112">
        <v>34.290000000000006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8.3800000000000008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1</v>
      </c>
      <c r="BJ112" t="s">
        <v>3</v>
      </c>
      <c r="BM112">
        <v>1100</v>
      </c>
      <c r="BN112">
        <v>0</v>
      </c>
      <c r="BO112" t="s">
        <v>3</v>
      </c>
      <c r="BP112">
        <v>0</v>
      </c>
      <c r="BQ112">
        <v>8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88"/>
        <v>19539.810000000001</v>
      </c>
      <c r="CQ112">
        <f t="shared" si="89"/>
        <v>287.35020000000003</v>
      </c>
      <c r="CR112">
        <f>(((ET112)*BB112-(EU112)*BS112)+AE112*BS112)</f>
        <v>0</v>
      </c>
      <c r="CS112">
        <f t="shared" si="90"/>
        <v>0</v>
      </c>
      <c r="CT112">
        <f t="shared" si="91"/>
        <v>0</v>
      </c>
      <c r="CU112">
        <f t="shared" si="92"/>
        <v>0</v>
      </c>
      <c r="CV112">
        <f t="shared" si="93"/>
        <v>0</v>
      </c>
      <c r="CW112">
        <f t="shared" si="94"/>
        <v>0</v>
      </c>
      <c r="CX112">
        <f t="shared" si="95"/>
        <v>0</v>
      </c>
      <c r="CY112">
        <f t="shared" si="96"/>
        <v>0</v>
      </c>
      <c r="CZ112">
        <f t="shared" si="97"/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1010</v>
      </c>
      <c r="DV112" t="s">
        <v>58</v>
      </c>
      <c r="DW112" t="s">
        <v>58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140625274</v>
      </c>
      <c r="EF112">
        <v>8</v>
      </c>
      <c r="EG112" t="s">
        <v>22</v>
      </c>
      <c r="EH112">
        <v>0</v>
      </c>
      <c r="EI112" t="s">
        <v>3</v>
      </c>
      <c r="EJ112">
        <v>1</v>
      </c>
      <c r="EK112">
        <v>1100</v>
      </c>
      <c r="EL112" t="s">
        <v>23</v>
      </c>
      <c r="EM112" t="s">
        <v>24</v>
      </c>
      <c r="EO112" t="s">
        <v>3</v>
      </c>
      <c r="EQ112">
        <v>0</v>
      </c>
      <c r="ER112">
        <v>34.58</v>
      </c>
      <c r="ES112">
        <v>34.290000000000006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5</v>
      </c>
      <c r="FC112">
        <v>1</v>
      </c>
      <c r="FD112">
        <v>18</v>
      </c>
      <c r="FF112">
        <v>322</v>
      </c>
      <c r="FQ112">
        <v>0</v>
      </c>
      <c r="FR112">
        <f t="shared" si="98"/>
        <v>0</v>
      </c>
      <c r="FS112">
        <v>0</v>
      </c>
      <c r="FX112">
        <v>0</v>
      </c>
      <c r="FY112">
        <v>0</v>
      </c>
      <c r="GA112" t="s">
        <v>92</v>
      </c>
      <c r="GD112">
        <v>1</v>
      </c>
      <c r="GF112">
        <v>-1890217126</v>
      </c>
      <c r="GG112">
        <v>2</v>
      </c>
      <c r="GH112">
        <v>3</v>
      </c>
      <c r="GI112">
        <v>4</v>
      </c>
      <c r="GJ112">
        <v>0</v>
      </c>
      <c r="GK112">
        <v>0</v>
      </c>
      <c r="GL112">
        <f t="shared" si="99"/>
        <v>0</v>
      </c>
      <c r="GM112">
        <f t="shared" si="100"/>
        <v>19539.810000000001</v>
      </c>
      <c r="GN112">
        <f t="shared" si="101"/>
        <v>19539.810000000001</v>
      </c>
      <c r="GO112">
        <f t="shared" si="102"/>
        <v>0</v>
      </c>
      <c r="GP112">
        <f t="shared" si="103"/>
        <v>0</v>
      </c>
      <c r="GR112">
        <v>1</v>
      </c>
      <c r="GS112">
        <v>1</v>
      </c>
      <c r="GT112">
        <v>0</v>
      </c>
      <c r="GU112" t="s">
        <v>3</v>
      </c>
      <c r="GV112">
        <f t="shared" si="104"/>
        <v>0</v>
      </c>
      <c r="GW112">
        <v>1</v>
      </c>
      <c r="GX112">
        <f t="shared" si="105"/>
        <v>0</v>
      </c>
      <c r="HA112">
        <v>0</v>
      </c>
      <c r="HB112">
        <v>0</v>
      </c>
      <c r="HC112">
        <f t="shared" si="106"/>
        <v>0</v>
      </c>
      <c r="HE112" t="s">
        <v>55</v>
      </c>
      <c r="HF112" t="s">
        <v>27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E113" t="s">
        <v>252</v>
      </c>
      <c r="F113" t="s">
        <v>56</v>
      </c>
      <c r="G113" t="s">
        <v>94</v>
      </c>
      <c r="H113" t="s">
        <v>58</v>
      </c>
      <c r="I113">
        <v>4</v>
      </c>
      <c r="J113">
        <v>0</v>
      </c>
      <c r="K113">
        <v>4</v>
      </c>
      <c r="O113">
        <f t="shared" si="74"/>
        <v>717.66</v>
      </c>
      <c r="P113">
        <f t="shared" si="75"/>
        <v>717.66</v>
      </c>
      <c r="Q113">
        <f t="shared" si="76"/>
        <v>0</v>
      </c>
      <c r="R113">
        <f t="shared" si="77"/>
        <v>0</v>
      </c>
      <c r="S113">
        <f t="shared" si="78"/>
        <v>0</v>
      </c>
      <c r="T113">
        <f t="shared" si="79"/>
        <v>0</v>
      </c>
      <c r="U113">
        <f t="shared" si="80"/>
        <v>0</v>
      </c>
      <c r="V113">
        <f t="shared" si="81"/>
        <v>0</v>
      </c>
      <c r="W113">
        <f t="shared" si="82"/>
        <v>0</v>
      </c>
      <c r="X113">
        <f t="shared" si="83"/>
        <v>0</v>
      </c>
      <c r="Y113">
        <f t="shared" si="84"/>
        <v>0</v>
      </c>
      <c r="AA113">
        <v>145185703</v>
      </c>
      <c r="AB113">
        <f t="shared" si="85"/>
        <v>21.41</v>
      </c>
      <c r="AC113">
        <f t="shared" si="107"/>
        <v>21.41</v>
      </c>
      <c r="AD113">
        <f>ROUND((((ET113)-(EU113))+AE113),2)</f>
        <v>0</v>
      </c>
      <c r="AE113">
        <f t="shared" si="110"/>
        <v>0</v>
      </c>
      <c r="AF113">
        <f t="shared" si="110"/>
        <v>0</v>
      </c>
      <c r="AG113">
        <f t="shared" si="86"/>
        <v>0</v>
      </c>
      <c r="AH113">
        <f t="shared" si="111"/>
        <v>0</v>
      </c>
      <c r="AI113">
        <f t="shared" si="111"/>
        <v>0</v>
      </c>
      <c r="AJ113">
        <f t="shared" si="87"/>
        <v>0</v>
      </c>
      <c r="AK113">
        <v>21.41</v>
      </c>
      <c r="AL113">
        <v>21.41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8.3800000000000008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1</v>
      </c>
      <c r="BJ113" t="s">
        <v>3</v>
      </c>
      <c r="BM113">
        <v>1100</v>
      </c>
      <c r="BN113">
        <v>0</v>
      </c>
      <c r="BO113" t="s">
        <v>3</v>
      </c>
      <c r="BP113">
        <v>0</v>
      </c>
      <c r="BQ113">
        <v>8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88"/>
        <v>717.66</v>
      </c>
      <c r="CQ113">
        <f t="shared" si="89"/>
        <v>179.41580000000002</v>
      </c>
      <c r="CR113">
        <f>(((ET113)*BB113-(EU113)*BS113)+AE113*BS113)</f>
        <v>0</v>
      </c>
      <c r="CS113">
        <f t="shared" si="90"/>
        <v>0</v>
      </c>
      <c r="CT113">
        <f t="shared" si="91"/>
        <v>0</v>
      </c>
      <c r="CU113">
        <f t="shared" si="92"/>
        <v>0</v>
      </c>
      <c r="CV113">
        <f t="shared" si="93"/>
        <v>0</v>
      </c>
      <c r="CW113">
        <f t="shared" si="94"/>
        <v>0</v>
      </c>
      <c r="CX113">
        <f t="shared" si="95"/>
        <v>0</v>
      </c>
      <c r="CY113">
        <f t="shared" si="96"/>
        <v>0</v>
      </c>
      <c r="CZ113">
        <f t="shared" si="97"/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1010</v>
      </c>
      <c r="DV113" t="s">
        <v>58</v>
      </c>
      <c r="DW113" t="s">
        <v>58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140625274</v>
      </c>
      <c r="EF113">
        <v>8</v>
      </c>
      <c r="EG113" t="s">
        <v>22</v>
      </c>
      <c r="EH113">
        <v>0</v>
      </c>
      <c r="EI113" t="s">
        <v>3</v>
      </c>
      <c r="EJ113">
        <v>1</v>
      </c>
      <c r="EK113">
        <v>1100</v>
      </c>
      <c r="EL113" t="s">
        <v>23</v>
      </c>
      <c r="EM113" t="s">
        <v>24</v>
      </c>
      <c r="EO113" t="s">
        <v>3</v>
      </c>
      <c r="EQ113">
        <v>0</v>
      </c>
      <c r="ER113">
        <v>21.590000000000003</v>
      </c>
      <c r="ES113">
        <v>21.41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5</v>
      </c>
      <c r="FC113">
        <v>1</v>
      </c>
      <c r="FD113">
        <v>18</v>
      </c>
      <c r="FF113">
        <v>201</v>
      </c>
      <c r="FQ113">
        <v>0</v>
      </c>
      <c r="FR113">
        <f t="shared" si="98"/>
        <v>0</v>
      </c>
      <c r="FS113">
        <v>0</v>
      </c>
      <c r="FX113">
        <v>0</v>
      </c>
      <c r="FY113">
        <v>0</v>
      </c>
      <c r="GA113" t="s">
        <v>95</v>
      </c>
      <c r="GD113">
        <v>1</v>
      </c>
      <c r="GF113">
        <v>-1872019135</v>
      </c>
      <c r="GG113">
        <v>2</v>
      </c>
      <c r="GH113">
        <v>3</v>
      </c>
      <c r="GI113">
        <v>4</v>
      </c>
      <c r="GJ113">
        <v>0</v>
      </c>
      <c r="GK113">
        <v>0</v>
      </c>
      <c r="GL113">
        <f t="shared" si="99"/>
        <v>0</v>
      </c>
      <c r="GM113">
        <f t="shared" si="100"/>
        <v>717.66</v>
      </c>
      <c r="GN113">
        <f t="shared" si="101"/>
        <v>717.66</v>
      </c>
      <c r="GO113">
        <f t="shared" si="102"/>
        <v>0</v>
      </c>
      <c r="GP113">
        <f t="shared" si="103"/>
        <v>0</v>
      </c>
      <c r="GR113">
        <v>1</v>
      </c>
      <c r="GS113">
        <v>1</v>
      </c>
      <c r="GT113">
        <v>0</v>
      </c>
      <c r="GU113" t="s">
        <v>3</v>
      </c>
      <c r="GV113">
        <f t="shared" si="104"/>
        <v>0</v>
      </c>
      <c r="GW113">
        <v>1</v>
      </c>
      <c r="GX113">
        <f t="shared" si="105"/>
        <v>0</v>
      </c>
      <c r="HA113">
        <v>0</v>
      </c>
      <c r="HB113">
        <v>0</v>
      </c>
      <c r="HC113">
        <f t="shared" si="106"/>
        <v>0</v>
      </c>
      <c r="HE113" t="s">
        <v>55</v>
      </c>
      <c r="HF113" t="s">
        <v>27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C114">
        <f>ROW(SmtRes!A123)</f>
        <v>123</v>
      </c>
      <c r="D114">
        <f>ROW(EtalonRes!A123)</f>
        <v>123</v>
      </c>
      <c r="E114" t="s">
        <v>253</v>
      </c>
      <c r="F114" t="s">
        <v>97</v>
      </c>
      <c r="G114" t="s">
        <v>98</v>
      </c>
      <c r="H114" t="s">
        <v>72</v>
      </c>
      <c r="I114">
        <v>30</v>
      </c>
      <c r="J114">
        <v>0</v>
      </c>
      <c r="K114">
        <v>30</v>
      </c>
      <c r="O114">
        <f t="shared" si="74"/>
        <v>3771.04</v>
      </c>
      <c r="P114">
        <f t="shared" si="75"/>
        <v>1960.92</v>
      </c>
      <c r="Q114">
        <f t="shared" si="76"/>
        <v>0</v>
      </c>
      <c r="R114">
        <f t="shared" si="77"/>
        <v>0</v>
      </c>
      <c r="S114">
        <f t="shared" si="78"/>
        <v>1810.12</v>
      </c>
      <c r="T114">
        <f t="shared" si="79"/>
        <v>0</v>
      </c>
      <c r="U114">
        <f t="shared" si="80"/>
        <v>4.1399999999999997</v>
      </c>
      <c r="V114">
        <f t="shared" si="81"/>
        <v>0</v>
      </c>
      <c r="W114">
        <f t="shared" si="82"/>
        <v>0</v>
      </c>
      <c r="X114">
        <f t="shared" si="83"/>
        <v>1973.03</v>
      </c>
      <c r="Y114">
        <f t="shared" si="84"/>
        <v>877</v>
      </c>
      <c r="AA114">
        <v>145185703</v>
      </c>
      <c r="AB114">
        <f t="shared" si="85"/>
        <v>9.1199999999999992</v>
      </c>
      <c r="AC114">
        <f t="shared" si="107"/>
        <v>7.8</v>
      </c>
      <c r="AD114">
        <f>ROUND(((((ET114*1.25))-((EU114*1.25)))+AE114),2)</f>
        <v>0</v>
      </c>
      <c r="AE114">
        <f>ROUND(((EU114*1.25)),2)</f>
        <v>0</v>
      </c>
      <c r="AF114">
        <f>ROUND(((EV114*1.15)),2)</f>
        <v>1.32</v>
      </c>
      <c r="AG114">
        <f t="shared" si="86"/>
        <v>0</v>
      </c>
      <c r="AH114">
        <f>((EW114*1.15))</f>
        <v>0.13799999999999998</v>
      </c>
      <c r="AI114">
        <f>((EX114*1.25))</f>
        <v>0</v>
      </c>
      <c r="AJ114">
        <f t="shared" si="87"/>
        <v>0</v>
      </c>
      <c r="AK114">
        <v>8.9499999999999993</v>
      </c>
      <c r="AL114">
        <v>7.8</v>
      </c>
      <c r="AM114">
        <v>0</v>
      </c>
      <c r="AN114">
        <v>0</v>
      </c>
      <c r="AO114">
        <v>1.1499999999999999</v>
      </c>
      <c r="AP114">
        <v>0</v>
      </c>
      <c r="AQ114">
        <v>0.12</v>
      </c>
      <c r="AR114">
        <v>0</v>
      </c>
      <c r="AS114">
        <v>0</v>
      </c>
      <c r="AT114">
        <v>109</v>
      </c>
      <c r="AU114">
        <v>48.45</v>
      </c>
      <c r="AV114">
        <v>1</v>
      </c>
      <c r="AW114">
        <v>1</v>
      </c>
      <c r="AZ114">
        <v>1</v>
      </c>
      <c r="BA114">
        <v>45.71</v>
      </c>
      <c r="BB114">
        <v>13.41</v>
      </c>
      <c r="BC114">
        <v>8.3800000000000008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99</v>
      </c>
      <c r="BM114">
        <v>12001</v>
      </c>
      <c r="BN114">
        <v>0</v>
      </c>
      <c r="BO114" t="s">
        <v>3</v>
      </c>
      <c r="BP114">
        <v>0</v>
      </c>
      <c r="BQ114">
        <v>2</v>
      </c>
      <c r="BR114">
        <v>0</v>
      </c>
      <c r="BS114">
        <v>45.71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109</v>
      </c>
      <c r="CA114">
        <v>57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548</v>
      </c>
      <c r="CO114">
        <v>0</v>
      </c>
      <c r="CP114">
        <f t="shared" si="88"/>
        <v>3771.04</v>
      </c>
      <c r="CQ114">
        <f t="shared" si="89"/>
        <v>65.364000000000004</v>
      </c>
      <c r="CR114">
        <f>((((ET114*1.25))*BB114-((EU114*1.25))*BS114)+AE114*BS114)</f>
        <v>0</v>
      </c>
      <c r="CS114">
        <f t="shared" si="90"/>
        <v>0</v>
      </c>
      <c r="CT114">
        <f t="shared" si="91"/>
        <v>60.337200000000003</v>
      </c>
      <c r="CU114">
        <f t="shared" si="92"/>
        <v>0</v>
      </c>
      <c r="CV114">
        <f t="shared" si="93"/>
        <v>0.13799999999999998</v>
      </c>
      <c r="CW114">
        <f t="shared" si="94"/>
        <v>0</v>
      </c>
      <c r="CX114">
        <f t="shared" si="95"/>
        <v>0</v>
      </c>
      <c r="CY114">
        <f t="shared" si="96"/>
        <v>1973.0307999999998</v>
      </c>
      <c r="CZ114">
        <f t="shared" si="97"/>
        <v>877.00314000000003</v>
      </c>
      <c r="DC114" t="s">
        <v>3</v>
      </c>
      <c r="DD114" t="s">
        <v>3</v>
      </c>
      <c r="DE114" t="s">
        <v>42</v>
      </c>
      <c r="DF114" t="s">
        <v>42</v>
      </c>
      <c r="DG114" t="s">
        <v>43</v>
      </c>
      <c r="DH114" t="s">
        <v>3</v>
      </c>
      <c r="DI114" t="s">
        <v>43</v>
      </c>
      <c r="DJ114" t="s">
        <v>42</v>
      </c>
      <c r="DK114" t="s">
        <v>3</v>
      </c>
      <c r="DL114" t="s">
        <v>3</v>
      </c>
      <c r="DM114" t="s">
        <v>44</v>
      </c>
      <c r="DN114">
        <v>0</v>
      </c>
      <c r="DO114">
        <v>0</v>
      </c>
      <c r="DP114">
        <v>1</v>
      </c>
      <c r="DQ114">
        <v>1</v>
      </c>
      <c r="DU114">
        <v>1003</v>
      </c>
      <c r="DV114" t="s">
        <v>72</v>
      </c>
      <c r="DW114" t="s">
        <v>72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140625032</v>
      </c>
      <c r="EF114">
        <v>2</v>
      </c>
      <c r="EG114" t="s">
        <v>32</v>
      </c>
      <c r="EH114">
        <v>12</v>
      </c>
      <c r="EI114" t="s">
        <v>65</v>
      </c>
      <c r="EJ114">
        <v>1</v>
      </c>
      <c r="EK114">
        <v>12001</v>
      </c>
      <c r="EL114" t="s">
        <v>65</v>
      </c>
      <c r="EM114" t="s">
        <v>66</v>
      </c>
      <c r="EO114" t="s">
        <v>47</v>
      </c>
      <c r="EQ114">
        <v>0</v>
      </c>
      <c r="ER114">
        <v>8.9499999999999993</v>
      </c>
      <c r="ES114">
        <v>7.8</v>
      </c>
      <c r="ET114">
        <v>0</v>
      </c>
      <c r="EU114">
        <v>0</v>
      </c>
      <c r="EV114">
        <v>1.1499999999999999</v>
      </c>
      <c r="EW114">
        <v>0.12</v>
      </c>
      <c r="EX114">
        <v>0</v>
      </c>
      <c r="EY114">
        <v>0</v>
      </c>
      <c r="FQ114">
        <v>0</v>
      </c>
      <c r="FR114">
        <f t="shared" si="98"/>
        <v>0</v>
      </c>
      <c r="FS114">
        <v>0</v>
      </c>
      <c r="FX114">
        <v>109</v>
      </c>
      <c r="FY114">
        <v>48.45</v>
      </c>
      <c r="GA114" t="s">
        <v>3</v>
      </c>
      <c r="GD114">
        <v>1</v>
      </c>
      <c r="GF114">
        <v>-768605888</v>
      </c>
      <c r="GG114">
        <v>2</v>
      </c>
      <c r="GH114">
        <v>1</v>
      </c>
      <c r="GI114">
        <v>4</v>
      </c>
      <c r="GJ114">
        <v>0</v>
      </c>
      <c r="GK114">
        <v>0</v>
      </c>
      <c r="GL114">
        <f t="shared" si="99"/>
        <v>0</v>
      </c>
      <c r="GM114">
        <f t="shared" si="100"/>
        <v>6621.07</v>
      </c>
      <c r="GN114">
        <f t="shared" si="101"/>
        <v>6621.07</v>
      </c>
      <c r="GO114">
        <f t="shared" si="102"/>
        <v>0</v>
      </c>
      <c r="GP114">
        <f t="shared" si="103"/>
        <v>0</v>
      </c>
      <c r="GR114">
        <v>0</v>
      </c>
      <c r="GS114">
        <v>3</v>
      </c>
      <c r="GT114">
        <v>0</v>
      </c>
      <c r="GU114" t="s">
        <v>3</v>
      </c>
      <c r="GV114">
        <f t="shared" si="104"/>
        <v>0</v>
      </c>
      <c r="GW114">
        <v>1</v>
      </c>
      <c r="GX114">
        <f t="shared" si="105"/>
        <v>0</v>
      </c>
      <c r="HA114">
        <v>0</v>
      </c>
      <c r="HB114">
        <v>0</v>
      </c>
      <c r="HC114">
        <f t="shared" si="106"/>
        <v>0</v>
      </c>
      <c r="HE114" t="s">
        <v>3</v>
      </c>
      <c r="HF114" t="s">
        <v>3</v>
      </c>
      <c r="HM114" t="s">
        <v>3</v>
      </c>
      <c r="HN114" t="s">
        <v>67</v>
      </c>
      <c r="HO114" t="s">
        <v>68</v>
      </c>
      <c r="HP114" t="s">
        <v>65</v>
      </c>
      <c r="HQ114" t="s">
        <v>65</v>
      </c>
      <c r="IK114">
        <v>0</v>
      </c>
    </row>
    <row r="115" spans="1:245" x14ac:dyDescent="0.2">
      <c r="A115">
        <v>17</v>
      </c>
      <c r="B115">
        <v>1</v>
      </c>
      <c r="E115" t="s">
        <v>254</v>
      </c>
      <c r="F115" t="s">
        <v>56</v>
      </c>
      <c r="G115" t="s">
        <v>101</v>
      </c>
      <c r="H115" t="s">
        <v>58</v>
      </c>
      <c r="I115">
        <v>24</v>
      </c>
      <c r="J115">
        <v>0</v>
      </c>
      <c r="K115">
        <v>24</v>
      </c>
      <c r="O115">
        <f t="shared" si="74"/>
        <v>24311.39</v>
      </c>
      <c r="P115">
        <f t="shared" si="75"/>
        <v>24311.39</v>
      </c>
      <c r="Q115">
        <f t="shared" si="76"/>
        <v>0</v>
      </c>
      <c r="R115">
        <f t="shared" si="77"/>
        <v>0</v>
      </c>
      <c r="S115">
        <f t="shared" si="78"/>
        <v>0</v>
      </c>
      <c r="T115">
        <f t="shared" si="79"/>
        <v>0</v>
      </c>
      <c r="U115">
        <f t="shared" si="80"/>
        <v>0</v>
      </c>
      <c r="V115">
        <f t="shared" si="81"/>
        <v>0</v>
      </c>
      <c r="W115">
        <f t="shared" si="82"/>
        <v>0</v>
      </c>
      <c r="X115">
        <f t="shared" si="83"/>
        <v>0</v>
      </c>
      <c r="Y115">
        <f t="shared" si="84"/>
        <v>0</v>
      </c>
      <c r="AA115">
        <v>145185703</v>
      </c>
      <c r="AB115">
        <f t="shared" si="85"/>
        <v>120.88</v>
      </c>
      <c r="AC115">
        <f t="shared" si="107"/>
        <v>120.88</v>
      </c>
      <c r="AD115">
        <f>ROUND((((ET115)-(EU115))+AE115),2)</f>
        <v>0</v>
      </c>
      <c r="AE115">
        <f t="shared" ref="AE115:AF117" si="112">ROUND((EU115),2)</f>
        <v>0</v>
      </c>
      <c r="AF115">
        <f t="shared" si="112"/>
        <v>0</v>
      </c>
      <c r="AG115">
        <f t="shared" si="86"/>
        <v>0</v>
      </c>
      <c r="AH115">
        <f t="shared" ref="AH115:AI117" si="113">(EW115)</f>
        <v>0</v>
      </c>
      <c r="AI115">
        <f t="shared" si="113"/>
        <v>0</v>
      </c>
      <c r="AJ115">
        <f t="shared" si="87"/>
        <v>0</v>
      </c>
      <c r="AK115">
        <v>120.88000000000001</v>
      </c>
      <c r="AL115">
        <v>120.88000000000001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8.3800000000000008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1</v>
      </c>
      <c r="BJ115" t="s">
        <v>3</v>
      </c>
      <c r="BM115">
        <v>1100</v>
      </c>
      <c r="BN115">
        <v>0</v>
      </c>
      <c r="BO115" t="s">
        <v>3</v>
      </c>
      <c r="BP115">
        <v>0</v>
      </c>
      <c r="BQ115">
        <v>8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0</v>
      </c>
      <c r="CA115">
        <v>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88"/>
        <v>24311.39</v>
      </c>
      <c r="CQ115">
        <f t="shared" si="89"/>
        <v>1012.9744000000001</v>
      </c>
      <c r="CR115">
        <f>(((ET115)*BB115-(EU115)*BS115)+AE115*BS115)</f>
        <v>0</v>
      </c>
      <c r="CS115">
        <f t="shared" si="90"/>
        <v>0</v>
      </c>
      <c r="CT115">
        <f t="shared" si="91"/>
        <v>0</v>
      </c>
      <c r="CU115">
        <f t="shared" si="92"/>
        <v>0</v>
      </c>
      <c r="CV115">
        <f t="shared" si="93"/>
        <v>0</v>
      </c>
      <c r="CW115">
        <f t="shared" si="94"/>
        <v>0</v>
      </c>
      <c r="CX115">
        <f t="shared" si="95"/>
        <v>0</v>
      </c>
      <c r="CY115">
        <f t="shared" si="96"/>
        <v>0</v>
      </c>
      <c r="CZ115">
        <f t="shared" si="97"/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1010</v>
      </c>
      <c r="DV115" t="s">
        <v>58</v>
      </c>
      <c r="DW115" t="s">
        <v>58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140625274</v>
      </c>
      <c r="EF115">
        <v>8</v>
      </c>
      <c r="EG115" t="s">
        <v>22</v>
      </c>
      <c r="EH115">
        <v>0</v>
      </c>
      <c r="EI115" t="s">
        <v>3</v>
      </c>
      <c r="EJ115">
        <v>1</v>
      </c>
      <c r="EK115">
        <v>1100</v>
      </c>
      <c r="EL115" t="s">
        <v>23</v>
      </c>
      <c r="EM115" t="s">
        <v>24</v>
      </c>
      <c r="EO115" t="s">
        <v>3</v>
      </c>
      <c r="EQ115">
        <v>0</v>
      </c>
      <c r="ER115">
        <v>121.89999999999999</v>
      </c>
      <c r="ES115">
        <v>120.88000000000001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5</v>
      </c>
      <c r="FC115">
        <v>1</v>
      </c>
      <c r="FD115">
        <v>18</v>
      </c>
      <c r="FF115">
        <v>1135</v>
      </c>
      <c r="FQ115">
        <v>0</v>
      </c>
      <c r="FR115">
        <f t="shared" si="98"/>
        <v>0</v>
      </c>
      <c r="FS115">
        <v>0</v>
      </c>
      <c r="FX115">
        <v>0</v>
      </c>
      <c r="FY115">
        <v>0</v>
      </c>
      <c r="GA115" t="s">
        <v>102</v>
      </c>
      <c r="GD115">
        <v>1</v>
      </c>
      <c r="GF115">
        <v>-97933584</v>
      </c>
      <c r="GG115">
        <v>2</v>
      </c>
      <c r="GH115">
        <v>3</v>
      </c>
      <c r="GI115">
        <v>4</v>
      </c>
      <c r="GJ115">
        <v>0</v>
      </c>
      <c r="GK115">
        <v>0</v>
      </c>
      <c r="GL115">
        <f t="shared" si="99"/>
        <v>0</v>
      </c>
      <c r="GM115">
        <f t="shared" si="100"/>
        <v>24311.39</v>
      </c>
      <c r="GN115">
        <f t="shared" si="101"/>
        <v>24311.39</v>
      </c>
      <c r="GO115">
        <f t="shared" si="102"/>
        <v>0</v>
      </c>
      <c r="GP115">
        <f t="shared" si="103"/>
        <v>0</v>
      </c>
      <c r="GR115">
        <v>1</v>
      </c>
      <c r="GS115">
        <v>1</v>
      </c>
      <c r="GT115">
        <v>0</v>
      </c>
      <c r="GU115" t="s">
        <v>3</v>
      </c>
      <c r="GV115">
        <f t="shared" si="104"/>
        <v>0</v>
      </c>
      <c r="GW115">
        <v>1</v>
      </c>
      <c r="GX115">
        <f t="shared" si="105"/>
        <v>0</v>
      </c>
      <c r="HA115">
        <v>0</v>
      </c>
      <c r="HB115">
        <v>0</v>
      </c>
      <c r="HC115">
        <f t="shared" si="106"/>
        <v>0</v>
      </c>
      <c r="HE115" t="s">
        <v>55</v>
      </c>
      <c r="HF115" t="s">
        <v>27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E116" t="s">
        <v>255</v>
      </c>
      <c r="F116" t="s">
        <v>56</v>
      </c>
      <c r="G116" t="s">
        <v>256</v>
      </c>
      <c r="H116" t="s">
        <v>58</v>
      </c>
      <c r="I116">
        <v>4</v>
      </c>
      <c r="J116">
        <v>0</v>
      </c>
      <c r="K116">
        <v>4</v>
      </c>
      <c r="O116">
        <f t="shared" si="74"/>
        <v>2763.39</v>
      </c>
      <c r="P116">
        <f t="shared" si="75"/>
        <v>2763.39</v>
      </c>
      <c r="Q116">
        <f t="shared" si="76"/>
        <v>0</v>
      </c>
      <c r="R116">
        <f t="shared" si="77"/>
        <v>0</v>
      </c>
      <c r="S116">
        <f t="shared" si="78"/>
        <v>0</v>
      </c>
      <c r="T116">
        <f t="shared" si="79"/>
        <v>0</v>
      </c>
      <c r="U116">
        <f t="shared" si="80"/>
        <v>0</v>
      </c>
      <c r="V116">
        <f t="shared" si="81"/>
        <v>0</v>
      </c>
      <c r="W116">
        <f t="shared" si="82"/>
        <v>0</v>
      </c>
      <c r="X116">
        <f t="shared" si="83"/>
        <v>0</v>
      </c>
      <c r="Y116">
        <f t="shared" si="84"/>
        <v>0</v>
      </c>
      <c r="AA116">
        <v>145185703</v>
      </c>
      <c r="AB116">
        <f t="shared" si="85"/>
        <v>82.44</v>
      </c>
      <c r="AC116">
        <f t="shared" si="107"/>
        <v>82.44</v>
      </c>
      <c r="AD116">
        <f>ROUND((((ET116)-(EU116))+AE116),2)</f>
        <v>0</v>
      </c>
      <c r="AE116">
        <f t="shared" si="112"/>
        <v>0</v>
      </c>
      <c r="AF116">
        <f t="shared" si="112"/>
        <v>0</v>
      </c>
      <c r="AG116">
        <f t="shared" si="86"/>
        <v>0</v>
      </c>
      <c r="AH116">
        <f t="shared" si="113"/>
        <v>0</v>
      </c>
      <c r="AI116">
        <f t="shared" si="113"/>
        <v>0</v>
      </c>
      <c r="AJ116">
        <f t="shared" si="87"/>
        <v>0</v>
      </c>
      <c r="AK116">
        <v>82.44</v>
      </c>
      <c r="AL116">
        <v>82.44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8.3800000000000008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3</v>
      </c>
      <c r="BM116">
        <v>1100</v>
      </c>
      <c r="BN116">
        <v>0</v>
      </c>
      <c r="BO116" t="s">
        <v>3</v>
      </c>
      <c r="BP116">
        <v>0</v>
      </c>
      <c r="BQ116">
        <v>8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88"/>
        <v>2763.39</v>
      </c>
      <c r="CQ116">
        <f t="shared" si="89"/>
        <v>690.84720000000004</v>
      </c>
      <c r="CR116">
        <f>(((ET116)*BB116-(EU116)*BS116)+AE116*BS116)</f>
        <v>0</v>
      </c>
      <c r="CS116">
        <f t="shared" si="90"/>
        <v>0</v>
      </c>
      <c r="CT116">
        <f t="shared" si="91"/>
        <v>0</v>
      </c>
      <c r="CU116">
        <f t="shared" si="92"/>
        <v>0</v>
      </c>
      <c r="CV116">
        <f t="shared" si="93"/>
        <v>0</v>
      </c>
      <c r="CW116">
        <f t="shared" si="94"/>
        <v>0</v>
      </c>
      <c r="CX116">
        <f t="shared" si="95"/>
        <v>0</v>
      </c>
      <c r="CY116">
        <f t="shared" si="96"/>
        <v>0</v>
      </c>
      <c r="CZ116">
        <f t="shared" si="97"/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1010</v>
      </c>
      <c r="DV116" t="s">
        <v>58</v>
      </c>
      <c r="DW116" t="s">
        <v>58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140625274</v>
      </c>
      <c r="EF116">
        <v>8</v>
      </c>
      <c r="EG116" t="s">
        <v>22</v>
      </c>
      <c r="EH116">
        <v>0</v>
      </c>
      <c r="EI116" t="s">
        <v>3</v>
      </c>
      <c r="EJ116">
        <v>1</v>
      </c>
      <c r="EK116">
        <v>1100</v>
      </c>
      <c r="EL116" t="s">
        <v>23</v>
      </c>
      <c r="EM116" t="s">
        <v>24</v>
      </c>
      <c r="EO116" t="s">
        <v>3</v>
      </c>
      <c r="EQ116">
        <v>0</v>
      </c>
      <c r="ER116">
        <v>83.13</v>
      </c>
      <c r="ES116">
        <v>82.44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5</v>
      </c>
      <c r="FC116">
        <v>1</v>
      </c>
      <c r="FD116">
        <v>18</v>
      </c>
      <c r="FF116">
        <v>774</v>
      </c>
      <c r="FQ116">
        <v>0</v>
      </c>
      <c r="FR116">
        <f t="shared" si="98"/>
        <v>0</v>
      </c>
      <c r="FS116">
        <v>0</v>
      </c>
      <c r="FX116">
        <v>0</v>
      </c>
      <c r="FY116">
        <v>0</v>
      </c>
      <c r="GA116" t="s">
        <v>105</v>
      </c>
      <c r="GD116">
        <v>1</v>
      </c>
      <c r="GF116">
        <v>519228047</v>
      </c>
      <c r="GG116">
        <v>2</v>
      </c>
      <c r="GH116">
        <v>3</v>
      </c>
      <c r="GI116">
        <v>4</v>
      </c>
      <c r="GJ116">
        <v>0</v>
      </c>
      <c r="GK116">
        <v>0</v>
      </c>
      <c r="GL116">
        <f t="shared" si="99"/>
        <v>0</v>
      </c>
      <c r="GM116">
        <f t="shared" si="100"/>
        <v>2763.39</v>
      </c>
      <c r="GN116">
        <f t="shared" si="101"/>
        <v>2763.39</v>
      </c>
      <c r="GO116">
        <f t="shared" si="102"/>
        <v>0</v>
      </c>
      <c r="GP116">
        <f t="shared" si="103"/>
        <v>0</v>
      </c>
      <c r="GR116">
        <v>1</v>
      </c>
      <c r="GS116">
        <v>1</v>
      </c>
      <c r="GT116">
        <v>0</v>
      </c>
      <c r="GU116" t="s">
        <v>3</v>
      </c>
      <c r="GV116">
        <f t="shared" si="104"/>
        <v>0</v>
      </c>
      <c r="GW116">
        <v>1</v>
      </c>
      <c r="GX116">
        <f t="shared" si="105"/>
        <v>0</v>
      </c>
      <c r="HA116">
        <v>0</v>
      </c>
      <c r="HB116">
        <v>0</v>
      </c>
      <c r="HC116">
        <f t="shared" si="106"/>
        <v>0</v>
      </c>
      <c r="HE116" t="s">
        <v>55</v>
      </c>
      <c r="HF116" t="s">
        <v>27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E117" t="s">
        <v>257</v>
      </c>
      <c r="F117" t="s">
        <v>56</v>
      </c>
      <c r="G117" t="s">
        <v>107</v>
      </c>
      <c r="H117" t="s">
        <v>58</v>
      </c>
      <c r="I117">
        <v>24</v>
      </c>
      <c r="J117">
        <v>0</v>
      </c>
      <c r="K117">
        <v>24</v>
      </c>
      <c r="O117">
        <f t="shared" si="74"/>
        <v>5806.33</v>
      </c>
      <c r="P117">
        <f t="shared" si="75"/>
        <v>5806.33</v>
      </c>
      <c r="Q117">
        <f t="shared" si="76"/>
        <v>0</v>
      </c>
      <c r="R117">
        <f t="shared" si="77"/>
        <v>0</v>
      </c>
      <c r="S117">
        <f t="shared" si="78"/>
        <v>0</v>
      </c>
      <c r="T117">
        <f t="shared" si="79"/>
        <v>0</v>
      </c>
      <c r="U117">
        <f t="shared" si="80"/>
        <v>0</v>
      </c>
      <c r="V117">
        <f t="shared" si="81"/>
        <v>0</v>
      </c>
      <c r="W117">
        <f t="shared" si="82"/>
        <v>0</v>
      </c>
      <c r="X117">
        <f t="shared" si="83"/>
        <v>0</v>
      </c>
      <c r="Y117">
        <f t="shared" si="84"/>
        <v>0</v>
      </c>
      <c r="AA117">
        <v>145185703</v>
      </c>
      <c r="AB117">
        <f t="shared" si="85"/>
        <v>28.87</v>
      </c>
      <c r="AC117">
        <f t="shared" si="107"/>
        <v>28.87</v>
      </c>
      <c r="AD117">
        <f>ROUND((((ET117)-(EU117))+AE117),2)</f>
        <v>0</v>
      </c>
      <c r="AE117">
        <f t="shared" si="112"/>
        <v>0</v>
      </c>
      <c r="AF117">
        <f t="shared" si="112"/>
        <v>0</v>
      </c>
      <c r="AG117">
        <f t="shared" si="86"/>
        <v>0</v>
      </c>
      <c r="AH117">
        <f t="shared" si="113"/>
        <v>0</v>
      </c>
      <c r="AI117">
        <f t="shared" si="113"/>
        <v>0</v>
      </c>
      <c r="AJ117">
        <f t="shared" si="87"/>
        <v>0</v>
      </c>
      <c r="AK117">
        <v>28.87</v>
      </c>
      <c r="AL117">
        <v>28.87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8.3800000000000008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3</v>
      </c>
      <c r="BM117">
        <v>1100</v>
      </c>
      <c r="BN117">
        <v>0</v>
      </c>
      <c r="BO117" t="s">
        <v>3</v>
      </c>
      <c r="BP117">
        <v>0</v>
      </c>
      <c r="BQ117">
        <v>8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88"/>
        <v>5806.33</v>
      </c>
      <c r="CQ117">
        <f t="shared" si="89"/>
        <v>241.93060000000003</v>
      </c>
      <c r="CR117">
        <f>(((ET117)*BB117-(EU117)*BS117)+AE117*BS117)</f>
        <v>0</v>
      </c>
      <c r="CS117">
        <f t="shared" si="90"/>
        <v>0</v>
      </c>
      <c r="CT117">
        <f t="shared" si="91"/>
        <v>0</v>
      </c>
      <c r="CU117">
        <f t="shared" si="92"/>
        <v>0</v>
      </c>
      <c r="CV117">
        <f t="shared" si="93"/>
        <v>0</v>
      </c>
      <c r="CW117">
        <f t="shared" si="94"/>
        <v>0</v>
      </c>
      <c r="CX117">
        <f t="shared" si="95"/>
        <v>0</v>
      </c>
      <c r="CY117">
        <f t="shared" si="96"/>
        <v>0</v>
      </c>
      <c r="CZ117">
        <f t="shared" si="97"/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1010</v>
      </c>
      <c r="DV117" t="s">
        <v>58</v>
      </c>
      <c r="DW117" t="s">
        <v>58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140625274</v>
      </c>
      <c r="EF117">
        <v>8</v>
      </c>
      <c r="EG117" t="s">
        <v>22</v>
      </c>
      <c r="EH117">
        <v>0</v>
      </c>
      <c r="EI117" t="s">
        <v>3</v>
      </c>
      <c r="EJ117">
        <v>1</v>
      </c>
      <c r="EK117">
        <v>1100</v>
      </c>
      <c r="EL117" t="s">
        <v>23</v>
      </c>
      <c r="EM117" t="s">
        <v>24</v>
      </c>
      <c r="EO117" t="s">
        <v>3</v>
      </c>
      <c r="EQ117">
        <v>0</v>
      </c>
      <c r="ER117">
        <v>29.11</v>
      </c>
      <c r="ES117">
        <v>28.87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5</v>
      </c>
      <c r="FC117">
        <v>1</v>
      </c>
      <c r="FD117">
        <v>18</v>
      </c>
      <c r="FF117">
        <v>271</v>
      </c>
      <c r="FQ117">
        <v>0</v>
      </c>
      <c r="FR117">
        <f t="shared" si="98"/>
        <v>0</v>
      </c>
      <c r="FS117">
        <v>0</v>
      </c>
      <c r="FX117">
        <v>0</v>
      </c>
      <c r="FY117">
        <v>0</v>
      </c>
      <c r="GA117" t="s">
        <v>108</v>
      </c>
      <c r="GD117">
        <v>1</v>
      </c>
      <c r="GF117">
        <v>-46133690</v>
      </c>
      <c r="GG117">
        <v>2</v>
      </c>
      <c r="GH117">
        <v>3</v>
      </c>
      <c r="GI117">
        <v>4</v>
      </c>
      <c r="GJ117">
        <v>0</v>
      </c>
      <c r="GK117">
        <v>0</v>
      </c>
      <c r="GL117">
        <f t="shared" si="99"/>
        <v>0</v>
      </c>
      <c r="GM117">
        <f t="shared" si="100"/>
        <v>5806.33</v>
      </c>
      <c r="GN117">
        <f t="shared" si="101"/>
        <v>5806.33</v>
      </c>
      <c r="GO117">
        <f t="shared" si="102"/>
        <v>0</v>
      </c>
      <c r="GP117">
        <f t="shared" si="103"/>
        <v>0</v>
      </c>
      <c r="GR117">
        <v>1</v>
      </c>
      <c r="GS117">
        <v>1</v>
      </c>
      <c r="GT117">
        <v>0</v>
      </c>
      <c r="GU117" t="s">
        <v>3</v>
      </c>
      <c r="GV117">
        <f t="shared" si="104"/>
        <v>0</v>
      </c>
      <c r="GW117">
        <v>1</v>
      </c>
      <c r="GX117">
        <f t="shared" si="105"/>
        <v>0</v>
      </c>
      <c r="HA117">
        <v>0</v>
      </c>
      <c r="HB117">
        <v>0</v>
      </c>
      <c r="HC117">
        <f t="shared" si="106"/>
        <v>0</v>
      </c>
      <c r="HE117" t="s">
        <v>55</v>
      </c>
      <c r="HF117" t="s">
        <v>27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C118">
        <f>ROW(SmtRes!A125)</f>
        <v>125</v>
      </c>
      <c r="D118">
        <f>ROW(EtalonRes!A125)</f>
        <v>125</v>
      </c>
      <c r="E118" t="s">
        <v>258</v>
      </c>
      <c r="F118" t="s">
        <v>110</v>
      </c>
      <c r="G118" t="s">
        <v>111</v>
      </c>
      <c r="H118" t="s">
        <v>112</v>
      </c>
      <c r="I118">
        <v>4</v>
      </c>
      <c r="J118">
        <v>0</v>
      </c>
      <c r="K118">
        <v>4</v>
      </c>
      <c r="O118">
        <f t="shared" si="74"/>
        <v>363.85</v>
      </c>
      <c r="P118">
        <f t="shared" si="75"/>
        <v>0</v>
      </c>
      <c r="Q118">
        <f t="shared" si="76"/>
        <v>0</v>
      </c>
      <c r="R118">
        <f t="shared" si="77"/>
        <v>0</v>
      </c>
      <c r="S118">
        <f t="shared" si="78"/>
        <v>363.85</v>
      </c>
      <c r="T118">
        <f t="shared" si="79"/>
        <v>0</v>
      </c>
      <c r="U118">
        <f t="shared" si="80"/>
        <v>0.82799999999999996</v>
      </c>
      <c r="V118">
        <f t="shared" si="81"/>
        <v>0</v>
      </c>
      <c r="W118">
        <f t="shared" si="82"/>
        <v>0</v>
      </c>
      <c r="X118">
        <f t="shared" si="83"/>
        <v>396.6</v>
      </c>
      <c r="Y118">
        <f t="shared" si="84"/>
        <v>176.29</v>
      </c>
      <c r="AA118">
        <v>145185703</v>
      </c>
      <c r="AB118">
        <f t="shared" si="85"/>
        <v>1.99</v>
      </c>
      <c r="AC118">
        <f t="shared" si="107"/>
        <v>0</v>
      </c>
      <c r="AD118">
        <f>ROUND(((((ET118*1.25))-((EU118*1.25)))+AE118),2)</f>
        <v>0</v>
      </c>
      <c r="AE118">
        <f>ROUND(((EU118*1.25)),2)</f>
        <v>0</v>
      </c>
      <c r="AF118">
        <f>ROUND(((EV118*1.15)),2)</f>
        <v>1.99</v>
      </c>
      <c r="AG118">
        <f t="shared" si="86"/>
        <v>0</v>
      </c>
      <c r="AH118">
        <f>((EW118*1.15))</f>
        <v>0.20699999999999999</v>
      </c>
      <c r="AI118">
        <f>((EX118*1.25))</f>
        <v>0</v>
      </c>
      <c r="AJ118">
        <f t="shared" si="87"/>
        <v>0</v>
      </c>
      <c r="AK118">
        <v>1.73</v>
      </c>
      <c r="AL118">
        <v>0</v>
      </c>
      <c r="AM118">
        <v>0</v>
      </c>
      <c r="AN118">
        <v>0</v>
      </c>
      <c r="AO118">
        <v>1.73</v>
      </c>
      <c r="AP118">
        <v>0</v>
      </c>
      <c r="AQ118">
        <v>0.18</v>
      </c>
      <c r="AR118">
        <v>0</v>
      </c>
      <c r="AS118">
        <v>0</v>
      </c>
      <c r="AT118">
        <v>109</v>
      </c>
      <c r="AU118">
        <v>48.45</v>
      </c>
      <c r="AV118">
        <v>1</v>
      </c>
      <c r="AW118">
        <v>1</v>
      </c>
      <c r="AZ118">
        <v>1</v>
      </c>
      <c r="BA118">
        <v>45.71</v>
      </c>
      <c r="BB118">
        <v>13.41</v>
      </c>
      <c r="BC118">
        <v>8.3800000000000008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113</v>
      </c>
      <c r="BM118">
        <v>12001</v>
      </c>
      <c r="BN118">
        <v>0</v>
      </c>
      <c r="BO118" t="s">
        <v>3</v>
      </c>
      <c r="BP118">
        <v>0</v>
      </c>
      <c r="BQ118">
        <v>2</v>
      </c>
      <c r="BR118">
        <v>0</v>
      </c>
      <c r="BS118">
        <v>45.71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109</v>
      </c>
      <c r="CA118">
        <v>57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548</v>
      </c>
      <c r="CO118">
        <v>0</v>
      </c>
      <c r="CP118">
        <f t="shared" si="88"/>
        <v>363.85</v>
      </c>
      <c r="CQ118">
        <f t="shared" si="89"/>
        <v>0</v>
      </c>
      <c r="CR118">
        <f>((((ET118*1.25))*BB118-((EU118*1.25))*BS118)+AE118*BS118)</f>
        <v>0</v>
      </c>
      <c r="CS118">
        <f t="shared" si="90"/>
        <v>0</v>
      </c>
      <c r="CT118">
        <f t="shared" si="91"/>
        <v>90.962900000000005</v>
      </c>
      <c r="CU118">
        <f t="shared" si="92"/>
        <v>0</v>
      </c>
      <c r="CV118">
        <f t="shared" si="93"/>
        <v>0.20699999999999999</v>
      </c>
      <c r="CW118">
        <f t="shared" si="94"/>
        <v>0</v>
      </c>
      <c r="CX118">
        <f t="shared" si="95"/>
        <v>0</v>
      </c>
      <c r="CY118">
        <f t="shared" si="96"/>
        <v>396.59649999999999</v>
      </c>
      <c r="CZ118">
        <f t="shared" si="97"/>
        <v>176.285325</v>
      </c>
      <c r="DC118" t="s">
        <v>3</v>
      </c>
      <c r="DD118" t="s">
        <v>3</v>
      </c>
      <c r="DE118" t="s">
        <v>42</v>
      </c>
      <c r="DF118" t="s">
        <v>42</v>
      </c>
      <c r="DG118" t="s">
        <v>43</v>
      </c>
      <c r="DH118" t="s">
        <v>3</v>
      </c>
      <c r="DI118" t="s">
        <v>43</v>
      </c>
      <c r="DJ118" t="s">
        <v>42</v>
      </c>
      <c r="DK118" t="s">
        <v>3</v>
      </c>
      <c r="DL118" t="s">
        <v>3</v>
      </c>
      <c r="DM118" t="s">
        <v>44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112</v>
      </c>
      <c r="DW118" t="s">
        <v>112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140625032</v>
      </c>
      <c r="EF118">
        <v>2</v>
      </c>
      <c r="EG118" t="s">
        <v>32</v>
      </c>
      <c r="EH118">
        <v>12</v>
      </c>
      <c r="EI118" t="s">
        <v>65</v>
      </c>
      <c r="EJ118">
        <v>1</v>
      </c>
      <c r="EK118">
        <v>12001</v>
      </c>
      <c r="EL118" t="s">
        <v>65</v>
      </c>
      <c r="EM118" t="s">
        <v>66</v>
      </c>
      <c r="EO118" t="s">
        <v>47</v>
      </c>
      <c r="EQ118">
        <v>0</v>
      </c>
      <c r="ER118">
        <v>1.73</v>
      </c>
      <c r="ES118">
        <v>0</v>
      </c>
      <c r="ET118">
        <v>0</v>
      </c>
      <c r="EU118">
        <v>0</v>
      </c>
      <c r="EV118">
        <v>1.73</v>
      </c>
      <c r="EW118">
        <v>0.18</v>
      </c>
      <c r="EX118">
        <v>0</v>
      </c>
      <c r="EY118">
        <v>0</v>
      </c>
      <c r="FQ118">
        <v>0</v>
      </c>
      <c r="FR118">
        <f t="shared" si="98"/>
        <v>0</v>
      </c>
      <c r="FS118">
        <v>0</v>
      </c>
      <c r="FX118">
        <v>109</v>
      </c>
      <c r="FY118">
        <v>48.45</v>
      </c>
      <c r="GA118" t="s">
        <v>3</v>
      </c>
      <c r="GD118">
        <v>1</v>
      </c>
      <c r="GF118">
        <v>334947353</v>
      </c>
      <c r="GG118">
        <v>2</v>
      </c>
      <c r="GH118">
        <v>1</v>
      </c>
      <c r="GI118">
        <v>4</v>
      </c>
      <c r="GJ118">
        <v>0</v>
      </c>
      <c r="GK118">
        <v>0</v>
      </c>
      <c r="GL118">
        <f t="shared" si="99"/>
        <v>0</v>
      </c>
      <c r="GM118">
        <f t="shared" si="100"/>
        <v>936.74</v>
      </c>
      <c r="GN118">
        <f t="shared" si="101"/>
        <v>936.74</v>
      </c>
      <c r="GO118">
        <f t="shared" si="102"/>
        <v>0</v>
      </c>
      <c r="GP118">
        <f t="shared" si="103"/>
        <v>0</v>
      </c>
      <c r="GR118">
        <v>0</v>
      </c>
      <c r="GS118">
        <v>3</v>
      </c>
      <c r="GT118">
        <v>0</v>
      </c>
      <c r="GU118" t="s">
        <v>3</v>
      </c>
      <c r="GV118">
        <f t="shared" si="104"/>
        <v>0</v>
      </c>
      <c r="GW118">
        <v>1</v>
      </c>
      <c r="GX118">
        <f t="shared" si="105"/>
        <v>0</v>
      </c>
      <c r="HA118">
        <v>0</v>
      </c>
      <c r="HB118">
        <v>0</v>
      </c>
      <c r="HC118">
        <f t="shared" si="106"/>
        <v>0</v>
      </c>
      <c r="HE118" t="s">
        <v>3</v>
      </c>
      <c r="HF118" t="s">
        <v>3</v>
      </c>
      <c r="HM118" t="s">
        <v>3</v>
      </c>
      <c r="HN118" t="s">
        <v>67</v>
      </c>
      <c r="HO118" t="s">
        <v>68</v>
      </c>
      <c r="HP118" t="s">
        <v>65</v>
      </c>
      <c r="HQ118" t="s">
        <v>65</v>
      </c>
      <c r="IK118">
        <v>0</v>
      </c>
    </row>
    <row r="119" spans="1:245" x14ac:dyDescent="0.2">
      <c r="A119">
        <v>17</v>
      </c>
      <c r="B119">
        <v>1</v>
      </c>
      <c r="E119" t="s">
        <v>259</v>
      </c>
      <c r="F119" t="s">
        <v>56</v>
      </c>
      <c r="G119" t="s">
        <v>115</v>
      </c>
      <c r="H119" t="s">
        <v>58</v>
      </c>
      <c r="I119">
        <v>4</v>
      </c>
      <c r="J119">
        <v>0</v>
      </c>
      <c r="K119">
        <v>4</v>
      </c>
      <c r="O119">
        <f t="shared" si="74"/>
        <v>5144.6499999999996</v>
      </c>
      <c r="P119">
        <f t="shared" si="75"/>
        <v>5144.6499999999996</v>
      </c>
      <c r="Q119">
        <f t="shared" si="76"/>
        <v>0</v>
      </c>
      <c r="R119">
        <f t="shared" si="77"/>
        <v>0</v>
      </c>
      <c r="S119">
        <f t="shared" si="78"/>
        <v>0</v>
      </c>
      <c r="T119">
        <f t="shared" si="79"/>
        <v>0</v>
      </c>
      <c r="U119">
        <f t="shared" si="80"/>
        <v>0</v>
      </c>
      <c r="V119">
        <f t="shared" si="81"/>
        <v>0</v>
      </c>
      <c r="W119">
        <f t="shared" si="82"/>
        <v>0</v>
      </c>
      <c r="X119">
        <f t="shared" si="83"/>
        <v>0</v>
      </c>
      <c r="Y119">
        <f t="shared" si="84"/>
        <v>0</v>
      </c>
      <c r="AA119">
        <v>145185703</v>
      </c>
      <c r="AB119">
        <f t="shared" si="85"/>
        <v>153.47999999999999</v>
      </c>
      <c r="AC119">
        <f t="shared" si="107"/>
        <v>153.47999999999999</v>
      </c>
      <c r="AD119">
        <f>ROUND((((ET119)-(EU119))+AE119),2)</f>
        <v>0</v>
      </c>
      <c r="AE119">
        <f>ROUND((EU119),2)</f>
        <v>0</v>
      </c>
      <c r="AF119">
        <f>ROUND((EV119),2)</f>
        <v>0</v>
      </c>
      <c r="AG119">
        <f t="shared" si="86"/>
        <v>0</v>
      </c>
      <c r="AH119">
        <f>(EW119)</f>
        <v>0</v>
      </c>
      <c r="AI119">
        <f>(EX119)</f>
        <v>0</v>
      </c>
      <c r="AJ119">
        <f t="shared" si="87"/>
        <v>0</v>
      </c>
      <c r="AK119">
        <v>153.47999999999999</v>
      </c>
      <c r="AL119">
        <v>153.47999999999999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8.3800000000000008</v>
      </c>
      <c r="BD119" t="s">
        <v>3</v>
      </c>
      <c r="BE119" t="s">
        <v>3</v>
      </c>
      <c r="BF119" t="s">
        <v>3</v>
      </c>
      <c r="BG119" t="s">
        <v>3</v>
      </c>
      <c r="BH119">
        <v>3</v>
      </c>
      <c r="BI119">
        <v>1</v>
      </c>
      <c r="BJ119" t="s">
        <v>3</v>
      </c>
      <c r="BM119">
        <v>1100</v>
      </c>
      <c r="BN119">
        <v>0</v>
      </c>
      <c r="BO119" t="s">
        <v>3</v>
      </c>
      <c r="BP119">
        <v>0</v>
      </c>
      <c r="BQ119">
        <v>8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0</v>
      </c>
      <c r="CA119">
        <v>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88"/>
        <v>5144.6499999999996</v>
      </c>
      <c r="CQ119">
        <f t="shared" si="89"/>
        <v>1286.1623999999999</v>
      </c>
      <c r="CR119">
        <f>(((ET119)*BB119-(EU119)*BS119)+AE119*BS119)</f>
        <v>0</v>
      </c>
      <c r="CS119">
        <f t="shared" si="90"/>
        <v>0</v>
      </c>
      <c r="CT119">
        <f t="shared" si="91"/>
        <v>0</v>
      </c>
      <c r="CU119">
        <f t="shared" si="92"/>
        <v>0</v>
      </c>
      <c r="CV119">
        <f t="shared" si="93"/>
        <v>0</v>
      </c>
      <c r="CW119">
        <f t="shared" si="94"/>
        <v>0</v>
      </c>
      <c r="CX119">
        <f t="shared" si="95"/>
        <v>0</v>
      </c>
      <c r="CY119">
        <f t="shared" si="96"/>
        <v>0</v>
      </c>
      <c r="CZ119">
        <f t="shared" si="97"/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1010</v>
      </c>
      <c r="DV119" t="s">
        <v>58</v>
      </c>
      <c r="DW119" t="s">
        <v>58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140625274</v>
      </c>
      <c r="EF119">
        <v>8</v>
      </c>
      <c r="EG119" t="s">
        <v>22</v>
      </c>
      <c r="EH119">
        <v>0</v>
      </c>
      <c r="EI119" t="s">
        <v>3</v>
      </c>
      <c r="EJ119">
        <v>1</v>
      </c>
      <c r="EK119">
        <v>1100</v>
      </c>
      <c r="EL119" t="s">
        <v>23</v>
      </c>
      <c r="EM119" t="s">
        <v>24</v>
      </c>
      <c r="EO119" t="s">
        <v>3</v>
      </c>
      <c r="EQ119">
        <v>0</v>
      </c>
      <c r="ER119">
        <v>154.76</v>
      </c>
      <c r="ES119">
        <v>153.47999999999999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5</v>
      </c>
      <c r="FC119">
        <v>1</v>
      </c>
      <c r="FD119">
        <v>18</v>
      </c>
      <c r="FF119">
        <v>1441</v>
      </c>
      <c r="FQ119">
        <v>0</v>
      </c>
      <c r="FR119">
        <f t="shared" si="98"/>
        <v>0</v>
      </c>
      <c r="FS119">
        <v>0</v>
      </c>
      <c r="FX119">
        <v>0</v>
      </c>
      <c r="FY119">
        <v>0</v>
      </c>
      <c r="GA119" t="s">
        <v>116</v>
      </c>
      <c r="GD119">
        <v>1</v>
      </c>
      <c r="GF119">
        <v>-1024083727</v>
      </c>
      <c r="GG119">
        <v>2</v>
      </c>
      <c r="GH119">
        <v>3</v>
      </c>
      <c r="GI119">
        <v>4</v>
      </c>
      <c r="GJ119">
        <v>0</v>
      </c>
      <c r="GK119">
        <v>0</v>
      </c>
      <c r="GL119">
        <f t="shared" si="99"/>
        <v>0</v>
      </c>
      <c r="GM119">
        <f t="shared" si="100"/>
        <v>5144.6499999999996</v>
      </c>
      <c r="GN119">
        <f t="shared" si="101"/>
        <v>5144.6499999999996</v>
      </c>
      <c r="GO119">
        <f t="shared" si="102"/>
        <v>0</v>
      </c>
      <c r="GP119">
        <f t="shared" si="103"/>
        <v>0</v>
      </c>
      <c r="GR119">
        <v>1</v>
      </c>
      <c r="GS119">
        <v>1</v>
      </c>
      <c r="GT119">
        <v>0</v>
      </c>
      <c r="GU119" t="s">
        <v>3</v>
      </c>
      <c r="GV119">
        <f t="shared" si="104"/>
        <v>0</v>
      </c>
      <c r="GW119">
        <v>1</v>
      </c>
      <c r="GX119">
        <f t="shared" si="105"/>
        <v>0</v>
      </c>
      <c r="HA119">
        <v>0</v>
      </c>
      <c r="HB119">
        <v>0</v>
      </c>
      <c r="HC119">
        <f t="shared" si="106"/>
        <v>0</v>
      </c>
      <c r="HE119" t="s">
        <v>55</v>
      </c>
      <c r="HF119" t="s">
        <v>27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C120">
        <f>ROW(SmtRes!A127)</f>
        <v>127</v>
      </c>
      <c r="D120">
        <f>ROW(EtalonRes!A127)</f>
        <v>127</v>
      </c>
      <c r="E120" t="s">
        <v>260</v>
      </c>
      <c r="F120" t="s">
        <v>118</v>
      </c>
      <c r="G120" t="s">
        <v>119</v>
      </c>
      <c r="H120" t="s">
        <v>112</v>
      </c>
      <c r="I120">
        <v>8</v>
      </c>
      <c r="J120">
        <v>0</v>
      </c>
      <c r="K120">
        <v>8</v>
      </c>
      <c r="O120">
        <f t="shared" si="74"/>
        <v>482.7</v>
      </c>
      <c r="P120">
        <f t="shared" si="75"/>
        <v>0</v>
      </c>
      <c r="Q120">
        <f t="shared" si="76"/>
        <v>0</v>
      </c>
      <c r="R120">
        <f t="shared" si="77"/>
        <v>0</v>
      </c>
      <c r="S120">
        <f t="shared" si="78"/>
        <v>482.7</v>
      </c>
      <c r="T120">
        <f t="shared" si="79"/>
        <v>0</v>
      </c>
      <c r="U120">
        <f t="shared" si="80"/>
        <v>1.1039999999999999</v>
      </c>
      <c r="V120">
        <f t="shared" si="81"/>
        <v>0</v>
      </c>
      <c r="W120">
        <f t="shared" si="82"/>
        <v>0</v>
      </c>
      <c r="X120">
        <f t="shared" si="83"/>
        <v>526.14</v>
      </c>
      <c r="Y120">
        <f t="shared" si="84"/>
        <v>233.87</v>
      </c>
      <c r="AA120">
        <v>145185703</v>
      </c>
      <c r="AB120">
        <f t="shared" si="85"/>
        <v>1.32</v>
      </c>
      <c r="AC120">
        <f t="shared" si="107"/>
        <v>0</v>
      </c>
      <c r="AD120">
        <f>ROUND(((((ET120*1.25))-((EU120*1.25)))+AE120),2)</f>
        <v>0</v>
      </c>
      <c r="AE120">
        <f>ROUND(((EU120*1.25)),2)</f>
        <v>0</v>
      </c>
      <c r="AF120">
        <f>ROUND(((EV120*1.15)),2)</f>
        <v>1.32</v>
      </c>
      <c r="AG120">
        <f t="shared" si="86"/>
        <v>0</v>
      </c>
      <c r="AH120">
        <f>((EW120*1.15))</f>
        <v>0.13799999999999998</v>
      </c>
      <c r="AI120">
        <f>((EX120*1.25))</f>
        <v>0</v>
      </c>
      <c r="AJ120">
        <f t="shared" si="87"/>
        <v>0</v>
      </c>
      <c r="AK120">
        <v>1.1499999999999999</v>
      </c>
      <c r="AL120">
        <v>0</v>
      </c>
      <c r="AM120">
        <v>0</v>
      </c>
      <c r="AN120">
        <v>0</v>
      </c>
      <c r="AO120">
        <v>1.1499999999999999</v>
      </c>
      <c r="AP120">
        <v>0</v>
      </c>
      <c r="AQ120">
        <v>0.12</v>
      </c>
      <c r="AR120">
        <v>0</v>
      </c>
      <c r="AS120">
        <v>0</v>
      </c>
      <c r="AT120">
        <v>109</v>
      </c>
      <c r="AU120">
        <v>48.45</v>
      </c>
      <c r="AV120">
        <v>1</v>
      </c>
      <c r="AW120">
        <v>1</v>
      </c>
      <c r="AZ120">
        <v>1</v>
      </c>
      <c r="BA120">
        <v>45.71</v>
      </c>
      <c r="BB120">
        <v>13.41</v>
      </c>
      <c r="BC120">
        <v>8.3800000000000008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120</v>
      </c>
      <c r="BM120">
        <v>12001</v>
      </c>
      <c r="BN120">
        <v>0</v>
      </c>
      <c r="BO120" t="s">
        <v>3</v>
      </c>
      <c r="BP120">
        <v>0</v>
      </c>
      <c r="BQ120">
        <v>2</v>
      </c>
      <c r="BR120">
        <v>0</v>
      </c>
      <c r="BS120">
        <v>45.71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109</v>
      </c>
      <c r="CA120">
        <v>57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548</v>
      </c>
      <c r="CO120">
        <v>0</v>
      </c>
      <c r="CP120">
        <f t="shared" si="88"/>
        <v>482.7</v>
      </c>
      <c r="CQ120">
        <f t="shared" si="89"/>
        <v>0</v>
      </c>
      <c r="CR120">
        <f>((((ET120*1.25))*BB120-((EU120*1.25))*BS120)+AE120*BS120)</f>
        <v>0</v>
      </c>
      <c r="CS120">
        <f t="shared" si="90"/>
        <v>0</v>
      </c>
      <c r="CT120">
        <f t="shared" si="91"/>
        <v>60.337200000000003</v>
      </c>
      <c r="CU120">
        <f t="shared" si="92"/>
        <v>0</v>
      </c>
      <c r="CV120">
        <f t="shared" si="93"/>
        <v>0.13799999999999998</v>
      </c>
      <c r="CW120">
        <f t="shared" si="94"/>
        <v>0</v>
      </c>
      <c r="CX120">
        <f t="shared" si="95"/>
        <v>0</v>
      </c>
      <c r="CY120">
        <f t="shared" si="96"/>
        <v>526.14299999999992</v>
      </c>
      <c r="CZ120">
        <f t="shared" si="97"/>
        <v>233.86815000000001</v>
      </c>
      <c r="DC120" t="s">
        <v>3</v>
      </c>
      <c r="DD120" t="s">
        <v>3</v>
      </c>
      <c r="DE120" t="s">
        <v>42</v>
      </c>
      <c r="DF120" t="s">
        <v>42</v>
      </c>
      <c r="DG120" t="s">
        <v>43</v>
      </c>
      <c r="DH120" t="s">
        <v>3</v>
      </c>
      <c r="DI120" t="s">
        <v>43</v>
      </c>
      <c r="DJ120" t="s">
        <v>42</v>
      </c>
      <c r="DK120" t="s">
        <v>3</v>
      </c>
      <c r="DL120" t="s">
        <v>3</v>
      </c>
      <c r="DM120" t="s">
        <v>44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112</v>
      </c>
      <c r="DW120" t="s">
        <v>112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140625032</v>
      </c>
      <c r="EF120">
        <v>2</v>
      </c>
      <c r="EG120" t="s">
        <v>32</v>
      </c>
      <c r="EH120">
        <v>12</v>
      </c>
      <c r="EI120" t="s">
        <v>65</v>
      </c>
      <c r="EJ120">
        <v>1</v>
      </c>
      <c r="EK120">
        <v>12001</v>
      </c>
      <c r="EL120" t="s">
        <v>65</v>
      </c>
      <c r="EM120" t="s">
        <v>66</v>
      </c>
      <c r="EO120" t="s">
        <v>47</v>
      </c>
      <c r="EQ120">
        <v>0</v>
      </c>
      <c r="ER120">
        <v>1.1499999999999999</v>
      </c>
      <c r="ES120">
        <v>0</v>
      </c>
      <c r="ET120">
        <v>0</v>
      </c>
      <c r="EU120">
        <v>0</v>
      </c>
      <c r="EV120">
        <v>1.1499999999999999</v>
      </c>
      <c r="EW120">
        <v>0.12</v>
      </c>
      <c r="EX120">
        <v>0</v>
      </c>
      <c r="EY120">
        <v>0</v>
      </c>
      <c r="FQ120">
        <v>0</v>
      </c>
      <c r="FR120">
        <f t="shared" si="98"/>
        <v>0</v>
      </c>
      <c r="FS120">
        <v>0</v>
      </c>
      <c r="FX120">
        <v>109</v>
      </c>
      <c r="FY120">
        <v>48.45</v>
      </c>
      <c r="GA120" t="s">
        <v>3</v>
      </c>
      <c r="GD120">
        <v>1</v>
      </c>
      <c r="GF120">
        <v>1529107583</v>
      </c>
      <c r="GG120">
        <v>2</v>
      </c>
      <c r="GH120">
        <v>1</v>
      </c>
      <c r="GI120">
        <v>4</v>
      </c>
      <c r="GJ120">
        <v>0</v>
      </c>
      <c r="GK120">
        <v>0</v>
      </c>
      <c r="GL120">
        <f t="shared" si="99"/>
        <v>0</v>
      </c>
      <c r="GM120">
        <f t="shared" si="100"/>
        <v>1242.71</v>
      </c>
      <c r="GN120">
        <f t="shared" si="101"/>
        <v>1242.71</v>
      </c>
      <c r="GO120">
        <f t="shared" si="102"/>
        <v>0</v>
      </c>
      <c r="GP120">
        <f t="shared" si="103"/>
        <v>0</v>
      </c>
      <c r="GR120">
        <v>0</v>
      </c>
      <c r="GS120">
        <v>3</v>
      </c>
      <c r="GT120">
        <v>0</v>
      </c>
      <c r="GU120" t="s">
        <v>3</v>
      </c>
      <c r="GV120">
        <f t="shared" si="104"/>
        <v>0</v>
      </c>
      <c r="GW120">
        <v>1</v>
      </c>
      <c r="GX120">
        <f t="shared" si="105"/>
        <v>0</v>
      </c>
      <c r="HA120">
        <v>0</v>
      </c>
      <c r="HB120">
        <v>0</v>
      </c>
      <c r="HC120">
        <f t="shared" si="106"/>
        <v>0</v>
      </c>
      <c r="HE120" t="s">
        <v>3</v>
      </c>
      <c r="HF120" t="s">
        <v>3</v>
      </c>
      <c r="HM120" t="s">
        <v>3</v>
      </c>
      <c r="HN120" t="s">
        <v>67</v>
      </c>
      <c r="HO120" t="s">
        <v>68</v>
      </c>
      <c r="HP120" t="s">
        <v>65</v>
      </c>
      <c r="HQ120" t="s">
        <v>65</v>
      </c>
      <c r="IK120">
        <v>0</v>
      </c>
    </row>
    <row r="121" spans="1:245" x14ac:dyDescent="0.2">
      <c r="A121">
        <v>17</v>
      </c>
      <c r="B121">
        <v>1</v>
      </c>
      <c r="E121" t="s">
        <v>261</v>
      </c>
      <c r="F121" t="s">
        <v>56</v>
      </c>
      <c r="G121" t="s">
        <v>122</v>
      </c>
      <c r="H121" t="s">
        <v>58</v>
      </c>
      <c r="I121">
        <v>8</v>
      </c>
      <c r="J121">
        <v>0</v>
      </c>
      <c r="K121">
        <v>8</v>
      </c>
      <c r="O121">
        <f t="shared" si="74"/>
        <v>5526.78</v>
      </c>
      <c r="P121">
        <f t="shared" si="75"/>
        <v>5526.78</v>
      </c>
      <c r="Q121">
        <f t="shared" si="76"/>
        <v>0</v>
      </c>
      <c r="R121">
        <f t="shared" si="77"/>
        <v>0</v>
      </c>
      <c r="S121">
        <f t="shared" si="78"/>
        <v>0</v>
      </c>
      <c r="T121">
        <f t="shared" si="79"/>
        <v>0</v>
      </c>
      <c r="U121">
        <f t="shared" si="80"/>
        <v>0</v>
      </c>
      <c r="V121">
        <f t="shared" si="81"/>
        <v>0</v>
      </c>
      <c r="W121">
        <f t="shared" si="82"/>
        <v>0</v>
      </c>
      <c r="X121">
        <f t="shared" si="83"/>
        <v>0</v>
      </c>
      <c r="Y121">
        <f t="shared" si="84"/>
        <v>0</v>
      </c>
      <c r="AA121">
        <v>145185703</v>
      </c>
      <c r="AB121">
        <f t="shared" si="85"/>
        <v>82.44</v>
      </c>
      <c r="AC121">
        <f t="shared" si="107"/>
        <v>82.44</v>
      </c>
      <c r="AD121">
        <f>ROUND((((ET121)-(EU121))+AE121),2)</f>
        <v>0</v>
      </c>
      <c r="AE121">
        <f>ROUND((EU121),2)</f>
        <v>0</v>
      </c>
      <c r="AF121">
        <f>ROUND((EV121),2)</f>
        <v>0</v>
      </c>
      <c r="AG121">
        <f t="shared" si="86"/>
        <v>0</v>
      </c>
      <c r="AH121">
        <f>(EW121)</f>
        <v>0</v>
      </c>
      <c r="AI121">
        <f>(EX121)</f>
        <v>0</v>
      </c>
      <c r="AJ121">
        <f t="shared" si="87"/>
        <v>0</v>
      </c>
      <c r="AK121">
        <v>82.44</v>
      </c>
      <c r="AL121">
        <v>82.44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8.3800000000000008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1</v>
      </c>
      <c r="BJ121" t="s">
        <v>3</v>
      </c>
      <c r="BM121">
        <v>1100</v>
      </c>
      <c r="BN121">
        <v>0</v>
      </c>
      <c r="BO121" t="s">
        <v>3</v>
      </c>
      <c r="BP121">
        <v>0</v>
      </c>
      <c r="BQ121">
        <v>8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88"/>
        <v>5526.78</v>
      </c>
      <c r="CQ121">
        <f t="shared" si="89"/>
        <v>690.84720000000004</v>
      </c>
      <c r="CR121">
        <f>(((ET121)*BB121-(EU121)*BS121)+AE121*BS121)</f>
        <v>0</v>
      </c>
      <c r="CS121">
        <f t="shared" si="90"/>
        <v>0</v>
      </c>
      <c r="CT121">
        <f t="shared" si="91"/>
        <v>0</v>
      </c>
      <c r="CU121">
        <f t="shared" si="92"/>
        <v>0</v>
      </c>
      <c r="CV121">
        <f t="shared" si="93"/>
        <v>0</v>
      </c>
      <c r="CW121">
        <f t="shared" si="94"/>
        <v>0</v>
      </c>
      <c r="CX121">
        <f t="shared" si="95"/>
        <v>0</v>
      </c>
      <c r="CY121">
        <f t="shared" si="96"/>
        <v>0</v>
      </c>
      <c r="CZ121">
        <f t="shared" si="97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1010</v>
      </c>
      <c r="DV121" t="s">
        <v>58</v>
      </c>
      <c r="DW121" t="s">
        <v>58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140625274</v>
      </c>
      <c r="EF121">
        <v>8</v>
      </c>
      <c r="EG121" t="s">
        <v>22</v>
      </c>
      <c r="EH121">
        <v>0</v>
      </c>
      <c r="EI121" t="s">
        <v>3</v>
      </c>
      <c r="EJ121">
        <v>1</v>
      </c>
      <c r="EK121">
        <v>1100</v>
      </c>
      <c r="EL121" t="s">
        <v>23</v>
      </c>
      <c r="EM121" t="s">
        <v>24</v>
      </c>
      <c r="EO121" t="s">
        <v>3</v>
      </c>
      <c r="EQ121">
        <v>0</v>
      </c>
      <c r="ER121">
        <v>83.13</v>
      </c>
      <c r="ES121">
        <v>82.44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5</v>
      </c>
      <c r="FC121">
        <v>1</v>
      </c>
      <c r="FD121">
        <v>18</v>
      </c>
      <c r="FF121">
        <v>774</v>
      </c>
      <c r="FQ121">
        <v>0</v>
      </c>
      <c r="FR121">
        <f t="shared" si="98"/>
        <v>0</v>
      </c>
      <c r="FS121">
        <v>0</v>
      </c>
      <c r="FX121">
        <v>0</v>
      </c>
      <c r="FY121">
        <v>0</v>
      </c>
      <c r="GA121" t="s">
        <v>105</v>
      </c>
      <c r="GD121">
        <v>1</v>
      </c>
      <c r="GF121">
        <v>1479524019</v>
      </c>
      <c r="GG121">
        <v>2</v>
      </c>
      <c r="GH121">
        <v>3</v>
      </c>
      <c r="GI121">
        <v>4</v>
      </c>
      <c r="GJ121">
        <v>0</v>
      </c>
      <c r="GK121">
        <v>0</v>
      </c>
      <c r="GL121">
        <f t="shared" si="99"/>
        <v>0</v>
      </c>
      <c r="GM121">
        <f t="shared" si="100"/>
        <v>5526.78</v>
      </c>
      <c r="GN121">
        <f t="shared" si="101"/>
        <v>5526.78</v>
      </c>
      <c r="GO121">
        <f t="shared" si="102"/>
        <v>0</v>
      </c>
      <c r="GP121">
        <f t="shared" si="103"/>
        <v>0</v>
      </c>
      <c r="GR121">
        <v>1</v>
      </c>
      <c r="GS121">
        <v>1</v>
      </c>
      <c r="GT121">
        <v>0</v>
      </c>
      <c r="GU121" t="s">
        <v>3</v>
      </c>
      <c r="GV121">
        <f t="shared" si="104"/>
        <v>0</v>
      </c>
      <c r="GW121">
        <v>1</v>
      </c>
      <c r="GX121">
        <f t="shared" si="105"/>
        <v>0</v>
      </c>
      <c r="HA121">
        <v>0</v>
      </c>
      <c r="HB121">
        <v>0</v>
      </c>
      <c r="HC121">
        <f t="shared" si="106"/>
        <v>0</v>
      </c>
      <c r="HE121" t="s">
        <v>55</v>
      </c>
      <c r="HF121" t="s">
        <v>27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ROW(SmtRes!A134)</f>
        <v>134</v>
      </c>
      <c r="D122">
        <f>ROW(EtalonRes!A134)</f>
        <v>134</v>
      </c>
      <c r="E122" t="s">
        <v>262</v>
      </c>
      <c r="F122" t="s">
        <v>61</v>
      </c>
      <c r="G122" t="s">
        <v>62</v>
      </c>
      <c r="H122" t="s">
        <v>30</v>
      </c>
      <c r="I122">
        <f>ROUND(35.2/100,9)</f>
        <v>0.35199999999999998</v>
      </c>
      <c r="J122">
        <v>0</v>
      </c>
      <c r="K122">
        <f>ROUND(35.2/100,9)</f>
        <v>0.35199999999999998</v>
      </c>
      <c r="O122">
        <f t="shared" si="74"/>
        <v>34691.89</v>
      </c>
      <c r="P122">
        <f t="shared" si="75"/>
        <v>19221.169999999998</v>
      </c>
      <c r="Q122">
        <f t="shared" si="76"/>
        <v>129.13999999999999</v>
      </c>
      <c r="R122">
        <f t="shared" si="77"/>
        <v>70.63</v>
      </c>
      <c r="S122">
        <f t="shared" si="78"/>
        <v>15341.58</v>
      </c>
      <c r="T122">
        <f t="shared" si="79"/>
        <v>0</v>
      </c>
      <c r="U122">
        <f t="shared" si="80"/>
        <v>39.346559999999997</v>
      </c>
      <c r="V122">
        <f t="shared" si="81"/>
        <v>0.1188</v>
      </c>
      <c r="W122">
        <f t="shared" si="82"/>
        <v>0</v>
      </c>
      <c r="X122">
        <f t="shared" si="83"/>
        <v>16799.310000000001</v>
      </c>
      <c r="Y122">
        <f t="shared" si="84"/>
        <v>7467.22</v>
      </c>
      <c r="AA122">
        <v>145185703</v>
      </c>
      <c r="AB122">
        <f t="shared" si="85"/>
        <v>7497.02</v>
      </c>
      <c r="AC122">
        <f t="shared" si="107"/>
        <v>6516.18</v>
      </c>
      <c r="AD122">
        <f>ROUND(((((ET122*1.25))-((EU122*1.25)))+AE122),2)</f>
        <v>27.35</v>
      </c>
      <c r="AE122">
        <f>ROUND(((EU122*1.25)),2)</f>
        <v>4.3899999999999997</v>
      </c>
      <c r="AF122">
        <f>ROUND(((EV122*1.15)),2)</f>
        <v>953.49</v>
      </c>
      <c r="AG122">
        <f t="shared" si="86"/>
        <v>0</v>
      </c>
      <c r="AH122">
        <f>((EW122*1.15))</f>
        <v>111.78</v>
      </c>
      <c r="AI122">
        <f>((EX122*1.25))</f>
        <v>0.33750000000000002</v>
      </c>
      <c r="AJ122">
        <f t="shared" si="87"/>
        <v>0</v>
      </c>
      <c r="AK122">
        <v>7367.18</v>
      </c>
      <c r="AL122">
        <v>6516.18</v>
      </c>
      <c r="AM122">
        <v>21.88</v>
      </c>
      <c r="AN122">
        <v>3.51</v>
      </c>
      <c r="AO122">
        <v>829.12</v>
      </c>
      <c r="AP122">
        <v>0</v>
      </c>
      <c r="AQ122">
        <v>97.2</v>
      </c>
      <c r="AR122">
        <v>0.27</v>
      </c>
      <c r="AS122">
        <v>0</v>
      </c>
      <c r="AT122">
        <v>109</v>
      </c>
      <c r="AU122">
        <v>48.45</v>
      </c>
      <c r="AV122">
        <v>1</v>
      </c>
      <c r="AW122">
        <v>1</v>
      </c>
      <c r="AZ122">
        <v>1</v>
      </c>
      <c r="BA122">
        <v>45.71</v>
      </c>
      <c r="BB122">
        <v>13.41</v>
      </c>
      <c r="BC122">
        <v>8.3800000000000008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63</v>
      </c>
      <c r="BM122">
        <v>12001</v>
      </c>
      <c r="BN122">
        <v>0</v>
      </c>
      <c r="BO122" t="s">
        <v>3</v>
      </c>
      <c r="BP122">
        <v>0</v>
      </c>
      <c r="BQ122">
        <v>2</v>
      </c>
      <c r="BR122">
        <v>0</v>
      </c>
      <c r="BS122">
        <v>45.71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109</v>
      </c>
      <c r="CA122">
        <v>57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548</v>
      </c>
      <c r="CO122">
        <v>0</v>
      </c>
      <c r="CP122">
        <f t="shared" si="88"/>
        <v>34691.89</v>
      </c>
      <c r="CQ122">
        <f t="shared" si="89"/>
        <v>54605.588400000008</v>
      </c>
      <c r="CR122">
        <f>((((ET122*1.25))*BB122-((EU122*1.25))*BS122)+AE122*BS122)</f>
        <v>366.87777499999999</v>
      </c>
      <c r="CS122">
        <f t="shared" si="90"/>
        <v>200.6669</v>
      </c>
      <c r="CT122">
        <f t="shared" si="91"/>
        <v>43584.027900000001</v>
      </c>
      <c r="CU122">
        <f t="shared" si="92"/>
        <v>0</v>
      </c>
      <c r="CV122">
        <f t="shared" si="93"/>
        <v>111.78</v>
      </c>
      <c r="CW122">
        <f t="shared" si="94"/>
        <v>0.33750000000000002</v>
      </c>
      <c r="CX122">
        <f t="shared" si="95"/>
        <v>0</v>
      </c>
      <c r="CY122">
        <f t="shared" si="96"/>
        <v>16799.3089</v>
      </c>
      <c r="CZ122">
        <f t="shared" si="97"/>
        <v>7467.2157449999995</v>
      </c>
      <c r="DC122" t="s">
        <v>3</v>
      </c>
      <c r="DD122" t="s">
        <v>3</v>
      </c>
      <c r="DE122" t="s">
        <v>42</v>
      </c>
      <c r="DF122" t="s">
        <v>42</v>
      </c>
      <c r="DG122" t="s">
        <v>43</v>
      </c>
      <c r="DH122" t="s">
        <v>3</v>
      </c>
      <c r="DI122" t="s">
        <v>43</v>
      </c>
      <c r="DJ122" t="s">
        <v>42</v>
      </c>
      <c r="DK122" t="s">
        <v>3</v>
      </c>
      <c r="DL122" t="s">
        <v>3</v>
      </c>
      <c r="DM122" t="s">
        <v>44</v>
      </c>
      <c r="DN122">
        <v>0</v>
      </c>
      <c r="DO122">
        <v>0</v>
      </c>
      <c r="DP122">
        <v>1</v>
      </c>
      <c r="DQ122">
        <v>1</v>
      </c>
      <c r="DU122">
        <v>1005</v>
      </c>
      <c r="DV122" t="s">
        <v>30</v>
      </c>
      <c r="DW122" t="s">
        <v>30</v>
      </c>
      <c r="DX122">
        <v>100</v>
      </c>
      <c r="DZ122" t="s">
        <v>3</v>
      </c>
      <c r="EA122" t="s">
        <v>3</v>
      </c>
      <c r="EB122" t="s">
        <v>3</v>
      </c>
      <c r="EC122" t="s">
        <v>3</v>
      </c>
      <c r="EE122">
        <v>140625032</v>
      </c>
      <c r="EF122">
        <v>2</v>
      </c>
      <c r="EG122" t="s">
        <v>32</v>
      </c>
      <c r="EH122">
        <v>12</v>
      </c>
      <c r="EI122" t="s">
        <v>65</v>
      </c>
      <c r="EJ122">
        <v>1</v>
      </c>
      <c r="EK122">
        <v>12001</v>
      </c>
      <c r="EL122" t="s">
        <v>65</v>
      </c>
      <c r="EM122" t="s">
        <v>66</v>
      </c>
      <c r="EO122" t="s">
        <v>47</v>
      </c>
      <c r="EQ122">
        <v>0</v>
      </c>
      <c r="ER122">
        <v>7367.18</v>
      </c>
      <c r="ES122">
        <v>6516.18</v>
      </c>
      <c r="ET122">
        <v>21.88</v>
      </c>
      <c r="EU122">
        <v>3.51</v>
      </c>
      <c r="EV122">
        <v>829.12</v>
      </c>
      <c r="EW122">
        <v>97.2</v>
      </c>
      <c r="EX122">
        <v>0.27</v>
      </c>
      <c r="EY122">
        <v>0</v>
      </c>
      <c r="FQ122">
        <v>0</v>
      </c>
      <c r="FR122">
        <f t="shared" si="98"/>
        <v>0</v>
      </c>
      <c r="FS122">
        <v>0</v>
      </c>
      <c r="FX122">
        <v>109</v>
      </c>
      <c r="FY122">
        <v>48.45</v>
      </c>
      <c r="GA122" t="s">
        <v>3</v>
      </c>
      <c r="GD122">
        <v>1</v>
      </c>
      <c r="GF122">
        <v>-601591418</v>
      </c>
      <c r="GG122">
        <v>2</v>
      </c>
      <c r="GH122">
        <v>1</v>
      </c>
      <c r="GI122">
        <v>4</v>
      </c>
      <c r="GJ122">
        <v>0</v>
      </c>
      <c r="GK122">
        <v>0</v>
      </c>
      <c r="GL122">
        <f t="shared" si="99"/>
        <v>0</v>
      </c>
      <c r="GM122">
        <f t="shared" si="100"/>
        <v>58958.42</v>
      </c>
      <c r="GN122">
        <f t="shared" si="101"/>
        <v>58958.42</v>
      </c>
      <c r="GO122">
        <f t="shared" si="102"/>
        <v>0</v>
      </c>
      <c r="GP122">
        <f t="shared" si="103"/>
        <v>0</v>
      </c>
      <c r="GR122">
        <v>0</v>
      </c>
      <c r="GS122">
        <v>3</v>
      </c>
      <c r="GT122">
        <v>0</v>
      </c>
      <c r="GU122" t="s">
        <v>3</v>
      </c>
      <c r="GV122">
        <f t="shared" si="104"/>
        <v>0</v>
      </c>
      <c r="GW122">
        <v>1</v>
      </c>
      <c r="GX122">
        <f t="shared" si="105"/>
        <v>0</v>
      </c>
      <c r="HA122">
        <v>0</v>
      </c>
      <c r="HB122">
        <v>0</v>
      </c>
      <c r="HC122">
        <f t="shared" si="106"/>
        <v>0</v>
      </c>
      <c r="HE122" t="s">
        <v>3</v>
      </c>
      <c r="HF122" t="s">
        <v>3</v>
      </c>
      <c r="HM122" t="s">
        <v>3</v>
      </c>
      <c r="HN122" t="s">
        <v>67</v>
      </c>
      <c r="HO122" t="s">
        <v>68</v>
      </c>
      <c r="HP122" t="s">
        <v>65</v>
      </c>
      <c r="HQ122" t="s">
        <v>65</v>
      </c>
      <c r="IK122">
        <v>0</v>
      </c>
    </row>
    <row r="123" spans="1:245" x14ac:dyDescent="0.2">
      <c r="A123">
        <v>18</v>
      </c>
      <c r="B123">
        <v>1</v>
      </c>
      <c r="C123">
        <v>134</v>
      </c>
      <c r="E123" t="s">
        <v>263</v>
      </c>
      <c r="F123" t="s">
        <v>84</v>
      </c>
      <c r="G123" t="s">
        <v>85</v>
      </c>
      <c r="H123" t="s">
        <v>21</v>
      </c>
      <c r="I123">
        <f>I122*J123</f>
        <v>-0.20064000000000001</v>
      </c>
      <c r="J123">
        <v>-0.57000000000000006</v>
      </c>
      <c r="K123">
        <v>-0.56999999999999995</v>
      </c>
      <c r="O123">
        <f t="shared" si="74"/>
        <v>-18831.27</v>
      </c>
      <c r="P123">
        <f t="shared" si="75"/>
        <v>-18831.27</v>
      </c>
      <c r="Q123">
        <f t="shared" si="76"/>
        <v>0</v>
      </c>
      <c r="R123">
        <f t="shared" si="77"/>
        <v>0</v>
      </c>
      <c r="S123">
        <f t="shared" si="78"/>
        <v>0</v>
      </c>
      <c r="T123">
        <f t="shared" si="79"/>
        <v>0</v>
      </c>
      <c r="U123">
        <f t="shared" si="80"/>
        <v>0</v>
      </c>
      <c r="V123">
        <f t="shared" si="81"/>
        <v>0</v>
      </c>
      <c r="W123">
        <f t="shared" si="82"/>
        <v>0</v>
      </c>
      <c r="X123">
        <f t="shared" si="83"/>
        <v>0</v>
      </c>
      <c r="Y123">
        <f t="shared" si="84"/>
        <v>0</v>
      </c>
      <c r="AA123">
        <v>145185703</v>
      </c>
      <c r="AB123">
        <f t="shared" si="85"/>
        <v>11200</v>
      </c>
      <c r="AC123">
        <f t="shared" si="107"/>
        <v>11200</v>
      </c>
      <c r="AD123">
        <f t="shared" ref="AD123:AD128" si="114">ROUND((((ET123)-(EU123))+AE123),2)</f>
        <v>0</v>
      </c>
      <c r="AE123">
        <f t="shared" ref="AE123:AF128" si="115">ROUND((EU123),2)</f>
        <v>0</v>
      </c>
      <c r="AF123">
        <f t="shared" si="115"/>
        <v>0</v>
      </c>
      <c r="AG123">
        <f t="shared" si="86"/>
        <v>0</v>
      </c>
      <c r="AH123">
        <f t="shared" ref="AH123:AI128" si="116">(EW123)</f>
        <v>0</v>
      </c>
      <c r="AI123">
        <f t="shared" si="116"/>
        <v>0</v>
      </c>
      <c r="AJ123">
        <f t="shared" si="87"/>
        <v>0</v>
      </c>
      <c r="AK123">
        <v>11200</v>
      </c>
      <c r="AL123">
        <v>11200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109</v>
      </c>
      <c r="AU123">
        <v>57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8.3800000000000008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1</v>
      </c>
      <c r="BJ123" t="s">
        <v>86</v>
      </c>
      <c r="BM123">
        <v>12001</v>
      </c>
      <c r="BN123">
        <v>0</v>
      </c>
      <c r="BO123" t="s">
        <v>3</v>
      </c>
      <c r="BP123">
        <v>0</v>
      </c>
      <c r="BQ123">
        <v>2</v>
      </c>
      <c r="BR123">
        <v>1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109</v>
      </c>
      <c r="CA123">
        <v>57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88"/>
        <v>-18831.27</v>
      </c>
      <c r="CQ123">
        <f t="shared" si="89"/>
        <v>93856.000000000015</v>
      </c>
      <c r="CR123">
        <f t="shared" ref="CR123:CR128" si="117">(((ET123)*BB123-(EU123)*BS123)+AE123*BS123)</f>
        <v>0</v>
      </c>
      <c r="CS123">
        <f t="shared" si="90"/>
        <v>0</v>
      </c>
      <c r="CT123">
        <f t="shared" si="91"/>
        <v>0</v>
      </c>
      <c r="CU123">
        <f t="shared" si="92"/>
        <v>0</v>
      </c>
      <c r="CV123">
        <f t="shared" si="93"/>
        <v>0</v>
      </c>
      <c r="CW123">
        <f t="shared" si="94"/>
        <v>0</v>
      </c>
      <c r="CX123">
        <f t="shared" si="95"/>
        <v>0</v>
      </c>
      <c r="CY123">
        <f t="shared" si="96"/>
        <v>0</v>
      </c>
      <c r="CZ123">
        <f t="shared" si="97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1009</v>
      </c>
      <c r="DV123" t="s">
        <v>21</v>
      </c>
      <c r="DW123" t="s">
        <v>21</v>
      </c>
      <c r="DX123">
        <v>1000</v>
      </c>
      <c r="DZ123" t="s">
        <v>3</v>
      </c>
      <c r="EA123" t="s">
        <v>3</v>
      </c>
      <c r="EB123" t="s">
        <v>3</v>
      </c>
      <c r="EC123" t="s">
        <v>3</v>
      </c>
      <c r="EE123">
        <v>140625032</v>
      </c>
      <c r="EF123">
        <v>2</v>
      </c>
      <c r="EG123" t="s">
        <v>32</v>
      </c>
      <c r="EH123">
        <v>12</v>
      </c>
      <c r="EI123" t="s">
        <v>65</v>
      </c>
      <c r="EJ123">
        <v>1</v>
      </c>
      <c r="EK123">
        <v>12001</v>
      </c>
      <c r="EL123" t="s">
        <v>65</v>
      </c>
      <c r="EM123" t="s">
        <v>66</v>
      </c>
      <c r="EO123" t="s">
        <v>3</v>
      </c>
      <c r="EQ123">
        <v>32768</v>
      </c>
      <c r="ER123">
        <v>11200</v>
      </c>
      <c r="ES123">
        <v>11200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f t="shared" si="98"/>
        <v>0</v>
      </c>
      <c r="FS123">
        <v>0</v>
      </c>
      <c r="FX123">
        <v>109</v>
      </c>
      <c r="FY123">
        <v>57</v>
      </c>
      <c r="GA123" t="s">
        <v>3</v>
      </c>
      <c r="GD123">
        <v>1</v>
      </c>
      <c r="GF123">
        <v>-509681559</v>
      </c>
      <c r="GG123">
        <v>2</v>
      </c>
      <c r="GH123">
        <v>1</v>
      </c>
      <c r="GI123">
        <v>4</v>
      </c>
      <c r="GJ123">
        <v>0</v>
      </c>
      <c r="GK123">
        <v>0</v>
      </c>
      <c r="GL123">
        <f t="shared" si="99"/>
        <v>0</v>
      </c>
      <c r="GM123">
        <f t="shared" si="100"/>
        <v>-18831.27</v>
      </c>
      <c r="GN123">
        <f t="shared" si="101"/>
        <v>-18831.27</v>
      </c>
      <c r="GO123">
        <f t="shared" si="102"/>
        <v>0</v>
      </c>
      <c r="GP123">
        <f t="shared" si="103"/>
        <v>0</v>
      </c>
      <c r="GR123">
        <v>0</v>
      </c>
      <c r="GS123">
        <v>3</v>
      </c>
      <c r="GT123">
        <v>0</v>
      </c>
      <c r="GU123" t="s">
        <v>3</v>
      </c>
      <c r="GV123">
        <f t="shared" si="104"/>
        <v>0</v>
      </c>
      <c r="GW123">
        <v>1</v>
      </c>
      <c r="GX123">
        <f t="shared" si="105"/>
        <v>0</v>
      </c>
      <c r="HA123">
        <v>0</v>
      </c>
      <c r="HB123">
        <v>0</v>
      </c>
      <c r="HC123">
        <f t="shared" si="106"/>
        <v>0</v>
      </c>
      <c r="HE123" t="s">
        <v>3</v>
      </c>
      <c r="HF123" t="s">
        <v>3</v>
      </c>
      <c r="HM123" t="s">
        <v>3</v>
      </c>
      <c r="HN123" t="s">
        <v>67</v>
      </c>
      <c r="HO123" t="s">
        <v>68</v>
      </c>
      <c r="HP123" t="s">
        <v>65</v>
      </c>
      <c r="HQ123" t="s">
        <v>65</v>
      </c>
      <c r="IK123">
        <v>0</v>
      </c>
    </row>
    <row r="124" spans="1:245" x14ac:dyDescent="0.2">
      <c r="A124">
        <v>17</v>
      </c>
      <c r="B124">
        <v>1</v>
      </c>
      <c r="E124" t="s">
        <v>264</v>
      </c>
      <c r="F124" t="s">
        <v>56</v>
      </c>
      <c r="G124" t="s">
        <v>126</v>
      </c>
      <c r="H124" t="s">
        <v>21</v>
      </c>
      <c r="I124">
        <f>ROUND(ROUND(35.2*5.5*1.22/1000,4),9)</f>
        <v>0.23619999999999999</v>
      </c>
      <c r="J124">
        <v>0</v>
      </c>
      <c r="K124">
        <f>ROUND(ROUND(35.2*5.5*1.22/1000,4),9)</f>
        <v>0.23619999999999999</v>
      </c>
      <c r="O124">
        <f t="shared" si="74"/>
        <v>23758.11</v>
      </c>
      <c r="P124">
        <f t="shared" si="75"/>
        <v>23758.11</v>
      </c>
      <c r="Q124">
        <f t="shared" si="76"/>
        <v>0</v>
      </c>
      <c r="R124">
        <f t="shared" si="77"/>
        <v>0</v>
      </c>
      <c r="S124">
        <f t="shared" si="78"/>
        <v>0</v>
      </c>
      <c r="T124">
        <f t="shared" si="79"/>
        <v>0</v>
      </c>
      <c r="U124">
        <f t="shared" si="80"/>
        <v>0</v>
      </c>
      <c r="V124">
        <f t="shared" si="81"/>
        <v>0</v>
      </c>
      <c r="W124">
        <f t="shared" si="82"/>
        <v>0</v>
      </c>
      <c r="X124">
        <f t="shared" si="83"/>
        <v>0</v>
      </c>
      <c r="Y124">
        <f t="shared" si="84"/>
        <v>0</v>
      </c>
      <c r="AA124">
        <v>145185703</v>
      </c>
      <c r="AB124">
        <f t="shared" si="85"/>
        <v>12002.95</v>
      </c>
      <c r="AC124">
        <f t="shared" si="107"/>
        <v>12002.95</v>
      </c>
      <c r="AD124">
        <f t="shared" si="114"/>
        <v>0</v>
      </c>
      <c r="AE124">
        <f t="shared" si="115"/>
        <v>0</v>
      </c>
      <c r="AF124">
        <f t="shared" si="115"/>
        <v>0</v>
      </c>
      <c r="AG124">
        <f t="shared" si="86"/>
        <v>0</v>
      </c>
      <c r="AH124">
        <f t="shared" si="116"/>
        <v>0</v>
      </c>
      <c r="AI124">
        <f t="shared" si="116"/>
        <v>0</v>
      </c>
      <c r="AJ124">
        <f t="shared" si="87"/>
        <v>0</v>
      </c>
      <c r="AK124">
        <v>12002.95</v>
      </c>
      <c r="AL124">
        <v>12002.95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8.3800000000000008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1</v>
      </c>
      <c r="BJ124" t="s">
        <v>3</v>
      </c>
      <c r="BM124">
        <v>1100</v>
      </c>
      <c r="BN124">
        <v>0</v>
      </c>
      <c r="BO124" t="s">
        <v>3</v>
      </c>
      <c r="BP124">
        <v>0</v>
      </c>
      <c r="BQ124">
        <v>8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88"/>
        <v>23758.11</v>
      </c>
      <c r="CQ124">
        <f t="shared" si="89"/>
        <v>100584.72100000002</v>
      </c>
      <c r="CR124">
        <f t="shared" si="117"/>
        <v>0</v>
      </c>
      <c r="CS124">
        <f t="shared" si="90"/>
        <v>0</v>
      </c>
      <c r="CT124">
        <f t="shared" si="91"/>
        <v>0</v>
      </c>
      <c r="CU124">
        <f t="shared" si="92"/>
        <v>0</v>
      </c>
      <c r="CV124">
        <f t="shared" si="93"/>
        <v>0</v>
      </c>
      <c r="CW124">
        <f t="shared" si="94"/>
        <v>0</v>
      </c>
      <c r="CX124">
        <f t="shared" si="95"/>
        <v>0</v>
      </c>
      <c r="CY124">
        <f t="shared" si="96"/>
        <v>0</v>
      </c>
      <c r="CZ124">
        <f t="shared" si="97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1009</v>
      </c>
      <c r="DV124" t="s">
        <v>21</v>
      </c>
      <c r="DW124" t="s">
        <v>21</v>
      </c>
      <c r="DX124">
        <v>1000</v>
      </c>
      <c r="DZ124" t="s">
        <v>3</v>
      </c>
      <c r="EA124" t="s">
        <v>3</v>
      </c>
      <c r="EB124" t="s">
        <v>3</v>
      </c>
      <c r="EC124" t="s">
        <v>3</v>
      </c>
      <c r="EE124">
        <v>140625274</v>
      </c>
      <c r="EF124">
        <v>8</v>
      </c>
      <c r="EG124" t="s">
        <v>22</v>
      </c>
      <c r="EH124">
        <v>0</v>
      </c>
      <c r="EI124" t="s">
        <v>3</v>
      </c>
      <c r="EJ124">
        <v>1</v>
      </c>
      <c r="EK124">
        <v>1100</v>
      </c>
      <c r="EL124" t="s">
        <v>23</v>
      </c>
      <c r="EM124" t="s">
        <v>24</v>
      </c>
      <c r="EO124" t="s">
        <v>3</v>
      </c>
      <c r="EQ124">
        <v>0</v>
      </c>
      <c r="ER124">
        <v>12104.05</v>
      </c>
      <c r="ES124">
        <v>12002.95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5</v>
      </c>
      <c r="FC124">
        <v>1</v>
      </c>
      <c r="FD124">
        <v>18</v>
      </c>
      <c r="FF124">
        <v>112700</v>
      </c>
      <c r="FQ124">
        <v>0</v>
      </c>
      <c r="FR124">
        <f t="shared" si="98"/>
        <v>0</v>
      </c>
      <c r="FS124">
        <v>0</v>
      </c>
      <c r="FX124">
        <v>0</v>
      </c>
      <c r="FY124">
        <v>0</v>
      </c>
      <c r="GA124" t="s">
        <v>127</v>
      </c>
      <c r="GD124">
        <v>1</v>
      </c>
      <c r="GF124">
        <v>-516843514</v>
      </c>
      <c r="GG124">
        <v>2</v>
      </c>
      <c r="GH124">
        <v>3</v>
      </c>
      <c r="GI124">
        <v>4</v>
      </c>
      <c r="GJ124">
        <v>0</v>
      </c>
      <c r="GK124">
        <v>0</v>
      </c>
      <c r="GL124">
        <f t="shared" si="99"/>
        <v>0</v>
      </c>
      <c r="GM124">
        <f t="shared" si="100"/>
        <v>23758.11</v>
      </c>
      <c r="GN124">
        <f t="shared" si="101"/>
        <v>23758.11</v>
      </c>
      <c r="GO124">
        <f t="shared" si="102"/>
        <v>0</v>
      </c>
      <c r="GP124">
        <f t="shared" si="103"/>
        <v>0</v>
      </c>
      <c r="GR124">
        <v>1</v>
      </c>
      <c r="GS124">
        <v>1</v>
      </c>
      <c r="GT124">
        <v>0</v>
      </c>
      <c r="GU124" t="s">
        <v>3</v>
      </c>
      <c r="GV124">
        <f t="shared" si="104"/>
        <v>0</v>
      </c>
      <c r="GW124">
        <v>1</v>
      </c>
      <c r="GX124">
        <f t="shared" si="105"/>
        <v>0</v>
      </c>
      <c r="HA124">
        <v>0</v>
      </c>
      <c r="HB124">
        <v>0</v>
      </c>
      <c r="HC124">
        <f t="shared" si="106"/>
        <v>0</v>
      </c>
      <c r="HE124" t="s">
        <v>55</v>
      </c>
      <c r="HF124" t="s">
        <v>27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E125" t="s">
        <v>265</v>
      </c>
      <c r="F125" t="s">
        <v>56</v>
      </c>
      <c r="G125" t="s">
        <v>57</v>
      </c>
      <c r="H125" t="s">
        <v>58</v>
      </c>
      <c r="I125">
        <f>ROUND(I122*1000,9)</f>
        <v>352</v>
      </c>
      <c r="J125">
        <v>0</v>
      </c>
      <c r="K125">
        <f>ROUND(I122*1000,9)</f>
        <v>352</v>
      </c>
      <c r="O125">
        <f t="shared" si="74"/>
        <v>1592.87</v>
      </c>
      <c r="P125">
        <f t="shared" si="75"/>
        <v>1592.87</v>
      </c>
      <c r="Q125">
        <f t="shared" si="76"/>
        <v>0</v>
      </c>
      <c r="R125">
        <f t="shared" si="77"/>
        <v>0</v>
      </c>
      <c r="S125">
        <f t="shared" si="78"/>
        <v>0</v>
      </c>
      <c r="T125">
        <f t="shared" si="79"/>
        <v>0</v>
      </c>
      <c r="U125">
        <f t="shared" si="80"/>
        <v>0</v>
      </c>
      <c r="V125">
        <f t="shared" si="81"/>
        <v>0</v>
      </c>
      <c r="W125">
        <f t="shared" si="82"/>
        <v>0</v>
      </c>
      <c r="X125">
        <f t="shared" si="83"/>
        <v>0</v>
      </c>
      <c r="Y125">
        <f t="shared" si="84"/>
        <v>0</v>
      </c>
      <c r="AA125">
        <v>145185703</v>
      </c>
      <c r="AB125">
        <f t="shared" si="85"/>
        <v>0.54</v>
      </c>
      <c r="AC125">
        <f t="shared" si="107"/>
        <v>0.54</v>
      </c>
      <c r="AD125">
        <f t="shared" si="114"/>
        <v>0</v>
      </c>
      <c r="AE125">
        <f t="shared" si="115"/>
        <v>0</v>
      </c>
      <c r="AF125">
        <f t="shared" si="115"/>
        <v>0</v>
      </c>
      <c r="AG125">
        <f t="shared" si="86"/>
        <v>0</v>
      </c>
      <c r="AH125">
        <f t="shared" si="116"/>
        <v>0</v>
      </c>
      <c r="AI125">
        <f t="shared" si="116"/>
        <v>0</v>
      </c>
      <c r="AJ125">
        <f t="shared" si="87"/>
        <v>0</v>
      </c>
      <c r="AK125">
        <v>0.54</v>
      </c>
      <c r="AL125">
        <v>0.54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8.3800000000000008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1</v>
      </c>
      <c r="BJ125" t="s">
        <v>3</v>
      </c>
      <c r="BM125">
        <v>1100</v>
      </c>
      <c r="BN125">
        <v>0</v>
      </c>
      <c r="BO125" t="s">
        <v>3</v>
      </c>
      <c r="BP125">
        <v>0</v>
      </c>
      <c r="BQ125">
        <v>8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88"/>
        <v>1592.87</v>
      </c>
      <c r="CQ125">
        <f t="shared" si="89"/>
        <v>4.5252000000000008</v>
      </c>
      <c r="CR125">
        <f t="shared" si="117"/>
        <v>0</v>
      </c>
      <c r="CS125">
        <f t="shared" si="90"/>
        <v>0</v>
      </c>
      <c r="CT125">
        <f t="shared" si="91"/>
        <v>0</v>
      </c>
      <c r="CU125">
        <f t="shared" si="92"/>
        <v>0</v>
      </c>
      <c r="CV125">
        <f t="shared" si="93"/>
        <v>0</v>
      </c>
      <c r="CW125">
        <f t="shared" si="94"/>
        <v>0</v>
      </c>
      <c r="CX125">
        <f t="shared" si="95"/>
        <v>0</v>
      </c>
      <c r="CY125">
        <f t="shared" si="96"/>
        <v>0</v>
      </c>
      <c r="CZ125">
        <f t="shared" si="97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58</v>
      </c>
      <c r="DW125" t="s">
        <v>58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140625274</v>
      </c>
      <c r="EF125">
        <v>8</v>
      </c>
      <c r="EG125" t="s">
        <v>22</v>
      </c>
      <c r="EH125">
        <v>0</v>
      </c>
      <c r="EI125" t="s">
        <v>3</v>
      </c>
      <c r="EJ125">
        <v>1</v>
      </c>
      <c r="EK125">
        <v>1100</v>
      </c>
      <c r="EL125" t="s">
        <v>23</v>
      </c>
      <c r="EM125" t="s">
        <v>24</v>
      </c>
      <c r="EO125" t="s">
        <v>3</v>
      </c>
      <c r="EQ125">
        <v>0</v>
      </c>
      <c r="ER125">
        <v>0.54</v>
      </c>
      <c r="ES125">
        <v>0.54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5</v>
      </c>
      <c r="FC125">
        <v>1</v>
      </c>
      <c r="FD125">
        <v>18</v>
      </c>
      <c r="FF125">
        <v>5</v>
      </c>
      <c r="FQ125">
        <v>0</v>
      </c>
      <c r="FR125">
        <f t="shared" si="98"/>
        <v>0</v>
      </c>
      <c r="FS125">
        <v>0</v>
      </c>
      <c r="FX125">
        <v>0</v>
      </c>
      <c r="FY125">
        <v>0</v>
      </c>
      <c r="GA125" t="s">
        <v>59</v>
      </c>
      <c r="GD125">
        <v>1</v>
      </c>
      <c r="GF125">
        <v>-1778612597</v>
      </c>
      <c r="GG125">
        <v>2</v>
      </c>
      <c r="GH125">
        <v>3</v>
      </c>
      <c r="GI125">
        <v>4</v>
      </c>
      <c r="GJ125">
        <v>0</v>
      </c>
      <c r="GK125">
        <v>0</v>
      </c>
      <c r="GL125">
        <f t="shared" si="99"/>
        <v>0</v>
      </c>
      <c r="GM125">
        <f t="shared" si="100"/>
        <v>1592.87</v>
      </c>
      <c r="GN125">
        <f t="shared" si="101"/>
        <v>1592.87</v>
      </c>
      <c r="GO125">
        <f t="shared" si="102"/>
        <v>0</v>
      </c>
      <c r="GP125">
        <f t="shared" si="103"/>
        <v>0</v>
      </c>
      <c r="GR125">
        <v>1</v>
      </c>
      <c r="GS125">
        <v>1</v>
      </c>
      <c r="GT125">
        <v>0</v>
      </c>
      <c r="GU125" t="s">
        <v>3</v>
      </c>
      <c r="GV125">
        <f t="shared" si="104"/>
        <v>0</v>
      </c>
      <c r="GW125">
        <v>1</v>
      </c>
      <c r="GX125">
        <f t="shared" si="105"/>
        <v>0</v>
      </c>
      <c r="HA125">
        <v>0</v>
      </c>
      <c r="HB125">
        <v>0</v>
      </c>
      <c r="HC125">
        <f t="shared" si="106"/>
        <v>0</v>
      </c>
      <c r="HE125" t="s">
        <v>55</v>
      </c>
      <c r="HF125" t="s">
        <v>27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ROW(SmtRes!A141)</f>
        <v>141</v>
      </c>
      <c r="D126">
        <f>ROW(EtalonRes!A141)</f>
        <v>141</v>
      </c>
      <c r="E126" t="s">
        <v>266</v>
      </c>
      <c r="F126" t="s">
        <v>267</v>
      </c>
      <c r="G126" t="s">
        <v>268</v>
      </c>
      <c r="H126" t="s">
        <v>30</v>
      </c>
      <c r="I126">
        <f>ROUND(275/100,9)</f>
        <v>2.75</v>
      </c>
      <c r="J126">
        <v>0</v>
      </c>
      <c r="K126">
        <f>ROUND(275/100,9)</f>
        <v>2.75</v>
      </c>
      <c r="O126">
        <f t="shared" si="74"/>
        <v>66801.460000000006</v>
      </c>
      <c r="P126">
        <f t="shared" si="75"/>
        <v>1104.0899999999999</v>
      </c>
      <c r="Q126">
        <f t="shared" si="76"/>
        <v>702.89</v>
      </c>
      <c r="R126">
        <f t="shared" si="77"/>
        <v>408.53</v>
      </c>
      <c r="S126">
        <f t="shared" si="78"/>
        <v>64994.48</v>
      </c>
      <c r="T126">
        <f t="shared" si="79"/>
        <v>0</v>
      </c>
      <c r="U126">
        <f t="shared" si="80"/>
        <v>179.08</v>
      </c>
      <c r="V126">
        <f t="shared" si="81"/>
        <v>0.77</v>
      </c>
      <c r="W126">
        <f t="shared" si="82"/>
        <v>0</v>
      </c>
      <c r="X126">
        <f t="shared" si="83"/>
        <v>58862.71</v>
      </c>
      <c r="Y126">
        <f t="shared" si="84"/>
        <v>30085.38</v>
      </c>
      <c r="AA126">
        <v>145185703</v>
      </c>
      <c r="AB126">
        <f t="shared" si="85"/>
        <v>584.02</v>
      </c>
      <c r="AC126">
        <f t="shared" si="107"/>
        <v>47.91</v>
      </c>
      <c r="AD126">
        <f t="shared" si="114"/>
        <v>19.059999999999999</v>
      </c>
      <c r="AE126">
        <f t="shared" si="115"/>
        <v>3.25</v>
      </c>
      <c r="AF126">
        <f t="shared" si="115"/>
        <v>517.04999999999995</v>
      </c>
      <c r="AG126">
        <f t="shared" si="86"/>
        <v>0</v>
      </c>
      <c r="AH126">
        <f t="shared" si="116"/>
        <v>65.12</v>
      </c>
      <c r="AI126">
        <f t="shared" si="116"/>
        <v>0.28000000000000003</v>
      </c>
      <c r="AJ126">
        <f t="shared" si="87"/>
        <v>0</v>
      </c>
      <c r="AK126">
        <v>584.02</v>
      </c>
      <c r="AL126">
        <v>47.91</v>
      </c>
      <c r="AM126">
        <v>19.059999999999999</v>
      </c>
      <c r="AN126">
        <v>3.25</v>
      </c>
      <c r="AO126">
        <v>517.04999999999995</v>
      </c>
      <c r="AP126">
        <v>0</v>
      </c>
      <c r="AQ126">
        <v>65.12</v>
      </c>
      <c r="AR126">
        <v>0.28000000000000003</v>
      </c>
      <c r="AS126">
        <v>0</v>
      </c>
      <c r="AT126">
        <v>90</v>
      </c>
      <c r="AU126">
        <v>46</v>
      </c>
      <c r="AV126">
        <v>1</v>
      </c>
      <c r="AW126">
        <v>1</v>
      </c>
      <c r="AZ126">
        <v>1</v>
      </c>
      <c r="BA126">
        <v>45.71</v>
      </c>
      <c r="BB126">
        <v>13.41</v>
      </c>
      <c r="BC126">
        <v>8.3800000000000008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269</v>
      </c>
      <c r="BM126">
        <v>58001</v>
      </c>
      <c r="BN126">
        <v>0</v>
      </c>
      <c r="BO126" t="s">
        <v>3</v>
      </c>
      <c r="BP126">
        <v>0</v>
      </c>
      <c r="BQ126">
        <v>6</v>
      </c>
      <c r="BR126">
        <v>0</v>
      </c>
      <c r="BS126">
        <v>45.71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90</v>
      </c>
      <c r="CA126">
        <v>46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88"/>
        <v>66801.460000000006</v>
      </c>
      <c r="CQ126">
        <f t="shared" si="89"/>
        <v>401.48579999999998</v>
      </c>
      <c r="CR126">
        <f t="shared" si="117"/>
        <v>255.59459999999999</v>
      </c>
      <c r="CS126">
        <f t="shared" si="90"/>
        <v>148.5575</v>
      </c>
      <c r="CT126">
        <f t="shared" si="91"/>
        <v>23634.355499999998</v>
      </c>
      <c r="CU126">
        <f t="shared" si="92"/>
        <v>0</v>
      </c>
      <c r="CV126">
        <f t="shared" si="93"/>
        <v>65.12</v>
      </c>
      <c r="CW126">
        <f t="shared" si="94"/>
        <v>0.28000000000000003</v>
      </c>
      <c r="CX126">
        <f t="shared" si="95"/>
        <v>0</v>
      </c>
      <c r="CY126">
        <f t="shared" si="96"/>
        <v>58862.709000000003</v>
      </c>
      <c r="CZ126">
        <f t="shared" si="97"/>
        <v>30085.384600000001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1005</v>
      </c>
      <c r="DV126" t="s">
        <v>30</v>
      </c>
      <c r="DW126" t="s">
        <v>30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140625154</v>
      </c>
      <c r="EF126">
        <v>6</v>
      </c>
      <c r="EG126" t="s">
        <v>133</v>
      </c>
      <c r="EH126">
        <v>92</v>
      </c>
      <c r="EI126" t="s">
        <v>134</v>
      </c>
      <c r="EJ126">
        <v>1</v>
      </c>
      <c r="EK126">
        <v>58001</v>
      </c>
      <c r="EL126" t="s">
        <v>134</v>
      </c>
      <c r="EM126" t="s">
        <v>135</v>
      </c>
      <c r="EO126" t="s">
        <v>3</v>
      </c>
      <c r="EQ126">
        <v>0</v>
      </c>
      <c r="ER126">
        <v>584.02</v>
      </c>
      <c r="ES126">
        <v>47.91</v>
      </c>
      <c r="ET126">
        <v>19.059999999999999</v>
      </c>
      <c r="EU126">
        <v>3.25</v>
      </c>
      <c r="EV126">
        <v>517.04999999999995</v>
      </c>
      <c r="EW126">
        <v>65.12</v>
      </c>
      <c r="EX126">
        <v>0.28000000000000003</v>
      </c>
      <c r="EY126">
        <v>0</v>
      </c>
      <c r="FQ126">
        <v>0</v>
      </c>
      <c r="FR126">
        <f t="shared" si="98"/>
        <v>0</v>
      </c>
      <c r="FS126">
        <v>0</v>
      </c>
      <c r="FX126">
        <v>90</v>
      </c>
      <c r="FY126">
        <v>46</v>
      </c>
      <c r="GA126" t="s">
        <v>3</v>
      </c>
      <c r="GD126">
        <v>1</v>
      </c>
      <c r="GF126">
        <v>-1455036301</v>
      </c>
      <c r="GG126">
        <v>2</v>
      </c>
      <c r="GH126">
        <v>1</v>
      </c>
      <c r="GI126">
        <v>4</v>
      </c>
      <c r="GJ126">
        <v>0</v>
      </c>
      <c r="GK126">
        <v>0</v>
      </c>
      <c r="GL126">
        <f t="shared" si="99"/>
        <v>0</v>
      </c>
      <c r="GM126">
        <f t="shared" si="100"/>
        <v>155749.54999999999</v>
      </c>
      <c r="GN126">
        <f t="shared" si="101"/>
        <v>155749.54999999999</v>
      </c>
      <c r="GO126">
        <f t="shared" si="102"/>
        <v>0</v>
      </c>
      <c r="GP126">
        <f t="shared" si="103"/>
        <v>0</v>
      </c>
      <c r="GR126">
        <v>0</v>
      </c>
      <c r="GS126">
        <v>3</v>
      </c>
      <c r="GT126">
        <v>0</v>
      </c>
      <c r="GU126" t="s">
        <v>3</v>
      </c>
      <c r="GV126">
        <f t="shared" si="104"/>
        <v>0</v>
      </c>
      <c r="GW126">
        <v>1</v>
      </c>
      <c r="GX126">
        <f t="shared" si="105"/>
        <v>0</v>
      </c>
      <c r="HA126">
        <v>0</v>
      </c>
      <c r="HB126">
        <v>0</v>
      </c>
      <c r="HC126">
        <f t="shared" si="106"/>
        <v>0</v>
      </c>
      <c r="HE126" t="s">
        <v>3</v>
      </c>
      <c r="HF126" t="s">
        <v>3</v>
      </c>
      <c r="HM126" t="s">
        <v>3</v>
      </c>
      <c r="HN126" t="s">
        <v>136</v>
      </c>
      <c r="HO126" t="s">
        <v>137</v>
      </c>
      <c r="HP126" t="s">
        <v>138</v>
      </c>
      <c r="HQ126" t="s">
        <v>138</v>
      </c>
      <c r="IK126">
        <v>0</v>
      </c>
    </row>
    <row r="127" spans="1:245" x14ac:dyDescent="0.2">
      <c r="A127">
        <v>17</v>
      </c>
      <c r="B127">
        <v>1</v>
      </c>
      <c r="E127" t="s">
        <v>270</v>
      </c>
      <c r="F127" t="s">
        <v>56</v>
      </c>
      <c r="G127" t="s">
        <v>271</v>
      </c>
      <c r="H127" t="s">
        <v>141</v>
      </c>
      <c r="I127">
        <v>5.5</v>
      </c>
      <c r="J127">
        <v>0</v>
      </c>
      <c r="K127">
        <v>5.5</v>
      </c>
      <c r="O127">
        <f t="shared" si="74"/>
        <v>63813.91</v>
      </c>
      <c r="P127">
        <f t="shared" si="75"/>
        <v>63813.91</v>
      </c>
      <c r="Q127">
        <f t="shared" si="76"/>
        <v>0</v>
      </c>
      <c r="R127">
        <f t="shared" si="77"/>
        <v>0</v>
      </c>
      <c r="S127">
        <f t="shared" si="78"/>
        <v>0</v>
      </c>
      <c r="T127">
        <f t="shared" si="79"/>
        <v>0</v>
      </c>
      <c r="U127">
        <f t="shared" si="80"/>
        <v>0</v>
      </c>
      <c r="V127">
        <f t="shared" si="81"/>
        <v>0</v>
      </c>
      <c r="W127">
        <f t="shared" si="82"/>
        <v>0</v>
      </c>
      <c r="X127">
        <f t="shared" si="83"/>
        <v>0</v>
      </c>
      <c r="Y127">
        <f t="shared" si="84"/>
        <v>0</v>
      </c>
      <c r="AA127">
        <v>145185703</v>
      </c>
      <c r="AB127">
        <f t="shared" si="85"/>
        <v>1384.55</v>
      </c>
      <c r="AC127">
        <f t="shared" si="107"/>
        <v>1384.55</v>
      </c>
      <c r="AD127">
        <f t="shared" si="114"/>
        <v>0</v>
      </c>
      <c r="AE127">
        <f t="shared" si="115"/>
        <v>0</v>
      </c>
      <c r="AF127">
        <f t="shared" si="115"/>
        <v>0</v>
      </c>
      <c r="AG127">
        <f t="shared" si="86"/>
        <v>0</v>
      </c>
      <c r="AH127">
        <f t="shared" si="116"/>
        <v>0</v>
      </c>
      <c r="AI127">
        <f t="shared" si="116"/>
        <v>0</v>
      </c>
      <c r="AJ127">
        <f t="shared" si="87"/>
        <v>0</v>
      </c>
      <c r="AK127">
        <v>1384.5500000000002</v>
      </c>
      <c r="AL127">
        <v>1384.5500000000002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8.3800000000000008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1</v>
      </c>
      <c r="BJ127" t="s">
        <v>3</v>
      </c>
      <c r="BM127">
        <v>1100</v>
      </c>
      <c r="BN127">
        <v>0</v>
      </c>
      <c r="BO127" t="s">
        <v>3</v>
      </c>
      <c r="BP127">
        <v>0</v>
      </c>
      <c r="BQ127">
        <v>8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88"/>
        <v>63813.91</v>
      </c>
      <c r="CQ127">
        <f t="shared" si="89"/>
        <v>11602.529</v>
      </c>
      <c r="CR127">
        <f t="shared" si="117"/>
        <v>0</v>
      </c>
      <c r="CS127">
        <f t="shared" si="90"/>
        <v>0</v>
      </c>
      <c r="CT127">
        <f t="shared" si="91"/>
        <v>0</v>
      </c>
      <c r="CU127">
        <f t="shared" si="92"/>
        <v>0</v>
      </c>
      <c r="CV127">
        <f t="shared" si="93"/>
        <v>0</v>
      </c>
      <c r="CW127">
        <f t="shared" si="94"/>
        <v>0</v>
      </c>
      <c r="CX127">
        <f t="shared" si="95"/>
        <v>0</v>
      </c>
      <c r="CY127">
        <f t="shared" si="96"/>
        <v>0</v>
      </c>
      <c r="CZ127">
        <f t="shared" si="97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1007</v>
      </c>
      <c r="DV127" t="s">
        <v>141</v>
      </c>
      <c r="DW127" t="s">
        <v>141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140625274</v>
      </c>
      <c r="EF127">
        <v>8</v>
      </c>
      <c r="EG127" t="s">
        <v>22</v>
      </c>
      <c r="EH127">
        <v>0</v>
      </c>
      <c r="EI127" t="s">
        <v>3</v>
      </c>
      <c r="EJ127">
        <v>1</v>
      </c>
      <c r="EK127">
        <v>1100</v>
      </c>
      <c r="EL127" t="s">
        <v>23</v>
      </c>
      <c r="EM127" t="s">
        <v>24</v>
      </c>
      <c r="EO127" t="s">
        <v>3</v>
      </c>
      <c r="EQ127">
        <v>0</v>
      </c>
      <c r="ER127">
        <v>1396.2100000000003</v>
      </c>
      <c r="ES127">
        <v>1384.5500000000002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5</v>
      </c>
      <c r="FC127">
        <v>1</v>
      </c>
      <c r="FD127">
        <v>18</v>
      </c>
      <c r="FF127">
        <v>13000</v>
      </c>
      <c r="FQ127">
        <v>0</v>
      </c>
      <c r="FR127">
        <f t="shared" si="98"/>
        <v>0</v>
      </c>
      <c r="FS127">
        <v>0</v>
      </c>
      <c r="FX127">
        <v>0</v>
      </c>
      <c r="FY127">
        <v>0</v>
      </c>
      <c r="GA127" t="s">
        <v>142</v>
      </c>
      <c r="GD127">
        <v>1</v>
      </c>
      <c r="GF127">
        <v>-659776987</v>
      </c>
      <c r="GG127">
        <v>2</v>
      </c>
      <c r="GH127">
        <v>3</v>
      </c>
      <c r="GI127">
        <v>4</v>
      </c>
      <c r="GJ127">
        <v>0</v>
      </c>
      <c r="GK127">
        <v>0</v>
      </c>
      <c r="GL127">
        <f t="shared" si="99"/>
        <v>0</v>
      </c>
      <c r="GM127">
        <f t="shared" si="100"/>
        <v>63813.91</v>
      </c>
      <c r="GN127">
        <f t="shared" si="101"/>
        <v>63813.91</v>
      </c>
      <c r="GO127">
        <f t="shared" si="102"/>
        <v>0</v>
      </c>
      <c r="GP127">
        <f t="shared" si="103"/>
        <v>0</v>
      </c>
      <c r="GR127">
        <v>1</v>
      </c>
      <c r="GS127">
        <v>1</v>
      </c>
      <c r="GT127">
        <v>0</v>
      </c>
      <c r="GU127" t="s">
        <v>3</v>
      </c>
      <c r="GV127">
        <f t="shared" si="104"/>
        <v>0</v>
      </c>
      <c r="GW127">
        <v>1</v>
      </c>
      <c r="GX127">
        <f t="shared" si="105"/>
        <v>0</v>
      </c>
      <c r="HA127">
        <v>0</v>
      </c>
      <c r="HB127">
        <v>0</v>
      </c>
      <c r="HC127">
        <f t="shared" si="106"/>
        <v>0</v>
      </c>
      <c r="HE127" t="s">
        <v>55</v>
      </c>
      <c r="HF127" t="s">
        <v>27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C128">
        <f>ROW(SmtRes!A145)</f>
        <v>145</v>
      </c>
      <c r="D128">
        <f>ROW(EtalonRes!A145)</f>
        <v>145</v>
      </c>
      <c r="E128" t="s">
        <v>272</v>
      </c>
      <c r="F128" t="s">
        <v>273</v>
      </c>
      <c r="G128" t="s">
        <v>274</v>
      </c>
      <c r="H128" t="s">
        <v>30</v>
      </c>
      <c r="I128">
        <f>ROUND(215/100,9)</f>
        <v>2.15</v>
      </c>
      <c r="J128">
        <v>0</v>
      </c>
      <c r="K128">
        <f>ROUND(215/100,9)</f>
        <v>2.15</v>
      </c>
      <c r="O128">
        <f t="shared" si="74"/>
        <v>18754.29</v>
      </c>
      <c r="P128">
        <f t="shared" si="75"/>
        <v>0</v>
      </c>
      <c r="Q128">
        <f t="shared" si="76"/>
        <v>722.52</v>
      </c>
      <c r="R128">
        <f t="shared" si="77"/>
        <v>385.24</v>
      </c>
      <c r="S128">
        <f t="shared" si="78"/>
        <v>18031.77</v>
      </c>
      <c r="T128">
        <f t="shared" si="79"/>
        <v>0</v>
      </c>
      <c r="U128">
        <f t="shared" si="80"/>
        <v>48.762</v>
      </c>
      <c r="V128">
        <f t="shared" si="81"/>
        <v>0.62349999999999994</v>
      </c>
      <c r="W128">
        <f t="shared" si="82"/>
        <v>0</v>
      </c>
      <c r="X128">
        <f t="shared" si="83"/>
        <v>16575.310000000001</v>
      </c>
      <c r="Y128">
        <f t="shared" si="84"/>
        <v>8471.82</v>
      </c>
      <c r="AA128">
        <v>145185703</v>
      </c>
      <c r="AB128">
        <f t="shared" si="85"/>
        <v>208.54</v>
      </c>
      <c r="AC128">
        <f t="shared" si="107"/>
        <v>0</v>
      </c>
      <c r="AD128">
        <f t="shared" si="114"/>
        <v>25.06</v>
      </c>
      <c r="AE128">
        <f t="shared" si="115"/>
        <v>3.92</v>
      </c>
      <c r="AF128">
        <f t="shared" si="115"/>
        <v>183.48</v>
      </c>
      <c r="AG128">
        <f t="shared" si="86"/>
        <v>0</v>
      </c>
      <c r="AH128">
        <f t="shared" si="116"/>
        <v>22.68</v>
      </c>
      <c r="AI128">
        <f t="shared" si="116"/>
        <v>0.28999999999999998</v>
      </c>
      <c r="AJ128">
        <f t="shared" si="87"/>
        <v>0</v>
      </c>
      <c r="AK128">
        <v>208.54</v>
      </c>
      <c r="AL128">
        <v>0</v>
      </c>
      <c r="AM128">
        <v>25.06</v>
      </c>
      <c r="AN128">
        <v>3.92</v>
      </c>
      <c r="AO128">
        <v>183.48</v>
      </c>
      <c r="AP128">
        <v>0</v>
      </c>
      <c r="AQ128">
        <v>22.68</v>
      </c>
      <c r="AR128">
        <v>0.28999999999999998</v>
      </c>
      <c r="AS128">
        <v>0</v>
      </c>
      <c r="AT128">
        <v>90</v>
      </c>
      <c r="AU128">
        <v>46</v>
      </c>
      <c r="AV128">
        <v>1</v>
      </c>
      <c r="AW128">
        <v>1</v>
      </c>
      <c r="AZ128">
        <v>1</v>
      </c>
      <c r="BA128">
        <v>45.71</v>
      </c>
      <c r="BB128">
        <v>13.41</v>
      </c>
      <c r="BC128">
        <v>8.3800000000000008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1</v>
      </c>
      <c r="BJ128" t="s">
        <v>275</v>
      </c>
      <c r="BM128">
        <v>58001</v>
      </c>
      <c r="BN128">
        <v>0</v>
      </c>
      <c r="BO128" t="s">
        <v>3</v>
      </c>
      <c r="BP128">
        <v>0</v>
      </c>
      <c r="BQ128">
        <v>6</v>
      </c>
      <c r="BR128">
        <v>0</v>
      </c>
      <c r="BS128">
        <v>45.71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90</v>
      </c>
      <c r="CA128">
        <v>46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88"/>
        <v>18754.29</v>
      </c>
      <c r="CQ128">
        <f t="shared" si="89"/>
        <v>0</v>
      </c>
      <c r="CR128">
        <f t="shared" si="117"/>
        <v>336.05459999999999</v>
      </c>
      <c r="CS128">
        <f t="shared" si="90"/>
        <v>179.1832</v>
      </c>
      <c r="CT128">
        <f t="shared" si="91"/>
        <v>8386.8707999999988</v>
      </c>
      <c r="CU128">
        <f t="shared" si="92"/>
        <v>0</v>
      </c>
      <c r="CV128">
        <f t="shared" si="93"/>
        <v>22.68</v>
      </c>
      <c r="CW128">
        <f t="shared" si="94"/>
        <v>0.28999999999999998</v>
      </c>
      <c r="CX128">
        <f t="shared" si="95"/>
        <v>0</v>
      </c>
      <c r="CY128">
        <f t="shared" si="96"/>
        <v>16575.309000000001</v>
      </c>
      <c r="CZ128">
        <f t="shared" si="97"/>
        <v>8471.8245999999999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1005</v>
      </c>
      <c r="DV128" t="s">
        <v>30</v>
      </c>
      <c r="DW128" t="s">
        <v>30</v>
      </c>
      <c r="DX128">
        <v>100</v>
      </c>
      <c r="DZ128" t="s">
        <v>3</v>
      </c>
      <c r="EA128" t="s">
        <v>3</v>
      </c>
      <c r="EB128" t="s">
        <v>3</v>
      </c>
      <c r="EC128" t="s">
        <v>3</v>
      </c>
      <c r="EE128">
        <v>140625154</v>
      </c>
      <c r="EF128">
        <v>6</v>
      </c>
      <c r="EG128" t="s">
        <v>133</v>
      </c>
      <c r="EH128">
        <v>92</v>
      </c>
      <c r="EI128" t="s">
        <v>134</v>
      </c>
      <c r="EJ128">
        <v>1</v>
      </c>
      <c r="EK128">
        <v>58001</v>
      </c>
      <c r="EL128" t="s">
        <v>134</v>
      </c>
      <c r="EM128" t="s">
        <v>135</v>
      </c>
      <c r="EO128" t="s">
        <v>3</v>
      </c>
      <c r="EQ128">
        <v>0</v>
      </c>
      <c r="ER128">
        <v>208.54</v>
      </c>
      <c r="ES128">
        <v>0</v>
      </c>
      <c r="ET128">
        <v>25.06</v>
      </c>
      <c r="EU128">
        <v>3.92</v>
      </c>
      <c r="EV128">
        <v>183.48</v>
      </c>
      <c r="EW128">
        <v>22.68</v>
      </c>
      <c r="EX128">
        <v>0.28999999999999998</v>
      </c>
      <c r="EY128">
        <v>0</v>
      </c>
      <c r="FQ128">
        <v>0</v>
      </c>
      <c r="FR128">
        <f t="shared" si="98"/>
        <v>0</v>
      </c>
      <c r="FS128">
        <v>0</v>
      </c>
      <c r="FX128">
        <v>90</v>
      </c>
      <c r="FY128">
        <v>46</v>
      </c>
      <c r="GA128" t="s">
        <v>3</v>
      </c>
      <c r="GD128">
        <v>1</v>
      </c>
      <c r="GF128">
        <v>-2112781794</v>
      </c>
      <c r="GG128">
        <v>2</v>
      </c>
      <c r="GH128">
        <v>1</v>
      </c>
      <c r="GI128">
        <v>4</v>
      </c>
      <c r="GJ128">
        <v>0</v>
      </c>
      <c r="GK128">
        <v>0</v>
      </c>
      <c r="GL128">
        <f t="shared" si="99"/>
        <v>0</v>
      </c>
      <c r="GM128">
        <f t="shared" si="100"/>
        <v>43801.42</v>
      </c>
      <c r="GN128">
        <f t="shared" si="101"/>
        <v>43801.42</v>
      </c>
      <c r="GO128">
        <f t="shared" si="102"/>
        <v>0</v>
      </c>
      <c r="GP128">
        <f t="shared" si="103"/>
        <v>0</v>
      </c>
      <c r="GR128">
        <v>0</v>
      </c>
      <c r="GS128">
        <v>3</v>
      </c>
      <c r="GT128">
        <v>0</v>
      </c>
      <c r="GU128" t="s">
        <v>3</v>
      </c>
      <c r="GV128">
        <f t="shared" si="104"/>
        <v>0</v>
      </c>
      <c r="GW128">
        <v>1</v>
      </c>
      <c r="GX128">
        <f t="shared" si="105"/>
        <v>0</v>
      </c>
      <c r="HA128">
        <v>0</v>
      </c>
      <c r="HB128">
        <v>0</v>
      </c>
      <c r="HC128">
        <f t="shared" si="106"/>
        <v>0</v>
      </c>
      <c r="HE128" t="s">
        <v>3</v>
      </c>
      <c r="HF128" t="s">
        <v>3</v>
      </c>
      <c r="HM128" t="s">
        <v>3</v>
      </c>
      <c r="HN128" t="s">
        <v>136</v>
      </c>
      <c r="HO128" t="s">
        <v>137</v>
      </c>
      <c r="HP128" t="s">
        <v>138</v>
      </c>
      <c r="HQ128" t="s">
        <v>138</v>
      </c>
      <c r="IK128">
        <v>0</v>
      </c>
    </row>
    <row r="129" spans="1:245" x14ac:dyDescent="0.2">
      <c r="A129">
        <v>17</v>
      </c>
      <c r="B129">
        <v>1</v>
      </c>
      <c r="C129">
        <f>ROW(SmtRes!A157)</f>
        <v>157</v>
      </c>
      <c r="D129">
        <f>ROW(EtalonRes!A157)</f>
        <v>157</v>
      </c>
      <c r="E129" t="s">
        <v>276</v>
      </c>
      <c r="F129" t="s">
        <v>277</v>
      </c>
      <c r="G129" t="s">
        <v>278</v>
      </c>
      <c r="H129" t="s">
        <v>141</v>
      </c>
      <c r="I129">
        <v>5.71</v>
      </c>
      <c r="J129">
        <v>0</v>
      </c>
      <c r="K129">
        <v>5.71</v>
      </c>
      <c r="O129">
        <f t="shared" si="74"/>
        <v>161368.54999999999</v>
      </c>
      <c r="P129">
        <f t="shared" si="75"/>
        <v>98961.04</v>
      </c>
      <c r="Q129">
        <f t="shared" si="76"/>
        <v>3042.13</v>
      </c>
      <c r="R129">
        <f t="shared" si="77"/>
        <v>1495.55</v>
      </c>
      <c r="S129">
        <f t="shared" si="78"/>
        <v>59365.38</v>
      </c>
      <c r="T129">
        <f t="shared" si="79"/>
        <v>0</v>
      </c>
      <c r="U129">
        <f t="shared" si="80"/>
        <v>156.28269999999998</v>
      </c>
      <c r="V129">
        <f t="shared" si="81"/>
        <v>2.6408750000000003</v>
      </c>
      <c r="W129">
        <f t="shared" si="82"/>
        <v>0</v>
      </c>
      <c r="X129">
        <f t="shared" si="83"/>
        <v>65729.8</v>
      </c>
      <c r="Y129">
        <f t="shared" si="84"/>
        <v>28452.48</v>
      </c>
      <c r="AA129">
        <v>145185703</v>
      </c>
      <c r="AB129">
        <f t="shared" si="85"/>
        <v>2335.33</v>
      </c>
      <c r="AC129">
        <f t="shared" si="107"/>
        <v>2068.16</v>
      </c>
      <c r="AD129">
        <f>ROUND(((((ET129*1.25))-((EU129*1.25)))+AE129),2)</f>
        <v>39.72</v>
      </c>
      <c r="AE129">
        <f>ROUND(((EU129*1.25)),2)</f>
        <v>5.73</v>
      </c>
      <c r="AF129">
        <f>ROUND(((EV129*1.15)),2)</f>
        <v>227.45</v>
      </c>
      <c r="AG129">
        <f t="shared" si="86"/>
        <v>0</v>
      </c>
      <c r="AH129">
        <f>((EW129*1.15))</f>
        <v>27.369999999999997</v>
      </c>
      <c r="AI129">
        <f>((EX129*1.25))</f>
        <v>0.46250000000000002</v>
      </c>
      <c r="AJ129">
        <f t="shared" si="87"/>
        <v>0</v>
      </c>
      <c r="AK129">
        <v>2297.71</v>
      </c>
      <c r="AL129">
        <v>2068.16</v>
      </c>
      <c r="AM129">
        <v>31.77</v>
      </c>
      <c r="AN129">
        <v>4.58</v>
      </c>
      <c r="AO129">
        <v>197.78</v>
      </c>
      <c r="AP129">
        <v>0</v>
      </c>
      <c r="AQ129">
        <v>23.8</v>
      </c>
      <c r="AR129">
        <v>0.37</v>
      </c>
      <c r="AS129">
        <v>0</v>
      </c>
      <c r="AT129">
        <v>108</v>
      </c>
      <c r="AU129">
        <v>46.75</v>
      </c>
      <c r="AV129">
        <v>1</v>
      </c>
      <c r="AW129">
        <v>1</v>
      </c>
      <c r="AZ129">
        <v>1</v>
      </c>
      <c r="BA129">
        <v>45.71</v>
      </c>
      <c r="BB129">
        <v>13.41</v>
      </c>
      <c r="BC129">
        <v>8.3800000000000008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279</v>
      </c>
      <c r="BM129">
        <v>10001</v>
      </c>
      <c r="BN129">
        <v>0</v>
      </c>
      <c r="BO129" t="s">
        <v>3</v>
      </c>
      <c r="BP129">
        <v>0</v>
      </c>
      <c r="BQ129">
        <v>2</v>
      </c>
      <c r="BR129">
        <v>0</v>
      </c>
      <c r="BS129">
        <v>45.71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108</v>
      </c>
      <c r="CA129">
        <v>55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548</v>
      </c>
      <c r="CO129">
        <v>0</v>
      </c>
      <c r="CP129">
        <f t="shared" si="88"/>
        <v>161368.54999999999</v>
      </c>
      <c r="CQ129">
        <f t="shared" si="89"/>
        <v>17331.180800000002</v>
      </c>
      <c r="CR129">
        <f>((((ET129*1.25))*BB129-((EU129*1.25))*BS129)+AE129*BS129)</f>
        <v>532.77317500000004</v>
      </c>
      <c r="CS129">
        <f t="shared" si="90"/>
        <v>261.91830000000004</v>
      </c>
      <c r="CT129">
        <f t="shared" si="91"/>
        <v>10396.7395</v>
      </c>
      <c r="CU129">
        <f t="shared" si="92"/>
        <v>0</v>
      </c>
      <c r="CV129">
        <f t="shared" si="93"/>
        <v>27.369999999999997</v>
      </c>
      <c r="CW129">
        <f t="shared" si="94"/>
        <v>0.46250000000000002</v>
      </c>
      <c r="CX129">
        <f t="shared" si="95"/>
        <v>0</v>
      </c>
      <c r="CY129">
        <f t="shared" si="96"/>
        <v>65729.804400000008</v>
      </c>
      <c r="CZ129">
        <f t="shared" si="97"/>
        <v>28452.484775000001</v>
      </c>
      <c r="DC129" t="s">
        <v>3</v>
      </c>
      <c r="DD129" t="s">
        <v>3</v>
      </c>
      <c r="DE129" t="s">
        <v>42</v>
      </c>
      <c r="DF129" t="s">
        <v>42</v>
      </c>
      <c r="DG129" t="s">
        <v>43</v>
      </c>
      <c r="DH129" t="s">
        <v>3</v>
      </c>
      <c r="DI129" t="s">
        <v>43</v>
      </c>
      <c r="DJ129" t="s">
        <v>42</v>
      </c>
      <c r="DK129" t="s">
        <v>3</v>
      </c>
      <c r="DL129" t="s">
        <v>3</v>
      </c>
      <c r="DM129" t="s">
        <v>44</v>
      </c>
      <c r="DN129">
        <v>0</v>
      </c>
      <c r="DO129">
        <v>0</v>
      </c>
      <c r="DP129">
        <v>1</v>
      </c>
      <c r="DQ129">
        <v>1</v>
      </c>
      <c r="DU129">
        <v>1007</v>
      </c>
      <c r="DV129" t="s">
        <v>141</v>
      </c>
      <c r="DW129" t="s">
        <v>141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140625028</v>
      </c>
      <c r="EF129">
        <v>2</v>
      </c>
      <c r="EG129" t="s">
        <v>32</v>
      </c>
      <c r="EH129">
        <v>10</v>
      </c>
      <c r="EI129" t="s">
        <v>147</v>
      </c>
      <c r="EJ129">
        <v>1</v>
      </c>
      <c r="EK129">
        <v>10001</v>
      </c>
      <c r="EL129" t="s">
        <v>147</v>
      </c>
      <c r="EM129" t="s">
        <v>148</v>
      </c>
      <c r="EO129" t="s">
        <v>47</v>
      </c>
      <c r="EQ129">
        <v>0</v>
      </c>
      <c r="ER129">
        <v>2297.71</v>
      </c>
      <c r="ES129">
        <v>2068.16</v>
      </c>
      <c r="ET129">
        <v>31.77</v>
      </c>
      <c r="EU129">
        <v>4.58</v>
      </c>
      <c r="EV129">
        <v>197.78</v>
      </c>
      <c r="EW129">
        <v>23.8</v>
      </c>
      <c r="EX129">
        <v>0.37</v>
      </c>
      <c r="EY129">
        <v>0</v>
      </c>
      <c r="FQ129">
        <v>0</v>
      </c>
      <c r="FR129">
        <f t="shared" si="98"/>
        <v>0</v>
      </c>
      <c r="FS129">
        <v>0</v>
      </c>
      <c r="FX129">
        <v>108</v>
      </c>
      <c r="FY129">
        <v>46.75</v>
      </c>
      <c r="GA129" t="s">
        <v>3</v>
      </c>
      <c r="GD129">
        <v>1</v>
      </c>
      <c r="GF129">
        <v>235504882</v>
      </c>
      <c r="GG129">
        <v>2</v>
      </c>
      <c r="GH129">
        <v>1</v>
      </c>
      <c r="GI129">
        <v>4</v>
      </c>
      <c r="GJ129">
        <v>0</v>
      </c>
      <c r="GK129">
        <v>0</v>
      </c>
      <c r="GL129">
        <f t="shared" si="99"/>
        <v>0</v>
      </c>
      <c r="GM129">
        <f t="shared" si="100"/>
        <v>255550.83</v>
      </c>
      <c r="GN129">
        <f t="shared" si="101"/>
        <v>255550.83</v>
      </c>
      <c r="GO129">
        <f t="shared" si="102"/>
        <v>0</v>
      </c>
      <c r="GP129">
        <f t="shared" si="103"/>
        <v>0</v>
      </c>
      <c r="GR129">
        <v>0</v>
      </c>
      <c r="GS129">
        <v>3</v>
      </c>
      <c r="GT129">
        <v>0</v>
      </c>
      <c r="GU129" t="s">
        <v>3</v>
      </c>
      <c r="GV129">
        <f t="shared" si="104"/>
        <v>0</v>
      </c>
      <c r="GW129">
        <v>1</v>
      </c>
      <c r="GX129">
        <f t="shared" si="105"/>
        <v>0</v>
      </c>
      <c r="HA129">
        <v>0</v>
      </c>
      <c r="HB129">
        <v>0</v>
      </c>
      <c r="HC129">
        <f t="shared" si="106"/>
        <v>0</v>
      </c>
      <c r="HE129" t="s">
        <v>3</v>
      </c>
      <c r="HF129" t="s">
        <v>3</v>
      </c>
      <c r="HM129" t="s">
        <v>3</v>
      </c>
      <c r="HN129" t="s">
        <v>149</v>
      </c>
      <c r="HO129" t="s">
        <v>150</v>
      </c>
      <c r="HP129" t="s">
        <v>147</v>
      </c>
      <c r="HQ129" t="s">
        <v>147</v>
      </c>
      <c r="IK129">
        <v>0</v>
      </c>
    </row>
    <row r="130" spans="1:245" x14ac:dyDescent="0.2">
      <c r="A130">
        <v>18</v>
      </c>
      <c r="B130">
        <v>1</v>
      </c>
      <c r="C130">
        <v>153</v>
      </c>
      <c r="E130" t="s">
        <v>280</v>
      </c>
      <c r="F130" t="s">
        <v>281</v>
      </c>
      <c r="G130" t="s">
        <v>282</v>
      </c>
      <c r="H130" t="s">
        <v>141</v>
      </c>
      <c r="I130">
        <f>I129*J130</f>
        <v>-0.91359999999999997</v>
      </c>
      <c r="J130">
        <v>-0.16</v>
      </c>
      <c r="K130">
        <v>-0.16</v>
      </c>
      <c r="O130">
        <f t="shared" si="74"/>
        <v>-12257.2</v>
      </c>
      <c r="P130">
        <f t="shared" si="75"/>
        <v>-12257.2</v>
      </c>
      <c r="Q130">
        <f t="shared" si="76"/>
        <v>0</v>
      </c>
      <c r="R130">
        <f t="shared" si="77"/>
        <v>0</v>
      </c>
      <c r="S130">
        <f t="shared" si="78"/>
        <v>0</v>
      </c>
      <c r="T130">
        <f t="shared" si="79"/>
        <v>0</v>
      </c>
      <c r="U130">
        <f t="shared" si="80"/>
        <v>0</v>
      </c>
      <c r="V130">
        <f t="shared" si="81"/>
        <v>0</v>
      </c>
      <c r="W130">
        <f t="shared" si="82"/>
        <v>0</v>
      </c>
      <c r="X130">
        <f t="shared" si="83"/>
        <v>0</v>
      </c>
      <c r="Y130">
        <f t="shared" si="84"/>
        <v>0</v>
      </c>
      <c r="AA130">
        <v>145185703</v>
      </c>
      <c r="AB130">
        <f t="shared" si="85"/>
        <v>1601</v>
      </c>
      <c r="AC130">
        <f t="shared" si="107"/>
        <v>1601</v>
      </c>
      <c r="AD130">
        <f t="shared" ref="AD130:AD135" si="118">ROUND((((ET130)-(EU130))+AE130),2)</f>
        <v>0</v>
      </c>
      <c r="AE130">
        <f t="shared" ref="AE130:AF135" si="119">ROUND((EU130),2)</f>
        <v>0</v>
      </c>
      <c r="AF130">
        <f t="shared" si="119"/>
        <v>0</v>
      </c>
      <c r="AG130">
        <f t="shared" si="86"/>
        <v>0</v>
      </c>
      <c r="AH130">
        <f t="shared" ref="AH130:AI135" si="120">(EW130)</f>
        <v>0</v>
      </c>
      <c r="AI130">
        <f t="shared" si="120"/>
        <v>0</v>
      </c>
      <c r="AJ130">
        <f t="shared" si="87"/>
        <v>0</v>
      </c>
      <c r="AK130">
        <v>1601</v>
      </c>
      <c r="AL130">
        <v>1601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108</v>
      </c>
      <c r="AU130">
        <v>55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8.3800000000000008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1</v>
      </c>
      <c r="BJ130" t="s">
        <v>283</v>
      </c>
      <c r="BM130">
        <v>10001</v>
      </c>
      <c r="BN130">
        <v>0</v>
      </c>
      <c r="BO130" t="s">
        <v>3</v>
      </c>
      <c r="BP130">
        <v>0</v>
      </c>
      <c r="BQ130">
        <v>2</v>
      </c>
      <c r="BR130">
        <v>1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108</v>
      </c>
      <c r="CA130">
        <v>55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88"/>
        <v>-12257.2</v>
      </c>
      <c r="CQ130">
        <f t="shared" si="89"/>
        <v>13416.380000000001</v>
      </c>
      <c r="CR130">
        <f t="shared" ref="CR130:CR135" si="121">(((ET130)*BB130-(EU130)*BS130)+AE130*BS130)</f>
        <v>0</v>
      </c>
      <c r="CS130">
        <f t="shared" si="90"/>
        <v>0</v>
      </c>
      <c r="CT130">
        <f t="shared" si="91"/>
        <v>0</v>
      </c>
      <c r="CU130">
        <f t="shared" si="92"/>
        <v>0</v>
      </c>
      <c r="CV130">
        <f t="shared" si="93"/>
        <v>0</v>
      </c>
      <c r="CW130">
        <f t="shared" si="94"/>
        <v>0</v>
      </c>
      <c r="CX130">
        <f t="shared" si="95"/>
        <v>0</v>
      </c>
      <c r="CY130">
        <f t="shared" si="96"/>
        <v>0</v>
      </c>
      <c r="CZ130">
        <f t="shared" si="97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1007</v>
      </c>
      <c r="DV130" t="s">
        <v>141</v>
      </c>
      <c r="DW130" t="s">
        <v>141</v>
      </c>
      <c r="DX130">
        <v>1</v>
      </c>
      <c r="DZ130" t="s">
        <v>3</v>
      </c>
      <c r="EA130" t="s">
        <v>3</v>
      </c>
      <c r="EB130" t="s">
        <v>3</v>
      </c>
      <c r="EC130" t="s">
        <v>3</v>
      </c>
      <c r="EE130">
        <v>140625028</v>
      </c>
      <c r="EF130">
        <v>2</v>
      </c>
      <c r="EG130" t="s">
        <v>32</v>
      </c>
      <c r="EH130">
        <v>10</v>
      </c>
      <c r="EI130" t="s">
        <v>147</v>
      </c>
      <c r="EJ130">
        <v>1</v>
      </c>
      <c r="EK130">
        <v>10001</v>
      </c>
      <c r="EL130" t="s">
        <v>147</v>
      </c>
      <c r="EM130" t="s">
        <v>148</v>
      </c>
      <c r="EO130" t="s">
        <v>3</v>
      </c>
      <c r="EQ130">
        <v>0</v>
      </c>
      <c r="ER130">
        <v>1601</v>
      </c>
      <c r="ES130">
        <v>1601</v>
      </c>
      <c r="ET130">
        <v>0</v>
      </c>
      <c r="EU130">
        <v>0</v>
      </c>
      <c r="EV130">
        <v>0</v>
      </c>
      <c r="EW130">
        <v>0</v>
      </c>
      <c r="EX130">
        <v>0</v>
      </c>
      <c r="FQ130">
        <v>0</v>
      </c>
      <c r="FR130">
        <f t="shared" si="98"/>
        <v>0</v>
      </c>
      <c r="FS130">
        <v>0</v>
      </c>
      <c r="FX130">
        <v>108</v>
      </c>
      <c r="FY130">
        <v>55</v>
      </c>
      <c r="GA130" t="s">
        <v>3</v>
      </c>
      <c r="GD130">
        <v>1</v>
      </c>
      <c r="GF130">
        <v>-1365085067</v>
      </c>
      <c r="GG130">
        <v>2</v>
      </c>
      <c r="GH130">
        <v>1</v>
      </c>
      <c r="GI130">
        <v>4</v>
      </c>
      <c r="GJ130">
        <v>0</v>
      </c>
      <c r="GK130">
        <v>0</v>
      </c>
      <c r="GL130">
        <f t="shared" si="99"/>
        <v>0</v>
      </c>
      <c r="GM130">
        <f t="shared" si="100"/>
        <v>-12257.2</v>
      </c>
      <c r="GN130">
        <f t="shared" si="101"/>
        <v>-12257.2</v>
      </c>
      <c r="GO130">
        <f t="shared" si="102"/>
        <v>0</v>
      </c>
      <c r="GP130">
        <f t="shared" si="103"/>
        <v>0</v>
      </c>
      <c r="GR130">
        <v>0</v>
      </c>
      <c r="GS130">
        <v>3</v>
      </c>
      <c r="GT130">
        <v>0</v>
      </c>
      <c r="GU130" t="s">
        <v>3</v>
      </c>
      <c r="GV130">
        <f t="shared" si="104"/>
        <v>0</v>
      </c>
      <c r="GW130">
        <v>1</v>
      </c>
      <c r="GX130">
        <f t="shared" si="105"/>
        <v>0</v>
      </c>
      <c r="HA130">
        <v>0</v>
      </c>
      <c r="HB130">
        <v>0</v>
      </c>
      <c r="HC130">
        <f t="shared" si="106"/>
        <v>0</v>
      </c>
      <c r="HE130" t="s">
        <v>3</v>
      </c>
      <c r="HF130" t="s">
        <v>3</v>
      </c>
      <c r="HM130" t="s">
        <v>3</v>
      </c>
      <c r="HN130" t="s">
        <v>149</v>
      </c>
      <c r="HO130" t="s">
        <v>150</v>
      </c>
      <c r="HP130" t="s">
        <v>147</v>
      </c>
      <c r="HQ130" t="s">
        <v>147</v>
      </c>
      <c r="IK130">
        <v>0</v>
      </c>
    </row>
    <row r="131" spans="1:245" x14ac:dyDescent="0.2">
      <c r="A131">
        <v>18</v>
      </c>
      <c r="B131">
        <v>1</v>
      </c>
      <c r="C131">
        <v>154</v>
      </c>
      <c r="E131" t="s">
        <v>284</v>
      </c>
      <c r="F131" t="s">
        <v>285</v>
      </c>
      <c r="G131" t="s">
        <v>286</v>
      </c>
      <c r="H131" t="s">
        <v>141</v>
      </c>
      <c r="I131">
        <f>I129*J131</f>
        <v>-0.34260000000000002</v>
      </c>
      <c r="J131">
        <v>-6.0000000000000005E-2</v>
      </c>
      <c r="K131">
        <v>-0.06</v>
      </c>
      <c r="O131">
        <f t="shared" si="74"/>
        <v>-5684.56</v>
      </c>
      <c r="P131">
        <f t="shared" si="75"/>
        <v>-5684.56</v>
      </c>
      <c r="Q131">
        <f t="shared" si="76"/>
        <v>0</v>
      </c>
      <c r="R131">
        <f t="shared" si="77"/>
        <v>0</v>
      </c>
      <c r="S131">
        <f t="shared" si="78"/>
        <v>0</v>
      </c>
      <c r="T131">
        <f t="shared" si="79"/>
        <v>0</v>
      </c>
      <c r="U131">
        <f t="shared" si="80"/>
        <v>0</v>
      </c>
      <c r="V131">
        <f t="shared" si="81"/>
        <v>0</v>
      </c>
      <c r="W131">
        <f t="shared" si="82"/>
        <v>0</v>
      </c>
      <c r="X131">
        <f t="shared" si="83"/>
        <v>0</v>
      </c>
      <c r="Y131">
        <f t="shared" si="84"/>
        <v>0</v>
      </c>
      <c r="AA131">
        <v>145185703</v>
      </c>
      <c r="AB131">
        <f t="shared" si="85"/>
        <v>1980</v>
      </c>
      <c r="AC131">
        <f t="shared" si="107"/>
        <v>1980</v>
      </c>
      <c r="AD131">
        <f t="shared" si="118"/>
        <v>0</v>
      </c>
      <c r="AE131">
        <f t="shared" si="119"/>
        <v>0</v>
      </c>
      <c r="AF131">
        <f t="shared" si="119"/>
        <v>0</v>
      </c>
      <c r="AG131">
        <f t="shared" si="86"/>
        <v>0</v>
      </c>
      <c r="AH131">
        <f t="shared" si="120"/>
        <v>0</v>
      </c>
      <c r="AI131">
        <f t="shared" si="120"/>
        <v>0</v>
      </c>
      <c r="AJ131">
        <f t="shared" si="87"/>
        <v>0</v>
      </c>
      <c r="AK131">
        <v>1980</v>
      </c>
      <c r="AL131">
        <v>1980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108</v>
      </c>
      <c r="AU131">
        <v>55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8.3800000000000008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1</v>
      </c>
      <c r="BJ131" t="s">
        <v>287</v>
      </c>
      <c r="BM131">
        <v>10001</v>
      </c>
      <c r="BN131">
        <v>0</v>
      </c>
      <c r="BO131" t="s">
        <v>3</v>
      </c>
      <c r="BP131">
        <v>0</v>
      </c>
      <c r="BQ131">
        <v>2</v>
      </c>
      <c r="BR131">
        <v>1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108</v>
      </c>
      <c r="CA131">
        <v>55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88"/>
        <v>-5684.56</v>
      </c>
      <c r="CQ131">
        <f t="shared" si="89"/>
        <v>16592.400000000001</v>
      </c>
      <c r="CR131">
        <f t="shared" si="121"/>
        <v>0</v>
      </c>
      <c r="CS131">
        <f t="shared" si="90"/>
        <v>0</v>
      </c>
      <c r="CT131">
        <f t="shared" si="91"/>
        <v>0</v>
      </c>
      <c r="CU131">
        <f t="shared" si="92"/>
        <v>0</v>
      </c>
      <c r="CV131">
        <f t="shared" si="93"/>
        <v>0</v>
      </c>
      <c r="CW131">
        <f t="shared" si="94"/>
        <v>0</v>
      </c>
      <c r="CX131">
        <f t="shared" si="95"/>
        <v>0</v>
      </c>
      <c r="CY131">
        <f t="shared" si="96"/>
        <v>0</v>
      </c>
      <c r="CZ131">
        <f t="shared" si="97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1007</v>
      </c>
      <c r="DV131" t="s">
        <v>141</v>
      </c>
      <c r="DW131" t="s">
        <v>141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140625028</v>
      </c>
      <c r="EF131">
        <v>2</v>
      </c>
      <c r="EG131" t="s">
        <v>32</v>
      </c>
      <c r="EH131">
        <v>10</v>
      </c>
      <c r="EI131" t="s">
        <v>147</v>
      </c>
      <c r="EJ131">
        <v>1</v>
      </c>
      <c r="EK131">
        <v>10001</v>
      </c>
      <c r="EL131" t="s">
        <v>147</v>
      </c>
      <c r="EM131" t="s">
        <v>148</v>
      </c>
      <c r="EO131" t="s">
        <v>3</v>
      </c>
      <c r="EQ131">
        <v>0</v>
      </c>
      <c r="ER131">
        <v>1980</v>
      </c>
      <c r="ES131">
        <v>1980</v>
      </c>
      <c r="ET131">
        <v>0</v>
      </c>
      <c r="EU131">
        <v>0</v>
      </c>
      <c r="EV131">
        <v>0</v>
      </c>
      <c r="EW131">
        <v>0</v>
      </c>
      <c r="EX131">
        <v>0</v>
      </c>
      <c r="FQ131">
        <v>0</v>
      </c>
      <c r="FR131">
        <f t="shared" si="98"/>
        <v>0</v>
      </c>
      <c r="FS131">
        <v>0</v>
      </c>
      <c r="FX131">
        <v>108</v>
      </c>
      <c r="FY131">
        <v>55</v>
      </c>
      <c r="GA131" t="s">
        <v>3</v>
      </c>
      <c r="GD131">
        <v>1</v>
      </c>
      <c r="GF131">
        <v>1697255399</v>
      </c>
      <c r="GG131">
        <v>2</v>
      </c>
      <c r="GH131">
        <v>1</v>
      </c>
      <c r="GI131">
        <v>4</v>
      </c>
      <c r="GJ131">
        <v>0</v>
      </c>
      <c r="GK131">
        <v>0</v>
      </c>
      <c r="GL131">
        <f t="shared" si="99"/>
        <v>0</v>
      </c>
      <c r="GM131">
        <f t="shared" si="100"/>
        <v>-5684.56</v>
      </c>
      <c r="GN131">
        <f t="shared" si="101"/>
        <v>-5684.56</v>
      </c>
      <c r="GO131">
        <f t="shared" si="102"/>
        <v>0</v>
      </c>
      <c r="GP131">
        <f t="shared" si="103"/>
        <v>0</v>
      </c>
      <c r="GR131">
        <v>0</v>
      </c>
      <c r="GS131">
        <v>3</v>
      </c>
      <c r="GT131">
        <v>0</v>
      </c>
      <c r="GU131" t="s">
        <v>3</v>
      </c>
      <c r="GV131">
        <f t="shared" si="104"/>
        <v>0</v>
      </c>
      <c r="GW131">
        <v>1</v>
      </c>
      <c r="GX131">
        <f t="shared" si="105"/>
        <v>0</v>
      </c>
      <c r="HA131">
        <v>0</v>
      </c>
      <c r="HB131">
        <v>0</v>
      </c>
      <c r="HC131">
        <f t="shared" si="106"/>
        <v>0</v>
      </c>
      <c r="HE131" t="s">
        <v>3</v>
      </c>
      <c r="HF131" t="s">
        <v>3</v>
      </c>
      <c r="HM131" t="s">
        <v>3</v>
      </c>
      <c r="HN131" t="s">
        <v>149</v>
      </c>
      <c r="HO131" t="s">
        <v>150</v>
      </c>
      <c r="HP131" t="s">
        <v>147</v>
      </c>
      <c r="HQ131" t="s">
        <v>147</v>
      </c>
      <c r="IK131">
        <v>0</v>
      </c>
    </row>
    <row r="132" spans="1:245" x14ac:dyDescent="0.2">
      <c r="A132">
        <v>18</v>
      </c>
      <c r="B132">
        <v>1</v>
      </c>
      <c r="C132">
        <v>155</v>
      </c>
      <c r="E132" t="s">
        <v>288</v>
      </c>
      <c r="F132" t="s">
        <v>289</v>
      </c>
      <c r="G132" t="s">
        <v>290</v>
      </c>
      <c r="H132" t="s">
        <v>141</v>
      </c>
      <c r="I132">
        <f>I129*J132</f>
        <v>-4.7393000000000001</v>
      </c>
      <c r="J132">
        <v>-0.83000000000000007</v>
      </c>
      <c r="K132">
        <v>-0.83</v>
      </c>
      <c r="O132">
        <f t="shared" si="74"/>
        <v>-62432.51</v>
      </c>
      <c r="P132">
        <f t="shared" si="75"/>
        <v>-62432.51</v>
      </c>
      <c r="Q132">
        <f t="shared" si="76"/>
        <v>0</v>
      </c>
      <c r="R132">
        <f t="shared" si="77"/>
        <v>0</v>
      </c>
      <c r="S132">
        <f t="shared" si="78"/>
        <v>0</v>
      </c>
      <c r="T132">
        <f t="shared" si="79"/>
        <v>0</v>
      </c>
      <c r="U132">
        <f t="shared" si="80"/>
        <v>0</v>
      </c>
      <c r="V132">
        <f t="shared" si="81"/>
        <v>0</v>
      </c>
      <c r="W132">
        <f t="shared" si="82"/>
        <v>0</v>
      </c>
      <c r="X132">
        <f t="shared" si="83"/>
        <v>0</v>
      </c>
      <c r="Y132">
        <f t="shared" si="84"/>
        <v>0</v>
      </c>
      <c r="AA132">
        <v>145185703</v>
      </c>
      <c r="AB132">
        <f t="shared" si="85"/>
        <v>1572</v>
      </c>
      <c r="AC132">
        <f t="shared" si="107"/>
        <v>1572</v>
      </c>
      <c r="AD132">
        <f t="shared" si="118"/>
        <v>0</v>
      </c>
      <c r="AE132">
        <f t="shared" si="119"/>
        <v>0</v>
      </c>
      <c r="AF132">
        <f t="shared" si="119"/>
        <v>0</v>
      </c>
      <c r="AG132">
        <f t="shared" si="86"/>
        <v>0</v>
      </c>
      <c r="AH132">
        <f t="shared" si="120"/>
        <v>0</v>
      </c>
      <c r="AI132">
        <f t="shared" si="120"/>
        <v>0</v>
      </c>
      <c r="AJ132">
        <f t="shared" si="87"/>
        <v>0</v>
      </c>
      <c r="AK132">
        <v>1572</v>
      </c>
      <c r="AL132">
        <v>1572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108</v>
      </c>
      <c r="AU132">
        <v>55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8.3800000000000008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1</v>
      </c>
      <c r="BJ132" t="s">
        <v>291</v>
      </c>
      <c r="BM132">
        <v>10001</v>
      </c>
      <c r="BN132">
        <v>0</v>
      </c>
      <c r="BO132" t="s">
        <v>3</v>
      </c>
      <c r="BP132">
        <v>0</v>
      </c>
      <c r="BQ132">
        <v>2</v>
      </c>
      <c r="BR132">
        <v>1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108</v>
      </c>
      <c r="CA132">
        <v>55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88"/>
        <v>-62432.51</v>
      </c>
      <c r="CQ132">
        <f t="shared" si="89"/>
        <v>13173.36</v>
      </c>
      <c r="CR132">
        <f t="shared" si="121"/>
        <v>0</v>
      </c>
      <c r="CS132">
        <f t="shared" si="90"/>
        <v>0</v>
      </c>
      <c r="CT132">
        <f t="shared" si="91"/>
        <v>0</v>
      </c>
      <c r="CU132">
        <f t="shared" si="92"/>
        <v>0</v>
      </c>
      <c r="CV132">
        <f t="shared" si="93"/>
        <v>0</v>
      </c>
      <c r="CW132">
        <f t="shared" si="94"/>
        <v>0</v>
      </c>
      <c r="CX132">
        <f t="shared" si="95"/>
        <v>0</v>
      </c>
      <c r="CY132">
        <f t="shared" si="96"/>
        <v>0</v>
      </c>
      <c r="CZ132">
        <f t="shared" si="97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1007</v>
      </c>
      <c r="DV132" t="s">
        <v>141</v>
      </c>
      <c r="DW132" t="s">
        <v>141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140625028</v>
      </c>
      <c r="EF132">
        <v>2</v>
      </c>
      <c r="EG132" t="s">
        <v>32</v>
      </c>
      <c r="EH132">
        <v>10</v>
      </c>
      <c r="EI132" t="s">
        <v>147</v>
      </c>
      <c r="EJ132">
        <v>1</v>
      </c>
      <c r="EK132">
        <v>10001</v>
      </c>
      <c r="EL132" t="s">
        <v>147</v>
      </c>
      <c r="EM132" t="s">
        <v>148</v>
      </c>
      <c r="EO132" t="s">
        <v>3</v>
      </c>
      <c r="EQ132">
        <v>0</v>
      </c>
      <c r="ER132">
        <v>1572</v>
      </c>
      <c r="ES132">
        <v>1572</v>
      </c>
      <c r="ET132">
        <v>0</v>
      </c>
      <c r="EU132">
        <v>0</v>
      </c>
      <c r="EV132">
        <v>0</v>
      </c>
      <c r="EW132">
        <v>0</v>
      </c>
      <c r="EX132">
        <v>0</v>
      </c>
      <c r="FQ132">
        <v>0</v>
      </c>
      <c r="FR132">
        <f t="shared" si="98"/>
        <v>0</v>
      </c>
      <c r="FS132">
        <v>0</v>
      </c>
      <c r="FX132">
        <v>108</v>
      </c>
      <c r="FY132">
        <v>55</v>
      </c>
      <c r="GA132" t="s">
        <v>3</v>
      </c>
      <c r="GD132">
        <v>1</v>
      </c>
      <c r="GF132">
        <v>1629719122</v>
      </c>
      <c r="GG132">
        <v>2</v>
      </c>
      <c r="GH132">
        <v>1</v>
      </c>
      <c r="GI132">
        <v>4</v>
      </c>
      <c r="GJ132">
        <v>0</v>
      </c>
      <c r="GK132">
        <v>0</v>
      </c>
      <c r="GL132">
        <f t="shared" si="99"/>
        <v>0</v>
      </c>
      <c r="GM132">
        <f t="shared" si="100"/>
        <v>-62432.51</v>
      </c>
      <c r="GN132">
        <f t="shared" si="101"/>
        <v>-62432.51</v>
      </c>
      <c r="GO132">
        <f t="shared" si="102"/>
        <v>0</v>
      </c>
      <c r="GP132">
        <f t="shared" si="103"/>
        <v>0</v>
      </c>
      <c r="GR132">
        <v>0</v>
      </c>
      <c r="GS132">
        <v>3</v>
      </c>
      <c r="GT132">
        <v>0</v>
      </c>
      <c r="GU132" t="s">
        <v>3</v>
      </c>
      <c r="GV132">
        <f t="shared" si="104"/>
        <v>0</v>
      </c>
      <c r="GW132">
        <v>1</v>
      </c>
      <c r="GX132">
        <f t="shared" si="105"/>
        <v>0</v>
      </c>
      <c r="HA132">
        <v>0</v>
      </c>
      <c r="HB132">
        <v>0</v>
      </c>
      <c r="HC132">
        <f t="shared" si="106"/>
        <v>0</v>
      </c>
      <c r="HE132" t="s">
        <v>3</v>
      </c>
      <c r="HF132" t="s">
        <v>3</v>
      </c>
      <c r="HM132" t="s">
        <v>3</v>
      </c>
      <c r="HN132" t="s">
        <v>149</v>
      </c>
      <c r="HO132" t="s">
        <v>150</v>
      </c>
      <c r="HP132" t="s">
        <v>147</v>
      </c>
      <c r="HQ132" t="s">
        <v>147</v>
      </c>
      <c r="IK132">
        <v>0</v>
      </c>
    </row>
    <row r="133" spans="1:245" x14ac:dyDescent="0.2">
      <c r="A133">
        <v>18</v>
      </c>
      <c r="B133">
        <v>1</v>
      </c>
      <c r="C133">
        <v>157</v>
      </c>
      <c r="E133" t="s">
        <v>292</v>
      </c>
      <c r="F133" t="s">
        <v>293</v>
      </c>
      <c r="G133" t="s">
        <v>294</v>
      </c>
      <c r="H133" t="s">
        <v>21</v>
      </c>
      <c r="I133">
        <f>I129*J133</f>
        <v>-1.1192000000000001E-2</v>
      </c>
      <c r="J133">
        <v>-1.9600700525394046E-3</v>
      </c>
      <c r="K133">
        <v>-1.9599999999999999E-3</v>
      </c>
      <c r="O133">
        <f t="shared" si="74"/>
        <v>-1430.75</v>
      </c>
      <c r="P133">
        <f t="shared" si="75"/>
        <v>-1430.75</v>
      </c>
      <c r="Q133">
        <f t="shared" si="76"/>
        <v>0</v>
      </c>
      <c r="R133">
        <f t="shared" si="77"/>
        <v>0</v>
      </c>
      <c r="S133">
        <f t="shared" si="78"/>
        <v>0</v>
      </c>
      <c r="T133">
        <f t="shared" si="79"/>
        <v>0</v>
      </c>
      <c r="U133">
        <f t="shared" si="80"/>
        <v>0</v>
      </c>
      <c r="V133">
        <f t="shared" si="81"/>
        <v>0</v>
      </c>
      <c r="W133">
        <f t="shared" si="82"/>
        <v>0</v>
      </c>
      <c r="X133">
        <f t="shared" si="83"/>
        <v>0</v>
      </c>
      <c r="Y133">
        <f t="shared" si="84"/>
        <v>0</v>
      </c>
      <c r="AA133">
        <v>145185703</v>
      </c>
      <c r="AB133">
        <f t="shared" si="85"/>
        <v>15255</v>
      </c>
      <c r="AC133">
        <f t="shared" si="107"/>
        <v>15255</v>
      </c>
      <c r="AD133">
        <f t="shared" si="118"/>
        <v>0</v>
      </c>
      <c r="AE133">
        <f t="shared" si="119"/>
        <v>0</v>
      </c>
      <c r="AF133">
        <f t="shared" si="119"/>
        <v>0</v>
      </c>
      <c r="AG133">
        <f t="shared" si="86"/>
        <v>0</v>
      </c>
      <c r="AH133">
        <f t="shared" si="120"/>
        <v>0</v>
      </c>
      <c r="AI133">
        <f t="shared" si="120"/>
        <v>0</v>
      </c>
      <c r="AJ133">
        <f t="shared" si="87"/>
        <v>0</v>
      </c>
      <c r="AK133">
        <v>15255</v>
      </c>
      <c r="AL133">
        <v>15255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108</v>
      </c>
      <c r="AU133">
        <v>55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8.3800000000000008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1</v>
      </c>
      <c r="BJ133" t="s">
        <v>295</v>
      </c>
      <c r="BM133">
        <v>10001</v>
      </c>
      <c r="BN133">
        <v>0</v>
      </c>
      <c r="BO133" t="s">
        <v>3</v>
      </c>
      <c r="BP133">
        <v>0</v>
      </c>
      <c r="BQ133">
        <v>2</v>
      </c>
      <c r="BR133">
        <v>1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108</v>
      </c>
      <c r="CA133">
        <v>55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88"/>
        <v>-1430.75</v>
      </c>
      <c r="CQ133">
        <f t="shared" si="89"/>
        <v>127836.90000000001</v>
      </c>
      <c r="CR133">
        <f t="shared" si="121"/>
        <v>0</v>
      </c>
      <c r="CS133">
        <f t="shared" si="90"/>
        <v>0</v>
      </c>
      <c r="CT133">
        <f t="shared" si="91"/>
        <v>0</v>
      </c>
      <c r="CU133">
        <f t="shared" si="92"/>
        <v>0</v>
      </c>
      <c r="CV133">
        <f t="shared" si="93"/>
        <v>0</v>
      </c>
      <c r="CW133">
        <f t="shared" si="94"/>
        <v>0</v>
      </c>
      <c r="CX133">
        <f t="shared" si="95"/>
        <v>0</v>
      </c>
      <c r="CY133">
        <f t="shared" si="96"/>
        <v>0</v>
      </c>
      <c r="CZ133">
        <f t="shared" si="97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1009</v>
      </c>
      <c r="DV133" t="s">
        <v>21</v>
      </c>
      <c r="DW133" t="s">
        <v>21</v>
      </c>
      <c r="DX133">
        <v>1000</v>
      </c>
      <c r="DZ133" t="s">
        <v>3</v>
      </c>
      <c r="EA133" t="s">
        <v>3</v>
      </c>
      <c r="EB133" t="s">
        <v>3</v>
      </c>
      <c r="EC133" t="s">
        <v>3</v>
      </c>
      <c r="EE133">
        <v>140625028</v>
      </c>
      <c r="EF133">
        <v>2</v>
      </c>
      <c r="EG133" t="s">
        <v>32</v>
      </c>
      <c r="EH133">
        <v>10</v>
      </c>
      <c r="EI133" t="s">
        <v>147</v>
      </c>
      <c r="EJ133">
        <v>1</v>
      </c>
      <c r="EK133">
        <v>10001</v>
      </c>
      <c r="EL133" t="s">
        <v>147</v>
      </c>
      <c r="EM133" t="s">
        <v>148</v>
      </c>
      <c r="EO133" t="s">
        <v>3</v>
      </c>
      <c r="EQ133">
        <v>0</v>
      </c>
      <c r="ER133">
        <v>15255</v>
      </c>
      <c r="ES133">
        <v>15255</v>
      </c>
      <c r="ET133">
        <v>0</v>
      </c>
      <c r="EU133">
        <v>0</v>
      </c>
      <c r="EV133">
        <v>0</v>
      </c>
      <c r="EW133">
        <v>0</v>
      </c>
      <c r="EX133">
        <v>0</v>
      </c>
      <c r="FQ133">
        <v>0</v>
      </c>
      <c r="FR133">
        <f t="shared" si="98"/>
        <v>0</v>
      </c>
      <c r="FS133">
        <v>0</v>
      </c>
      <c r="FX133">
        <v>108</v>
      </c>
      <c r="FY133">
        <v>55</v>
      </c>
      <c r="GA133" t="s">
        <v>3</v>
      </c>
      <c r="GD133">
        <v>1</v>
      </c>
      <c r="GF133">
        <v>1837692376</v>
      </c>
      <c r="GG133">
        <v>2</v>
      </c>
      <c r="GH133">
        <v>1</v>
      </c>
      <c r="GI133">
        <v>4</v>
      </c>
      <c r="GJ133">
        <v>0</v>
      </c>
      <c r="GK133">
        <v>0</v>
      </c>
      <c r="GL133">
        <f t="shared" si="99"/>
        <v>0</v>
      </c>
      <c r="GM133">
        <f t="shared" si="100"/>
        <v>-1430.75</v>
      </c>
      <c r="GN133">
        <f t="shared" si="101"/>
        <v>-1430.75</v>
      </c>
      <c r="GO133">
        <f t="shared" si="102"/>
        <v>0</v>
      </c>
      <c r="GP133">
        <f t="shared" si="103"/>
        <v>0</v>
      </c>
      <c r="GR133">
        <v>0</v>
      </c>
      <c r="GS133">
        <v>3</v>
      </c>
      <c r="GT133">
        <v>0</v>
      </c>
      <c r="GU133" t="s">
        <v>3</v>
      </c>
      <c r="GV133">
        <f t="shared" si="104"/>
        <v>0</v>
      </c>
      <c r="GW133">
        <v>1</v>
      </c>
      <c r="GX133">
        <f t="shared" si="105"/>
        <v>0</v>
      </c>
      <c r="HA133">
        <v>0</v>
      </c>
      <c r="HB133">
        <v>0</v>
      </c>
      <c r="HC133">
        <f t="shared" si="106"/>
        <v>0</v>
      </c>
      <c r="HE133" t="s">
        <v>3</v>
      </c>
      <c r="HF133" t="s">
        <v>3</v>
      </c>
      <c r="HM133" t="s">
        <v>3</v>
      </c>
      <c r="HN133" t="s">
        <v>149</v>
      </c>
      <c r="HO133" t="s">
        <v>150</v>
      </c>
      <c r="HP133" t="s">
        <v>147</v>
      </c>
      <c r="HQ133" t="s">
        <v>147</v>
      </c>
      <c r="IK133">
        <v>0</v>
      </c>
    </row>
    <row r="134" spans="1:245" x14ac:dyDescent="0.2">
      <c r="A134">
        <v>17</v>
      </c>
      <c r="B134">
        <v>1</v>
      </c>
      <c r="E134" t="s">
        <v>296</v>
      </c>
      <c r="F134" t="s">
        <v>56</v>
      </c>
      <c r="G134" t="s">
        <v>297</v>
      </c>
      <c r="H134" t="s">
        <v>141</v>
      </c>
      <c r="I134">
        <v>6</v>
      </c>
      <c r="J134">
        <v>0</v>
      </c>
      <c r="K134">
        <v>6</v>
      </c>
      <c r="O134">
        <f t="shared" si="74"/>
        <v>69615.17</v>
      </c>
      <c r="P134">
        <f t="shared" si="75"/>
        <v>69615.17</v>
      </c>
      <c r="Q134">
        <f t="shared" si="76"/>
        <v>0</v>
      </c>
      <c r="R134">
        <f t="shared" si="77"/>
        <v>0</v>
      </c>
      <c r="S134">
        <f t="shared" si="78"/>
        <v>0</v>
      </c>
      <c r="T134">
        <f t="shared" si="79"/>
        <v>0</v>
      </c>
      <c r="U134">
        <f t="shared" si="80"/>
        <v>0</v>
      </c>
      <c r="V134">
        <f t="shared" si="81"/>
        <v>0</v>
      </c>
      <c r="W134">
        <f t="shared" si="82"/>
        <v>0</v>
      </c>
      <c r="X134">
        <f t="shared" si="83"/>
        <v>0</v>
      </c>
      <c r="Y134">
        <f t="shared" si="84"/>
        <v>0</v>
      </c>
      <c r="AA134">
        <v>145185703</v>
      </c>
      <c r="AB134">
        <f t="shared" si="85"/>
        <v>1384.55</v>
      </c>
      <c r="AC134">
        <f t="shared" si="107"/>
        <v>1384.55</v>
      </c>
      <c r="AD134">
        <f t="shared" si="118"/>
        <v>0</v>
      </c>
      <c r="AE134">
        <f t="shared" si="119"/>
        <v>0</v>
      </c>
      <c r="AF134">
        <f t="shared" si="119"/>
        <v>0</v>
      </c>
      <c r="AG134">
        <f t="shared" si="86"/>
        <v>0</v>
      </c>
      <c r="AH134">
        <f t="shared" si="120"/>
        <v>0</v>
      </c>
      <c r="AI134">
        <f t="shared" si="120"/>
        <v>0</v>
      </c>
      <c r="AJ134">
        <f t="shared" si="87"/>
        <v>0</v>
      </c>
      <c r="AK134">
        <v>1384.5500000000002</v>
      </c>
      <c r="AL134">
        <v>1384.5500000000002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8.3800000000000008</v>
      </c>
      <c r="BD134" t="s">
        <v>3</v>
      </c>
      <c r="BE134" t="s">
        <v>3</v>
      </c>
      <c r="BF134" t="s">
        <v>3</v>
      </c>
      <c r="BG134" t="s">
        <v>3</v>
      </c>
      <c r="BH134">
        <v>3</v>
      </c>
      <c r="BI134">
        <v>1</v>
      </c>
      <c r="BJ134" t="s">
        <v>3</v>
      </c>
      <c r="BM134">
        <v>1100</v>
      </c>
      <c r="BN134">
        <v>0</v>
      </c>
      <c r="BO134" t="s">
        <v>3</v>
      </c>
      <c r="BP134">
        <v>0</v>
      </c>
      <c r="BQ134">
        <v>8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0</v>
      </c>
      <c r="CA134">
        <v>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88"/>
        <v>69615.17</v>
      </c>
      <c r="CQ134">
        <f t="shared" si="89"/>
        <v>11602.529</v>
      </c>
      <c r="CR134">
        <f t="shared" si="121"/>
        <v>0</v>
      </c>
      <c r="CS134">
        <f t="shared" si="90"/>
        <v>0</v>
      </c>
      <c r="CT134">
        <f t="shared" si="91"/>
        <v>0</v>
      </c>
      <c r="CU134">
        <f t="shared" si="92"/>
        <v>0</v>
      </c>
      <c r="CV134">
        <f t="shared" si="93"/>
        <v>0</v>
      </c>
      <c r="CW134">
        <f t="shared" si="94"/>
        <v>0</v>
      </c>
      <c r="CX134">
        <f t="shared" si="95"/>
        <v>0</v>
      </c>
      <c r="CY134">
        <f t="shared" si="96"/>
        <v>0</v>
      </c>
      <c r="CZ134">
        <f t="shared" si="97"/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1007</v>
      </c>
      <c r="DV134" t="s">
        <v>141</v>
      </c>
      <c r="DW134" t="s">
        <v>141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140625274</v>
      </c>
      <c r="EF134">
        <v>8</v>
      </c>
      <c r="EG134" t="s">
        <v>22</v>
      </c>
      <c r="EH134">
        <v>0</v>
      </c>
      <c r="EI134" t="s">
        <v>3</v>
      </c>
      <c r="EJ134">
        <v>1</v>
      </c>
      <c r="EK134">
        <v>1100</v>
      </c>
      <c r="EL134" t="s">
        <v>23</v>
      </c>
      <c r="EM134" t="s">
        <v>24</v>
      </c>
      <c r="EO134" t="s">
        <v>3</v>
      </c>
      <c r="EQ134">
        <v>0</v>
      </c>
      <c r="ER134">
        <v>1396.2100000000003</v>
      </c>
      <c r="ES134">
        <v>1384.5500000000002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5</v>
      </c>
      <c r="FC134">
        <v>1</v>
      </c>
      <c r="FD134">
        <v>18</v>
      </c>
      <c r="FF134">
        <v>13000</v>
      </c>
      <c r="FQ134">
        <v>0</v>
      </c>
      <c r="FR134">
        <f t="shared" si="98"/>
        <v>0</v>
      </c>
      <c r="FS134">
        <v>0</v>
      </c>
      <c r="FX134">
        <v>0</v>
      </c>
      <c r="FY134">
        <v>0</v>
      </c>
      <c r="GA134" t="s">
        <v>142</v>
      </c>
      <c r="GD134">
        <v>1</v>
      </c>
      <c r="GF134">
        <v>-1445629066</v>
      </c>
      <c r="GG134">
        <v>2</v>
      </c>
      <c r="GH134">
        <v>3</v>
      </c>
      <c r="GI134">
        <v>4</v>
      </c>
      <c r="GJ134">
        <v>0</v>
      </c>
      <c r="GK134">
        <v>0</v>
      </c>
      <c r="GL134">
        <f t="shared" si="99"/>
        <v>0</v>
      </c>
      <c r="GM134">
        <f t="shared" si="100"/>
        <v>69615.17</v>
      </c>
      <c r="GN134">
        <f t="shared" si="101"/>
        <v>69615.17</v>
      </c>
      <c r="GO134">
        <f t="shared" si="102"/>
        <v>0</v>
      </c>
      <c r="GP134">
        <f t="shared" si="103"/>
        <v>0</v>
      </c>
      <c r="GR134">
        <v>1</v>
      </c>
      <c r="GS134">
        <v>1</v>
      </c>
      <c r="GT134">
        <v>0</v>
      </c>
      <c r="GU134" t="s">
        <v>3</v>
      </c>
      <c r="GV134">
        <f t="shared" si="104"/>
        <v>0</v>
      </c>
      <c r="GW134">
        <v>1</v>
      </c>
      <c r="GX134">
        <f t="shared" si="105"/>
        <v>0</v>
      </c>
      <c r="HA134">
        <v>0</v>
      </c>
      <c r="HB134">
        <v>0</v>
      </c>
      <c r="HC134">
        <f t="shared" si="106"/>
        <v>0</v>
      </c>
      <c r="HE134" t="s">
        <v>55</v>
      </c>
      <c r="HF134" t="s">
        <v>27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E135" t="s">
        <v>298</v>
      </c>
      <c r="F135" t="s">
        <v>56</v>
      </c>
      <c r="G135" t="s">
        <v>156</v>
      </c>
      <c r="H135" t="s">
        <v>157</v>
      </c>
      <c r="I135">
        <f>ROUND(294.55*0.333,9)</f>
        <v>98.085149999999999</v>
      </c>
      <c r="J135">
        <v>0</v>
      </c>
      <c r="K135">
        <f>ROUND(294.55*0.333,9)</f>
        <v>98.085149999999999</v>
      </c>
      <c r="O135">
        <f t="shared" si="74"/>
        <v>8688.0499999999993</v>
      </c>
      <c r="P135">
        <f t="shared" si="75"/>
        <v>8688.0499999999993</v>
      </c>
      <c r="Q135">
        <f t="shared" si="76"/>
        <v>0</v>
      </c>
      <c r="R135">
        <f t="shared" si="77"/>
        <v>0</v>
      </c>
      <c r="S135">
        <f t="shared" si="78"/>
        <v>0</v>
      </c>
      <c r="T135">
        <f t="shared" si="79"/>
        <v>0</v>
      </c>
      <c r="U135">
        <f t="shared" si="80"/>
        <v>0</v>
      </c>
      <c r="V135">
        <f t="shared" si="81"/>
        <v>0</v>
      </c>
      <c r="W135">
        <f t="shared" si="82"/>
        <v>0</v>
      </c>
      <c r="X135">
        <f t="shared" si="83"/>
        <v>0</v>
      </c>
      <c r="Y135">
        <f t="shared" si="84"/>
        <v>0</v>
      </c>
      <c r="AA135">
        <v>145185703</v>
      </c>
      <c r="AB135">
        <f t="shared" si="85"/>
        <v>10.57</v>
      </c>
      <c r="AC135">
        <f t="shared" si="107"/>
        <v>10.57</v>
      </c>
      <c r="AD135">
        <f t="shared" si="118"/>
        <v>0</v>
      </c>
      <c r="AE135">
        <f t="shared" si="119"/>
        <v>0</v>
      </c>
      <c r="AF135">
        <f t="shared" si="119"/>
        <v>0</v>
      </c>
      <c r="AG135">
        <f t="shared" si="86"/>
        <v>0</v>
      </c>
      <c r="AH135">
        <f t="shared" si="120"/>
        <v>0</v>
      </c>
      <c r="AI135">
        <f t="shared" si="120"/>
        <v>0</v>
      </c>
      <c r="AJ135">
        <f t="shared" si="87"/>
        <v>0</v>
      </c>
      <c r="AK135">
        <v>10.57</v>
      </c>
      <c r="AL135">
        <v>10.57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8.3800000000000008</v>
      </c>
      <c r="BD135" t="s">
        <v>3</v>
      </c>
      <c r="BE135" t="s">
        <v>3</v>
      </c>
      <c r="BF135" t="s">
        <v>3</v>
      </c>
      <c r="BG135" t="s">
        <v>3</v>
      </c>
      <c r="BH135">
        <v>3</v>
      </c>
      <c r="BI135">
        <v>1</v>
      </c>
      <c r="BJ135" t="s">
        <v>3</v>
      </c>
      <c r="BM135">
        <v>1100</v>
      </c>
      <c r="BN135">
        <v>0</v>
      </c>
      <c r="BO135" t="s">
        <v>3</v>
      </c>
      <c r="BP135">
        <v>0</v>
      </c>
      <c r="BQ135">
        <v>8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0</v>
      </c>
      <c r="CA135">
        <v>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88"/>
        <v>8688.0499999999993</v>
      </c>
      <c r="CQ135">
        <f t="shared" si="89"/>
        <v>88.576600000000013</v>
      </c>
      <c r="CR135">
        <f t="shared" si="121"/>
        <v>0</v>
      </c>
      <c r="CS135">
        <f t="shared" si="90"/>
        <v>0</v>
      </c>
      <c r="CT135">
        <f t="shared" si="91"/>
        <v>0</v>
      </c>
      <c r="CU135">
        <f t="shared" si="92"/>
        <v>0</v>
      </c>
      <c r="CV135">
        <f t="shared" si="93"/>
        <v>0</v>
      </c>
      <c r="CW135">
        <f t="shared" si="94"/>
        <v>0</v>
      </c>
      <c r="CX135">
        <f t="shared" si="95"/>
        <v>0</v>
      </c>
      <c r="CY135">
        <f t="shared" si="96"/>
        <v>0</v>
      </c>
      <c r="CZ135">
        <f t="shared" si="97"/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1002</v>
      </c>
      <c r="DV135" t="s">
        <v>157</v>
      </c>
      <c r="DW135" t="s">
        <v>157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140625274</v>
      </c>
      <c r="EF135">
        <v>8</v>
      </c>
      <c r="EG135" t="s">
        <v>22</v>
      </c>
      <c r="EH135">
        <v>0</v>
      </c>
      <c r="EI135" t="s">
        <v>3</v>
      </c>
      <c r="EJ135">
        <v>1</v>
      </c>
      <c r="EK135">
        <v>1100</v>
      </c>
      <c r="EL135" t="s">
        <v>23</v>
      </c>
      <c r="EM135" t="s">
        <v>24</v>
      </c>
      <c r="EO135" t="s">
        <v>3</v>
      </c>
      <c r="EQ135">
        <v>0</v>
      </c>
      <c r="ER135">
        <v>10.670000000000002</v>
      </c>
      <c r="ES135">
        <v>10.57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5</v>
      </c>
      <c r="FC135">
        <v>1</v>
      </c>
      <c r="FD135">
        <v>18</v>
      </c>
      <c r="FF135">
        <v>99.3</v>
      </c>
      <c r="FQ135">
        <v>0</v>
      </c>
      <c r="FR135">
        <f t="shared" si="98"/>
        <v>0</v>
      </c>
      <c r="FS135">
        <v>0</v>
      </c>
      <c r="FX135">
        <v>0</v>
      </c>
      <c r="FY135">
        <v>0</v>
      </c>
      <c r="GA135" t="s">
        <v>158</v>
      </c>
      <c r="GD135">
        <v>1</v>
      </c>
      <c r="GF135">
        <v>1310772798</v>
      </c>
      <c r="GG135">
        <v>2</v>
      </c>
      <c r="GH135">
        <v>3</v>
      </c>
      <c r="GI135">
        <v>4</v>
      </c>
      <c r="GJ135">
        <v>0</v>
      </c>
      <c r="GK135">
        <v>0</v>
      </c>
      <c r="GL135">
        <f t="shared" si="99"/>
        <v>0</v>
      </c>
      <c r="GM135">
        <f t="shared" si="100"/>
        <v>8688.0499999999993</v>
      </c>
      <c r="GN135">
        <f t="shared" si="101"/>
        <v>8688.0499999999993</v>
      </c>
      <c r="GO135">
        <f t="shared" si="102"/>
        <v>0</v>
      </c>
      <c r="GP135">
        <f t="shared" si="103"/>
        <v>0</v>
      </c>
      <c r="GR135">
        <v>1</v>
      </c>
      <c r="GS135">
        <v>1</v>
      </c>
      <c r="GT135">
        <v>0</v>
      </c>
      <c r="GU135" t="s">
        <v>3</v>
      </c>
      <c r="GV135">
        <f t="shared" si="104"/>
        <v>0</v>
      </c>
      <c r="GW135">
        <v>1</v>
      </c>
      <c r="GX135">
        <f t="shared" si="105"/>
        <v>0</v>
      </c>
      <c r="HA135">
        <v>0</v>
      </c>
      <c r="HB135">
        <v>0</v>
      </c>
      <c r="HC135">
        <f t="shared" si="106"/>
        <v>0</v>
      </c>
      <c r="HE135" t="s">
        <v>55</v>
      </c>
      <c r="HF135" t="s">
        <v>27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C136">
        <f>ROW(SmtRes!A164)</f>
        <v>164</v>
      </c>
      <c r="D136">
        <f>ROW(EtalonRes!A164)</f>
        <v>164</v>
      </c>
      <c r="E136" t="s">
        <v>299</v>
      </c>
      <c r="F136" t="s">
        <v>144</v>
      </c>
      <c r="G136" t="s">
        <v>145</v>
      </c>
      <c r="H136" t="s">
        <v>30</v>
      </c>
      <c r="I136">
        <f>ROUND(376.75/100,9)</f>
        <v>3.7675000000000001</v>
      </c>
      <c r="J136">
        <v>0</v>
      </c>
      <c r="K136">
        <f>ROUND(376.75/100,9)</f>
        <v>3.7675000000000001</v>
      </c>
      <c r="O136">
        <f t="shared" si="74"/>
        <v>12933.4</v>
      </c>
      <c r="P136">
        <f t="shared" si="75"/>
        <v>5439.48</v>
      </c>
      <c r="Q136">
        <f t="shared" si="76"/>
        <v>519.32000000000005</v>
      </c>
      <c r="R136">
        <f t="shared" si="77"/>
        <v>156.71</v>
      </c>
      <c r="S136">
        <f t="shared" si="78"/>
        <v>6974.6</v>
      </c>
      <c r="T136">
        <f t="shared" si="79"/>
        <v>0</v>
      </c>
      <c r="U136">
        <f t="shared" si="80"/>
        <v>17.46047875</v>
      </c>
      <c r="V136">
        <f t="shared" si="81"/>
        <v>0.28256249999999999</v>
      </c>
      <c r="W136">
        <f t="shared" si="82"/>
        <v>0</v>
      </c>
      <c r="X136">
        <f t="shared" si="83"/>
        <v>7701.81</v>
      </c>
      <c r="Y136">
        <f t="shared" si="84"/>
        <v>3333.89</v>
      </c>
      <c r="AA136">
        <v>145185703</v>
      </c>
      <c r="AB136">
        <f t="shared" si="85"/>
        <v>223.08</v>
      </c>
      <c r="AC136">
        <f t="shared" si="107"/>
        <v>172.29</v>
      </c>
      <c r="AD136">
        <f>ROUND(((((ET136*1.25))-((EU136*1.25)))+AE136),2)</f>
        <v>10.29</v>
      </c>
      <c r="AE136">
        <f>ROUND(((EU136*1.25)),2)</f>
        <v>0.91</v>
      </c>
      <c r="AF136">
        <f>ROUND(((EV136*1.15)),2)</f>
        <v>40.5</v>
      </c>
      <c r="AG136">
        <f t="shared" si="86"/>
        <v>0</v>
      </c>
      <c r="AH136">
        <f>((EW136*1.15))</f>
        <v>4.6345000000000001</v>
      </c>
      <c r="AI136">
        <f>((EX136*1.25))</f>
        <v>7.4999999999999997E-2</v>
      </c>
      <c r="AJ136">
        <f t="shared" si="87"/>
        <v>0</v>
      </c>
      <c r="AK136">
        <v>215.74</v>
      </c>
      <c r="AL136">
        <v>172.29</v>
      </c>
      <c r="AM136">
        <v>8.23</v>
      </c>
      <c r="AN136">
        <v>0.73</v>
      </c>
      <c r="AO136">
        <v>35.22</v>
      </c>
      <c r="AP136">
        <v>0</v>
      </c>
      <c r="AQ136">
        <v>4.03</v>
      </c>
      <c r="AR136">
        <v>0.06</v>
      </c>
      <c r="AS136">
        <v>0</v>
      </c>
      <c r="AT136">
        <v>108</v>
      </c>
      <c r="AU136">
        <v>46.75</v>
      </c>
      <c r="AV136">
        <v>1</v>
      </c>
      <c r="AW136">
        <v>1</v>
      </c>
      <c r="AZ136">
        <v>1</v>
      </c>
      <c r="BA136">
        <v>45.71</v>
      </c>
      <c r="BB136">
        <v>13.41</v>
      </c>
      <c r="BC136">
        <v>8.3800000000000008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1</v>
      </c>
      <c r="BJ136" t="s">
        <v>146</v>
      </c>
      <c r="BM136">
        <v>10001</v>
      </c>
      <c r="BN136">
        <v>0</v>
      </c>
      <c r="BO136" t="s">
        <v>3</v>
      </c>
      <c r="BP136">
        <v>0</v>
      </c>
      <c r="BQ136">
        <v>2</v>
      </c>
      <c r="BR136">
        <v>0</v>
      </c>
      <c r="BS136">
        <v>45.71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108</v>
      </c>
      <c r="CA136">
        <v>55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548</v>
      </c>
      <c r="CO136">
        <v>0</v>
      </c>
      <c r="CP136">
        <f t="shared" si="88"/>
        <v>12933.4</v>
      </c>
      <c r="CQ136">
        <f t="shared" si="89"/>
        <v>1443.7902000000001</v>
      </c>
      <c r="CR136">
        <f>((((ET136*1.25))*BB136-((EU136*1.25))*BS136)+AE136*BS136)</f>
        <v>137.84110000000004</v>
      </c>
      <c r="CS136">
        <f t="shared" si="90"/>
        <v>41.5961</v>
      </c>
      <c r="CT136">
        <f t="shared" si="91"/>
        <v>1851.2550000000001</v>
      </c>
      <c r="CU136">
        <f t="shared" si="92"/>
        <v>0</v>
      </c>
      <c r="CV136">
        <f t="shared" si="93"/>
        <v>4.6345000000000001</v>
      </c>
      <c r="CW136">
        <f t="shared" si="94"/>
        <v>7.4999999999999997E-2</v>
      </c>
      <c r="CX136">
        <f t="shared" si="95"/>
        <v>0</v>
      </c>
      <c r="CY136">
        <f t="shared" si="96"/>
        <v>7701.814800000001</v>
      </c>
      <c r="CZ136">
        <f t="shared" si="97"/>
        <v>3333.8874249999999</v>
      </c>
      <c r="DC136" t="s">
        <v>3</v>
      </c>
      <c r="DD136" t="s">
        <v>3</v>
      </c>
      <c r="DE136" t="s">
        <v>42</v>
      </c>
      <c r="DF136" t="s">
        <v>42</v>
      </c>
      <c r="DG136" t="s">
        <v>43</v>
      </c>
      <c r="DH136" t="s">
        <v>3</v>
      </c>
      <c r="DI136" t="s">
        <v>43</v>
      </c>
      <c r="DJ136" t="s">
        <v>42</v>
      </c>
      <c r="DK136" t="s">
        <v>3</v>
      </c>
      <c r="DL136" t="s">
        <v>3</v>
      </c>
      <c r="DM136" t="s">
        <v>44</v>
      </c>
      <c r="DN136">
        <v>0</v>
      </c>
      <c r="DO136">
        <v>0</v>
      </c>
      <c r="DP136">
        <v>1</v>
      </c>
      <c r="DQ136">
        <v>1</v>
      </c>
      <c r="DU136">
        <v>1005</v>
      </c>
      <c r="DV136" t="s">
        <v>30</v>
      </c>
      <c r="DW136" t="s">
        <v>30</v>
      </c>
      <c r="DX136">
        <v>100</v>
      </c>
      <c r="DZ136" t="s">
        <v>3</v>
      </c>
      <c r="EA136" t="s">
        <v>3</v>
      </c>
      <c r="EB136" t="s">
        <v>3</v>
      </c>
      <c r="EC136" t="s">
        <v>3</v>
      </c>
      <c r="EE136">
        <v>140625028</v>
      </c>
      <c r="EF136">
        <v>2</v>
      </c>
      <c r="EG136" t="s">
        <v>32</v>
      </c>
      <c r="EH136">
        <v>10</v>
      </c>
      <c r="EI136" t="s">
        <v>147</v>
      </c>
      <c r="EJ136">
        <v>1</v>
      </c>
      <c r="EK136">
        <v>10001</v>
      </c>
      <c r="EL136" t="s">
        <v>147</v>
      </c>
      <c r="EM136" t="s">
        <v>148</v>
      </c>
      <c r="EO136" t="s">
        <v>47</v>
      </c>
      <c r="EQ136">
        <v>0</v>
      </c>
      <c r="ER136">
        <v>215.74</v>
      </c>
      <c r="ES136">
        <v>172.29</v>
      </c>
      <c r="ET136">
        <v>8.23</v>
      </c>
      <c r="EU136">
        <v>0.73</v>
      </c>
      <c r="EV136">
        <v>35.22</v>
      </c>
      <c r="EW136">
        <v>4.03</v>
      </c>
      <c r="EX136">
        <v>0.06</v>
      </c>
      <c r="EY136">
        <v>0</v>
      </c>
      <c r="FQ136">
        <v>0</v>
      </c>
      <c r="FR136">
        <f t="shared" si="98"/>
        <v>0</v>
      </c>
      <c r="FS136">
        <v>0</v>
      </c>
      <c r="FX136">
        <v>108</v>
      </c>
      <c r="FY136">
        <v>46.75</v>
      </c>
      <c r="GA136" t="s">
        <v>3</v>
      </c>
      <c r="GD136">
        <v>1</v>
      </c>
      <c r="GF136">
        <v>-1464338674</v>
      </c>
      <c r="GG136">
        <v>2</v>
      </c>
      <c r="GH136">
        <v>1</v>
      </c>
      <c r="GI136">
        <v>4</v>
      </c>
      <c r="GJ136">
        <v>0</v>
      </c>
      <c r="GK136">
        <v>0</v>
      </c>
      <c r="GL136">
        <f t="shared" si="99"/>
        <v>0</v>
      </c>
      <c r="GM136">
        <f t="shared" si="100"/>
        <v>23969.1</v>
      </c>
      <c r="GN136">
        <f t="shared" si="101"/>
        <v>23969.1</v>
      </c>
      <c r="GO136">
        <f t="shared" si="102"/>
        <v>0</v>
      </c>
      <c r="GP136">
        <f t="shared" si="103"/>
        <v>0</v>
      </c>
      <c r="GR136">
        <v>0</v>
      </c>
      <c r="GS136">
        <v>3</v>
      </c>
      <c r="GT136">
        <v>0</v>
      </c>
      <c r="GU136" t="s">
        <v>3</v>
      </c>
      <c r="GV136">
        <f t="shared" si="104"/>
        <v>0</v>
      </c>
      <c r="GW136">
        <v>1</v>
      </c>
      <c r="GX136">
        <f t="shared" si="105"/>
        <v>0</v>
      </c>
      <c r="HA136">
        <v>0</v>
      </c>
      <c r="HB136">
        <v>0</v>
      </c>
      <c r="HC136">
        <f t="shared" si="106"/>
        <v>0</v>
      </c>
      <c r="HE136" t="s">
        <v>3</v>
      </c>
      <c r="HF136" t="s">
        <v>3</v>
      </c>
      <c r="HM136" t="s">
        <v>3</v>
      </c>
      <c r="HN136" t="s">
        <v>149</v>
      </c>
      <c r="HO136" t="s">
        <v>150</v>
      </c>
      <c r="HP136" t="s">
        <v>147</v>
      </c>
      <c r="HQ136" t="s">
        <v>147</v>
      </c>
      <c r="IK136">
        <v>0</v>
      </c>
    </row>
    <row r="137" spans="1:245" x14ac:dyDescent="0.2">
      <c r="A137">
        <v>18</v>
      </c>
      <c r="B137">
        <v>1</v>
      </c>
      <c r="C137">
        <v>163</v>
      </c>
      <c r="E137" t="s">
        <v>300</v>
      </c>
      <c r="F137" t="s">
        <v>152</v>
      </c>
      <c r="G137" t="s">
        <v>153</v>
      </c>
      <c r="H137" t="s">
        <v>21</v>
      </c>
      <c r="I137">
        <f>I136*J137</f>
        <v>-3.3908000000000001E-2</v>
      </c>
      <c r="J137">
        <v>-9.0001327140013278E-3</v>
      </c>
      <c r="K137">
        <v>-8.9999999999999993E-3</v>
      </c>
      <c r="O137">
        <f t="shared" si="74"/>
        <v>-5427.25</v>
      </c>
      <c r="P137">
        <f t="shared" si="75"/>
        <v>-5427.25</v>
      </c>
      <c r="Q137">
        <f t="shared" si="76"/>
        <v>0</v>
      </c>
      <c r="R137">
        <f t="shared" si="77"/>
        <v>0</v>
      </c>
      <c r="S137">
        <f t="shared" si="78"/>
        <v>0</v>
      </c>
      <c r="T137">
        <f t="shared" si="79"/>
        <v>0</v>
      </c>
      <c r="U137">
        <f t="shared" si="80"/>
        <v>0</v>
      </c>
      <c r="V137">
        <f t="shared" si="81"/>
        <v>0</v>
      </c>
      <c r="W137">
        <f t="shared" si="82"/>
        <v>0</v>
      </c>
      <c r="X137">
        <f t="shared" si="83"/>
        <v>0</v>
      </c>
      <c r="Y137">
        <f t="shared" si="84"/>
        <v>0</v>
      </c>
      <c r="AA137">
        <v>145185703</v>
      </c>
      <c r="AB137">
        <f t="shared" si="85"/>
        <v>19100</v>
      </c>
      <c r="AC137">
        <f t="shared" si="107"/>
        <v>19100</v>
      </c>
      <c r="AD137">
        <f>ROUND((((ET137)-(EU137))+AE137),2)</f>
        <v>0</v>
      </c>
      <c r="AE137">
        <f t="shared" ref="AE137:AF141" si="122">ROUND((EU137),2)</f>
        <v>0</v>
      </c>
      <c r="AF137">
        <f t="shared" si="122"/>
        <v>0</v>
      </c>
      <c r="AG137">
        <f t="shared" si="86"/>
        <v>0</v>
      </c>
      <c r="AH137">
        <f t="shared" ref="AH137:AI141" si="123">(EW137)</f>
        <v>0</v>
      </c>
      <c r="AI137">
        <f t="shared" si="123"/>
        <v>0</v>
      </c>
      <c r="AJ137">
        <f t="shared" si="87"/>
        <v>0</v>
      </c>
      <c r="AK137">
        <v>19100</v>
      </c>
      <c r="AL137">
        <v>19100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108</v>
      </c>
      <c r="AU137">
        <v>55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8.3800000000000008</v>
      </c>
      <c r="BD137" t="s">
        <v>3</v>
      </c>
      <c r="BE137" t="s">
        <v>3</v>
      </c>
      <c r="BF137" t="s">
        <v>3</v>
      </c>
      <c r="BG137" t="s">
        <v>3</v>
      </c>
      <c r="BH137">
        <v>3</v>
      </c>
      <c r="BI137">
        <v>1</v>
      </c>
      <c r="BJ137" t="s">
        <v>154</v>
      </c>
      <c r="BM137">
        <v>10001</v>
      </c>
      <c r="BN137">
        <v>0</v>
      </c>
      <c r="BO137" t="s">
        <v>3</v>
      </c>
      <c r="BP137">
        <v>0</v>
      </c>
      <c r="BQ137">
        <v>2</v>
      </c>
      <c r="BR137">
        <v>1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108</v>
      </c>
      <c r="CA137">
        <v>55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88"/>
        <v>-5427.25</v>
      </c>
      <c r="CQ137">
        <f t="shared" si="89"/>
        <v>160058.00000000003</v>
      </c>
      <c r="CR137">
        <f>(((ET137)*BB137-(EU137)*BS137)+AE137*BS137)</f>
        <v>0</v>
      </c>
      <c r="CS137">
        <f t="shared" si="90"/>
        <v>0</v>
      </c>
      <c r="CT137">
        <f t="shared" si="91"/>
        <v>0</v>
      </c>
      <c r="CU137">
        <f t="shared" si="92"/>
        <v>0</v>
      </c>
      <c r="CV137">
        <f t="shared" si="93"/>
        <v>0</v>
      </c>
      <c r="CW137">
        <f t="shared" si="94"/>
        <v>0</v>
      </c>
      <c r="CX137">
        <f t="shared" si="95"/>
        <v>0</v>
      </c>
      <c r="CY137">
        <f t="shared" si="96"/>
        <v>0</v>
      </c>
      <c r="CZ137">
        <f t="shared" si="97"/>
        <v>0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1009</v>
      </c>
      <c r="DV137" t="s">
        <v>21</v>
      </c>
      <c r="DW137" t="s">
        <v>21</v>
      </c>
      <c r="DX137">
        <v>1000</v>
      </c>
      <c r="DZ137" t="s">
        <v>3</v>
      </c>
      <c r="EA137" t="s">
        <v>3</v>
      </c>
      <c r="EB137" t="s">
        <v>3</v>
      </c>
      <c r="EC137" t="s">
        <v>3</v>
      </c>
      <c r="EE137">
        <v>140625028</v>
      </c>
      <c r="EF137">
        <v>2</v>
      </c>
      <c r="EG137" t="s">
        <v>32</v>
      </c>
      <c r="EH137">
        <v>10</v>
      </c>
      <c r="EI137" t="s">
        <v>147</v>
      </c>
      <c r="EJ137">
        <v>1</v>
      </c>
      <c r="EK137">
        <v>10001</v>
      </c>
      <c r="EL137" t="s">
        <v>147</v>
      </c>
      <c r="EM137" t="s">
        <v>148</v>
      </c>
      <c r="EO137" t="s">
        <v>3</v>
      </c>
      <c r="EQ137">
        <v>32768</v>
      </c>
      <c r="ER137">
        <v>19100</v>
      </c>
      <c r="ES137">
        <v>19100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 t="shared" si="98"/>
        <v>0</v>
      </c>
      <c r="FS137">
        <v>0</v>
      </c>
      <c r="FX137">
        <v>108</v>
      </c>
      <c r="FY137">
        <v>55</v>
      </c>
      <c r="GA137" t="s">
        <v>3</v>
      </c>
      <c r="GD137">
        <v>1</v>
      </c>
      <c r="GF137">
        <v>-1616928744</v>
      </c>
      <c r="GG137">
        <v>2</v>
      </c>
      <c r="GH137">
        <v>1</v>
      </c>
      <c r="GI137">
        <v>4</v>
      </c>
      <c r="GJ137">
        <v>0</v>
      </c>
      <c r="GK137">
        <v>0</v>
      </c>
      <c r="GL137">
        <f t="shared" si="99"/>
        <v>0</v>
      </c>
      <c r="GM137">
        <f t="shared" si="100"/>
        <v>-5427.25</v>
      </c>
      <c r="GN137">
        <f t="shared" si="101"/>
        <v>-5427.25</v>
      </c>
      <c r="GO137">
        <f t="shared" si="102"/>
        <v>0</v>
      </c>
      <c r="GP137">
        <f t="shared" si="103"/>
        <v>0</v>
      </c>
      <c r="GR137">
        <v>0</v>
      </c>
      <c r="GS137">
        <v>3</v>
      </c>
      <c r="GT137">
        <v>0</v>
      </c>
      <c r="GU137" t="s">
        <v>3</v>
      </c>
      <c r="GV137">
        <f t="shared" si="104"/>
        <v>0</v>
      </c>
      <c r="GW137">
        <v>1</v>
      </c>
      <c r="GX137">
        <f t="shared" si="105"/>
        <v>0</v>
      </c>
      <c r="HA137">
        <v>0</v>
      </c>
      <c r="HB137">
        <v>0</v>
      </c>
      <c r="HC137">
        <f t="shared" si="106"/>
        <v>0</v>
      </c>
      <c r="HE137" t="s">
        <v>3</v>
      </c>
      <c r="HF137" t="s">
        <v>3</v>
      </c>
      <c r="HM137" t="s">
        <v>3</v>
      </c>
      <c r="HN137" t="s">
        <v>149</v>
      </c>
      <c r="HO137" t="s">
        <v>150</v>
      </c>
      <c r="HP137" t="s">
        <v>147</v>
      </c>
      <c r="HQ137" t="s">
        <v>147</v>
      </c>
      <c r="IK137">
        <v>0</v>
      </c>
    </row>
    <row r="138" spans="1:245" x14ac:dyDescent="0.2">
      <c r="A138">
        <v>17</v>
      </c>
      <c r="B138">
        <v>1</v>
      </c>
      <c r="E138" t="s">
        <v>301</v>
      </c>
      <c r="F138" t="s">
        <v>56</v>
      </c>
      <c r="G138" t="s">
        <v>156</v>
      </c>
      <c r="H138" t="s">
        <v>157</v>
      </c>
      <c r="I138">
        <f>ROUND(I136*33.3,9)</f>
        <v>125.45775</v>
      </c>
      <c r="J138">
        <v>0</v>
      </c>
      <c r="K138">
        <f>ROUND(I136*33.3,9)</f>
        <v>125.45775</v>
      </c>
      <c r="O138">
        <f t="shared" si="74"/>
        <v>11112.62</v>
      </c>
      <c r="P138">
        <f t="shared" si="75"/>
        <v>11112.62</v>
      </c>
      <c r="Q138">
        <f t="shared" si="76"/>
        <v>0</v>
      </c>
      <c r="R138">
        <f t="shared" si="77"/>
        <v>0</v>
      </c>
      <c r="S138">
        <f t="shared" si="78"/>
        <v>0</v>
      </c>
      <c r="T138">
        <f t="shared" si="79"/>
        <v>0</v>
      </c>
      <c r="U138">
        <f t="shared" si="80"/>
        <v>0</v>
      </c>
      <c r="V138">
        <f t="shared" si="81"/>
        <v>0</v>
      </c>
      <c r="W138">
        <f t="shared" si="82"/>
        <v>0</v>
      </c>
      <c r="X138">
        <f t="shared" si="83"/>
        <v>0</v>
      </c>
      <c r="Y138">
        <f t="shared" si="84"/>
        <v>0</v>
      </c>
      <c r="AA138">
        <v>145185703</v>
      </c>
      <c r="AB138">
        <f t="shared" si="85"/>
        <v>10.57</v>
      </c>
      <c r="AC138">
        <f t="shared" si="107"/>
        <v>10.57</v>
      </c>
      <c r="AD138">
        <f>ROUND((((ET138)-(EU138))+AE138),2)</f>
        <v>0</v>
      </c>
      <c r="AE138">
        <f t="shared" si="122"/>
        <v>0</v>
      </c>
      <c r="AF138">
        <f t="shared" si="122"/>
        <v>0</v>
      </c>
      <c r="AG138">
        <f t="shared" si="86"/>
        <v>0</v>
      </c>
      <c r="AH138">
        <f t="shared" si="123"/>
        <v>0</v>
      </c>
      <c r="AI138">
        <f t="shared" si="123"/>
        <v>0</v>
      </c>
      <c r="AJ138">
        <f t="shared" si="87"/>
        <v>0</v>
      </c>
      <c r="AK138">
        <v>10.57</v>
      </c>
      <c r="AL138">
        <v>10.57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8.3800000000000008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1</v>
      </c>
      <c r="BJ138" t="s">
        <v>3</v>
      </c>
      <c r="BM138">
        <v>1100</v>
      </c>
      <c r="BN138">
        <v>0</v>
      </c>
      <c r="BO138" t="s">
        <v>3</v>
      </c>
      <c r="BP138">
        <v>0</v>
      </c>
      <c r="BQ138">
        <v>8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0</v>
      </c>
      <c r="CA138">
        <v>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88"/>
        <v>11112.62</v>
      </c>
      <c r="CQ138">
        <f t="shared" si="89"/>
        <v>88.576600000000013</v>
      </c>
      <c r="CR138">
        <f>(((ET138)*BB138-(EU138)*BS138)+AE138*BS138)</f>
        <v>0</v>
      </c>
      <c r="CS138">
        <f t="shared" si="90"/>
        <v>0</v>
      </c>
      <c r="CT138">
        <f t="shared" si="91"/>
        <v>0</v>
      </c>
      <c r="CU138">
        <f t="shared" si="92"/>
        <v>0</v>
      </c>
      <c r="CV138">
        <f t="shared" si="93"/>
        <v>0</v>
      </c>
      <c r="CW138">
        <f t="shared" si="94"/>
        <v>0</v>
      </c>
      <c r="CX138">
        <f t="shared" si="95"/>
        <v>0</v>
      </c>
      <c r="CY138">
        <f t="shared" si="96"/>
        <v>0</v>
      </c>
      <c r="CZ138">
        <f t="shared" si="97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1002</v>
      </c>
      <c r="DV138" t="s">
        <v>157</v>
      </c>
      <c r="DW138" t="s">
        <v>157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140625274</v>
      </c>
      <c r="EF138">
        <v>8</v>
      </c>
      <c r="EG138" t="s">
        <v>22</v>
      </c>
      <c r="EH138">
        <v>0</v>
      </c>
      <c r="EI138" t="s">
        <v>3</v>
      </c>
      <c r="EJ138">
        <v>1</v>
      </c>
      <c r="EK138">
        <v>1100</v>
      </c>
      <c r="EL138" t="s">
        <v>23</v>
      </c>
      <c r="EM138" t="s">
        <v>24</v>
      </c>
      <c r="EO138" t="s">
        <v>3</v>
      </c>
      <c r="EQ138">
        <v>0</v>
      </c>
      <c r="ER138">
        <v>10.670000000000002</v>
      </c>
      <c r="ES138">
        <v>10.57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5</v>
      </c>
      <c r="FC138">
        <v>1</v>
      </c>
      <c r="FD138">
        <v>18</v>
      </c>
      <c r="FF138">
        <v>99.3</v>
      </c>
      <c r="FQ138">
        <v>0</v>
      </c>
      <c r="FR138">
        <f t="shared" si="98"/>
        <v>0</v>
      </c>
      <c r="FS138">
        <v>0</v>
      </c>
      <c r="FX138">
        <v>0</v>
      </c>
      <c r="FY138">
        <v>0</v>
      </c>
      <c r="GA138" t="s">
        <v>158</v>
      </c>
      <c r="GD138">
        <v>1</v>
      </c>
      <c r="GF138">
        <v>1310772798</v>
      </c>
      <c r="GG138">
        <v>2</v>
      </c>
      <c r="GH138">
        <v>3</v>
      </c>
      <c r="GI138">
        <v>4</v>
      </c>
      <c r="GJ138">
        <v>0</v>
      </c>
      <c r="GK138">
        <v>0</v>
      </c>
      <c r="GL138">
        <f t="shared" si="99"/>
        <v>0</v>
      </c>
      <c r="GM138">
        <f t="shared" si="100"/>
        <v>11112.62</v>
      </c>
      <c r="GN138">
        <f t="shared" si="101"/>
        <v>11112.62</v>
      </c>
      <c r="GO138">
        <f t="shared" si="102"/>
        <v>0</v>
      </c>
      <c r="GP138">
        <f t="shared" si="103"/>
        <v>0</v>
      </c>
      <c r="GR138">
        <v>1</v>
      </c>
      <c r="GS138">
        <v>1</v>
      </c>
      <c r="GT138">
        <v>0</v>
      </c>
      <c r="GU138" t="s">
        <v>3</v>
      </c>
      <c r="GV138">
        <f t="shared" si="104"/>
        <v>0</v>
      </c>
      <c r="GW138">
        <v>1</v>
      </c>
      <c r="GX138">
        <f t="shared" si="105"/>
        <v>0</v>
      </c>
      <c r="HA138">
        <v>0</v>
      </c>
      <c r="HB138">
        <v>0</v>
      </c>
      <c r="HC138">
        <f t="shared" si="106"/>
        <v>0</v>
      </c>
      <c r="HE138" t="s">
        <v>55</v>
      </c>
      <c r="HF138" t="s">
        <v>27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C139">
        <f>ROW(SmtRes!A177)</f>
        <v>177</v>
      </c>
      <c r="D139">
        <f>ROW(EtalonRes!A177)</f>
        <v>177</v>
      </c>
      <c r="E139" t="s">
        <v>302</v>
      </c>
      <c r="F139" t="s">
        <v>303</v>
      </c>
      <c r="G139" t="s">
        <v>304</v>
      </c>
      <c r="H139" t="s">
        <v>141</v>
      </c>
      <c r="I139">
        <v>2</v>
      </c>
      <c r="J139">
        <v>0</v>
      </c>
      <c r="K139">
        <v>2</v>
      </c>
      <c r="O139">
        <f t="shared" si="74"/>
        <v>25908.74</v>
      </c>
      <c r="P139">
        <f t="shared" si="75"/>
        <v>397.55</v>
      </c>
      <c r="Q139">
        <f t="shared" si="76"/>
        <v>7332.32</v>
      </c>
      <c r="R139">
        <f t="shared" si="77"/>
        <v>426.93</v>
      </c>
      <c r="S139">
        <f t="shared" si="78"/>
        <v>18178.87</v>
      </c>
      <c r="T139">
        <f t="shared" si="79"/>
        <v>0</v>
      </c>
      <c r="U139">
        <f t="shared" si="80"/>
        <v>41.82</v>
      </c>
      <c r="V139">
        <f t="shared" si="81"/>
        <v>0.7</v>
      </c>
      <c r="W139">
        <f t="shared" si="82"/>
        <v>0</v>
      </c>
      <c r="X139">
        <f t="shared" si="83"/>
        <v>19163.97</v>
      </c>
      <c r="Y139">
        <f t="shared" si="84"/>
        <v>10977.42</v>
      </c>
      <c r="AA139">
        <v>145185703</v>
      </c>
      <c r="AB139">
        <f t="shared" si="85"/>
        <v>495.96</v>
      </c>
      <c r="AC139">
        <f t="shared" si="107"/>
        <v>23.72</v>
      </c>
      <c r="AD139">
        <f>ROUND((((ET139)-(EU139))+AE139),2)</f>
        <v>273.39</v>
      </c>
      <c r="AE139">
        <f t="shared" si="122"/>
        <v>4.67</v>
      </c>
      <c r="AF139">
        <f t="shared" si="122"/>
        <v>198.85</v>
      </c>
      <c r="AG139">
        <f t="shared" si="86"/>
        <v>0</v>
      </c>
      <c r="AH139">
        <f t="shared" si="123"/>
        <v>20.91</v>
      </c>
      <c r="AI139">
        <f t="shared" si="123"/>
        <v>0.35</v>
      </c>
      <c r="AJ139">
        <f t="shared" si="87"/>
        <v>0</v>
      </c>
      <c r="AK139">
        <v>495.96</v>
      </c>
      <c r="AL139">
        <v>23.72</v>
      </c>
      <c r="AM139">
        <v>273.39</v>
      </c>
      <c r="AN139">
        <v>4.67</v>
      </c>
      <c r="AO139">
        <v>198.85</v>
      </c>
      <c r="AP139">
        <v>0</v>
      </c>
      <c r="AQ139">
        <v>20.91</v>
      </c>
      <c r="AR139">
        <v>0.35</v>
      </c>
      <c r="AS139">
        <v>0</v>
      </c>
      <c r="AT139">
        <v>103</v>
      </c>
      <c r="AU139">
        <v>59</v>
      </c>
      <c r="AV139">
        <v>1</v>
      </c>
      <c r="AW139">
        <v>1</v>
      </c>
      <c r="AZ139">
        <v>1</v>
      </c>
      <c r="BA139">
        <v>45.71</v>
      </c>
      <c r="BB139">
        <v>13.41</v>
      </c>
      <c r="BC139">
        <v>8.3800000000000008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1</v>
      </c>
      <c r="BJ139" t="s">
        <v>305</v>
      </c>
      <c r="BM139">
        <v>46001</v>
      </c>
      <c r="BN139">
        <v>0</v>
      </c>
      <c r="BO139" t="s">
        <v>3</v>
      </c>
      <c r="BP139">
        <v>0</v>
      </c>
      <c r="BQ139">
        <v>2</v>
      </c>
      <c r="BR139">
        <v>0</v>
      </c>
      <c r="BS139">
        <v>45.71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103</v>
      </c>
      <c r="CA139">
        <v>59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88"/>
        <v>25908.739999999998</v>
      </c>
      <c r="CQ139">
        <f t="shared" si="89"/>
        <v>198.77360000000002</v>
      </c>
      <c r="CR139">
        <f>(((ET139)*BB139-(EU139)*BS139)+AE139*BS139)</f>
        <v>3666.1598999999997</v>
      </c>
      <c r="CS139">
        <f t="shared" si="90"/>
        <v>213.4657</v>
      </c>
      <c r="CT139">
        <f t="shared" si="91"/>
        <v>9089.4334999999992</v>
      </c>
      <c r="CU139">
        <f t="shared" si="92"/>
        <v>0</v>
      </c>
      <c r="CV139">
        <f t="shared" si="93"/>
        <v>20.91</v>
      </c>
      <c r="CW139">
        <f t="shared" si="94"/>
        <v>0.35</v>
      </c>
      <c r="CX139">
        <f t="shared" si="95"/>
        <v>0</v>
      </c>
      <c r="CY139">
        <f t="shared" si="96"/>
        <v>19163.973999999998</v>
      </c>
      <c r="CZ139">
        <f t="shared" si="97"/>
        <v>10977.421999999999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1007</v>
      </c>
      <c r="DV139" t="s">
        <v>141</v>
      </c>
      <c r="DW139" t="s">
        <v>141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140625131</v>
      </c>
      <c r="EF139">
        <v>2</v>
      </c>
      <c r="EG139" t="s">
        <v>32</v>
      </c>
      <c r="EH139">
        <v>40</v>
      </c>
      <c r="EI139" t="s">
        <v>33</v>
      </c>
      <c r="EJ139">
        <v>1</v>
      </c>
      <c r="EK139">
        <v>46001</v>
      </c>
      <c r="EL139" t="s">
        <v>306</v>
      </c>
      <c r="EM139" t="s">
        <v>35</v>
      </c>
      <c r="EO139" t="s">
        <v>3</v>
      </c>
      <c r="EQ139">
        <v>0</v>
      </c>
      <c r="ER139">
        <v>495.96</v>
      </c>
      <c r="ES139">
        <v>23.72</v>
      </c>
      <c r="ET139">
        <v>273.39</v>
      </c>
      <c r="EU139">
        <v>4.67</v>
      </c>
      <c r="EV139">
        <v>198.85</v>
      </c>
      <c r="EW139">
        <v>20.91</v>
      </c>
      <c r="EX139">
        <v>0.35</v>
      </c>
      <c r="EY139">
        <v>0</v>
      </c>
      <c r="FQ139">
        <v>0</v>
      </c>
      <c r="FR139">
        <f t="shared" si="98"/>
        <v>0</v>
      </c>
      <c r="FS139">
        <v>0</v>
      </c>
      <c r="FX139">
        <v>103</v>
      </c>
      <c r="FY139">
        <v>59</v>
      </c>
      <c r="GA139" t="s">
        <v>3</v>
      </c>
      <c r="GD139">
        <v>1</v>
      </c>
      <c r="GF139">
        <v>443883639</v>
      </c>
      <c r="GG139">
        <v>2</v>
      </c>
      <c r="GH139">
        <v>1</v>
      </c>
      <c r="GI139">
        <v>4</v>
      </c>
      <c r="GJ139">
        <v>0</v>
      </c>
      <c r="GK139">
        <v>0</v>
      </c>
      <c r="GL139">
        <f t="shared" si="99"/>
        <v>0</v>
      </c>
      <c r="GM139">
        <f t="shared" si="100"/>
        <v>56050.13</v>
      </c>
      <c r="GN139">
        <f t="shared" si="101"/>
        <v>56050.13</v>
      </c>
      <c r="GO139">
        <f t="shared" si="102"/>
        <v>0</v>
      </c>
      <c r="GP139">
        <f t="shared" si="103"/>
        <v>0</v>
      </c>
      <c r="GR139">
        <v>0</v>
      </c>
      <c r="GS139">
        <v>3</v>
      </c>
      <c r="GT139">
        <v>0</v>
      </c>
      <c r="GU139" t="s">
        <v>3</v>
      </c>
      <c r="GV139">
        <f t="shared" si="104"/>
        <v>0</v>
      </c>
      <c r="GW139">
        <v>1</v>
      </c>
      <c r="GX139">
        <f t="shared" si="105"/>
        <v>0</v>
      </c>
      <c r="HA139">
        <v>0</v>
      </c>
      <c r="HB139">
        <v>0</v>
      </c>
      <c r="HC139">
        <f t="shared" si="106"/>
        <v>0</v>
      </c>
      <c r="HE139" t="s">
        <v>3</v>
      </c>
      <c r="HF139" t="s">
        <v>3</v>
      </c>
      <c r="HM139" t="s">
        <v>3</v>
      </c>
      <c r="HN139" t="s">
        <v>307</v>
      </c>
      <c r="HO139" t="s">
        <v>308</v>
      </c>
      <c r="HP139" t="s">
        <v>306</v>
      </c>
      <c r="HQ139" t="s">
        <v>306</v>
      </c>
      <c r="IK139">
        <v>0</v>
      </c>
    </row>
    <row r="140" spans="1:245" x14ac:dyDescent="0.2">
      <c r="A140">
        <v>17</v>
      </c>
      <c r="B140">
        <v>1</v>
      </c>
      <c r="E140" t="s">
        <v>309</v>
      </c>
      <c r="F140" t="s">
        <v>56</v>
      </c>
      <c r="G140" t="s">
        <v>310</v>
      </c>
      <c r="H140" t="s">
        <v>141</v>
      </c>
      <c r="I140">
        <f>ROUND(I139*1.02,9)</f>
        <v>2.04</v>
      </c>
      <c r="J140">
        <v>0</v>
      </c>
      <c r="K140">
        <f>ROUND(I139*1.02,9)</f>
        <v>2.04</v>
      </c>
      <c r="O140">
        <f t="shared" si="74"/>
        <v>8739.41</v>
      </c>
      <c r="P140">
        <f t="shared" si="75"/>
        <v>8739.41</v>
      </c>
      <c r="Q140">
        <f t="shared" si="76"/>
        <v>0</v>
      </c>
      <c r="R140">
        <f t="shared" si="77"/>
        <v>0</v>
      </c>
      <c r="S140">
        <f t="shared" si="78"/>
        <v>0</v>
      </c>
      <c r="T140">
        <f t="shared" si="79"/>
        <v>0</v>
      </c>
      <c r="U140">
        <f t="shared" si="80"/>
        <v>0</v>
      </c>
      <c r="V140">
        <f t="shared" si="81"/>
        <v>0</v>
      </c>
      <c r="W140">
        <f t="shared" si="82"/>
        <v>0</v>
      </c>
      <c r="X140">
        <f t="shared" si="83"/>
        <v>0</v>
      </c>
      <c r="Y140">
        <f t="shared" si="84"/>
        <v>0</v>
      </c>
      <c r="AA140">
        <v>145185703</v>
      </c>
      <c r="AB140">
        <f t="shared" si="85"/>
        <v>511.22</v>
      </c>
      <c r="AC140">
        <f t="shared" si="107"/>
        <v>511.22</v>
      </c>
      <c r="AD140">
        <f>ROUND((((ET140)-(EU140))+AE140),2)</f>
        <v>0</v>
      </c>
      <c r="AE140">
        <f t="shared" si="122"/>
        <v>0</v>
      </c>
      <c r="AF140">
        <f t="shared" si="122"/>
        <v>0</v>
      </c>
      <c r="AG140">
        <f t="shared" si="86"/>
        <v>0</v>
      </c>
      <c r="AH140">
        <f t="shared" si="123"/>
        <v>0</v>
      </c>
      <c r="AI140">
        <f t="shared" si="123"/>
        <v>0</v>
      </c>
      <c r="AJ140">
        <f t="shared" si="87"/>
        <v>0</v>
      </c>
      <c r="AK140">
        <v>511.21999999999997</v>
      </c>
      <c r="AL140">
        <v>511.21999999999997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8.3800000000000008</v>
      </c>
      <c r="BD140" t="s">
        <v>3</v>
      </c>
      <c r="BE140" t="s">
        <v>3</v>
      </c>
      <c r="BF140" t="s">
        <v>3</v>
      </c>
      <c r="BG140" t="s">
        <v>3</v>
      </c>
      <c r="BH140">
        <v>3</v>
      </c>
      <c r="BI140">
        <v>1</v>
      </c>
      <c r="BJ140" t="s">
        <v>3</v>
      </c>
      <c r="BM140">
        <v>1100</v>
      </c>
      <c r="BN140">
        <v>0</v>
      </c>
      <c r="BO140" t="s">
        <v>3</v>
      </c>
      <c r="BP140">
        <v>0</v>
      </c>
      <c r="BQ140">
        <v>8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0</v>
      </c>
      <c r="CA140">
        <v>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88"/>
        <v>8739.41</v>
      </c>
      <c r="CQ140">
        <f t="shared" si="89"/>
        <v>4284.0236000000004</v>
      </c>
      <c r="CR140">
        <f>(((ET140)*BB140-(EU140)*BS140)+AE140*BS140)</f>
        <v>0</v>
      </c>
      <c r="CS140">
        <f t="shared" si="90"/>
        <v>0</v>
      </c>
      <c r="CT140">
        <f t="shared" si="91"/>
        <v>0</v>
      </c>
      <c r="CU140">
        <f t="shared" si="92"/>
        <v>0</v>
      </c>
      <c r="CV140">
        <f t="shared" si="93"/>
        <v>0</v>
      </c>
      <c r="CW140">
        <f t="shared" si="94"/>
        <v>0</v>
      </c>
      <c r="CX140">
        <f t="shared" si="95"/>
        <v>0</v>
      </c>
      <c r="CY140">
        <f t="shared" si="96"/>
        <v>0</v>
      </c>
      <c r="CZ140">
        <f t="shared" si="97"/>
        <v>0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1007</v>
      </c>
      <c r="DV140" t="s">
        <v>141</v>
      </c>
      <c r="DW140" t="s">
        <v>141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140625274</v>
      </c>
      <c r="EF140">
        <v>8</v>
      </c>
      <c r="EG140" t="s">
        <v>22</v>
      </c>
      <c r="EH140">
        <v>0</v>
      </c>
      <c r="EI140" t="s">
        <v>3</v>
      </c>
      <c r="EJ140">
        <v>1</v>
      </c>
      <c r="EK140">
        <v>1100</v>
      </c>
      <c r="EL140" t="s">
        <v>23</v>
      </c>
      <c r="EM140" t="s">
        <v>24</v>
      </c>
      <c r="EO140" t="s">
        <v>3</v>
      </c>
      <c r="EQ140">
        <v>0</v>
      </c>
      <c r="ER140">
        <v>515.53</v>
      </c>
      <c r="ES140">
        <v>511.21999999999997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5</v>
      </c>
      <c r="FC140">
        <v>1</v>
      </c>
      <c r="FD140">
        <v>18</v>
      </c>
      <c r="FF140">
        <v>4800</v>
      </c>
      <c r="FQ140">
        <v>0</v>
      </c>
      <c r="FR140">
        <f t="shared" si="98"/>
        <v>0</v>
      </c>
      <c r="FS140">
        <v>0</v>
      </c>
      <c r="FX140">
        <v>0</v>
      </c>
      <c r="FY140">
        <v>0</v>
      </c>
      <c r="GA140" t="s">
        <v>311</v>
      </c>
      <c r="GD140">
        <v>1</v>
      </c>
      <c r="GF140">
        <v>627434152</v>
      </c>
      <c r="GG140">
        <v>2</v>
      </c>
      <c r="GH140">
        <v>3</v>
      </c>
      <c r="GI140">
        <v>4</v>
      </c>
      <c r="GJ140">
        <v>0</v>
      </c>
      <c r="GK140">
        <v>0</v>
      </c>
      <c r="GL140">
        <f t="shared" si="99"/>
        <v>0</v>
      </c>
      <c r="GM140">
        <f t="shared" si="100"/>
        <v>8739.41</v>
      </c>
      <c r="GN140">
        <f t="shared" si="101"/>
        <v>8739.41</v>
      </c>
      <c r="GO140">
        <f t="shared" si="102"/>
        <v>0</v>
      </c>
      <c r="GP140">
        <f t="shared" si="103"/>
        <v>0</v>
      </c>
      <c r="GR140">
        <v>1</v>
      </c>
      <c r="GS140">
        <v>1</v>
      </c>
      <c r="GT140">
        <v>0</v>
      </c>
      <c r="GU140" t="s">
        <v>3</v>
      </c>
      <c r="GV140">
        <f t="shared" si="104"/>
        <v>0</v>
      </c>
      <c r="GW140">
        <v>1</v>
      </c>
      <c r="GX140">
        <f t="shared" si="105"/>
        <v>0</v>
      </c>
      <c r="HA140">
        <v>0</v>
      </c>
      <c r="HB140">
        <v>0</v>
      </c>
      <c r="HC140">
        <f t="shared" si="106"/>
        <v>0</v>
      </c>
      <c r="HE140" t="s">
        <v>55</v>
      </c>
      <c r="HF140" t="s">
        <v>27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E141" t="s">
        <v>312</v>
      </c>
      <c r="F141" t="s">
        <v>56</v>
      </c>
      <c r="G141" t="s">
        <v>313</v>
      </c>
      <c r="H141" t="s">
        <v>21</v>
      </c>
      <c r="I141">
        <v>0.25</v>
      </c>
      <c r="J141">
        <v>0</v>
      </c>
      <c r="K141">
        <v>0.25</v>
      </c>
      <c r="O141">
        <f t="shared" si="74"/>
        <v>14726.26</v>
      </c>
      <c r="P141">
        <f t="shared" si="75"/>
        <v>14726.26</v>
      </c>
      <c r="Q141">
        <f t="shared" si="76"/>
        <v>0</v>
      </c>
      <c r="R141">
        <f t="shared" si="77"/>
        <v>0</v>
      </c>
      <c r="S141">
        <f t="shared" si="78"/>
        <v>0</v>
      </c>
      <c r="T141">
        <f t="shared" si="79"/>
        <v>0</v>
      </c>
      <c r="U141">
        <f t="shared" si="80"/>
        <v>0</v>
      </c>
      <c r="V141">
        <f t="shared" si="81"/>
        <v>0</v>
      </c>
      <c r="W141">
        <f t="shared" si="82"/>
        <v>0</v>
      </c>
      <c r="X141">
        <f t="shared" si="83"/>
        <v>0</v>
      </c>
      <c r="Y141">
        <f t="shared" si="84"/>
        <v>0</v>
      </c>
      <c r="AA141">
        <v>145185703</v>
      </c>
      <c r="AB141">
        <f t="shared" si="85"/>
        <v>7029.24</v>
      </c>
      <c r="AC141">
        <f t="shared" si="107"/>
        <v>7029.24</v>
      </c>
      <c r="AD141">
        <f>ROUND((((ET141)-(EU141))+AE141),2)</f>
        <v>0</v>
      </c>
      <c r="AE141">
        <f t="shared" si="122"/>
        <v>0</v>
      </c>
      <c r="AF141">
        <f t="shared" si="122"/>
        <v>0</v>
      </c>
      <c r="AG141">
        <f t="shared" si="86"/>
        <v>0</v>
      </c>
      <c r="AH141">
        <f t="shared" si="123"/>
        <v>0</v>
      </c>
      <c r="AI141">
        <f t="shared" si="123"/>
        <v>0</v>
      </c>
      <c r="AJ141">
        <f t="shared" si="87"/>
        <v>0</v>
      </c>
      <c r="AK141">
        <v>7029.24</v>
      </c>
      <c r="AL141">
        <v>7029.24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8.3800000000000008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1</v>
      </c>
      <c r="BJ141" t="s">
        <v>3</v>
      </c>
      <c r="BM141">
        <v>1100</v>
      </c>
      <c r="BN141">
        <v>0</v>
      </c>
      <c r="BO141" t="s">
        <v>3</v>
      </c>
      <c r="BP141">
        <v>0</v>
      </c>
      <c r="BQ141">
        <v>8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0</v>
      </c>
      <c r="CA141">
        <v>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88"/>
        <v>14726.26</v>
      </c>
      <c r="CQ141">
        <f t="shared" si="89"/>
        <v>58905.031200000005</v>
      </c>
      <c r="CR141">
        <f>(((ET141)*BB141-(EU141)*BS141)+AE141*BS141)</f>
        <v>0</v>
      </c>
      <c r="CS141">
        <f t="shared" si="90"/>
        <v>0</v>
      </c>
      <c r="CT141">
        <f t="shared" si="91"/>
        <v>0</v>
      </c>
      <c r="CU141">
        <f t="shared" si="92"/>
        <v>0</v>
      </c>
      <c r="CV141">
        <f t="shared" si="93"/>
        <v>0</v>
      </c>
      <c r="CW141">
        <f t="shared" si="94"/>
        <v>0</v>
      </c>
      <c r="CX141">
        <f t="shared" si="95"/>
        <v>0</v>
      </c>
      <c r="CY141">
        <f t="shared" si="96"/>
        <v>0</v>
      </c>
      <c r="CZ141">
        <f t="shared" si="97"/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1009</v>
      </c>
      <c r="DV141" t="s">
        <v>21</v>
      </c>
      <c r="DW141" t="s">
        <v>21</v>
      </c>
      <c r="DX141">
        <v>1000</v>
      </c>
      <c r="DZ141" t="s">
        <v>3</v>
      </c>
      <c r="EA141" t="s">
        <v>3</v>
      </c>
      <c r="EB141" t="s">
        <v>3</v>
      </c>
      <c r="EC141" t="s">
        <v>3</v>
      </c>
      <c r="EE141">
        <v>140625274</v>
      </c>
      <c r="EF141">
        <v>8</v>
      </c>
      <c r="EG141" t="s">
        <v>22</v>
      </c>
      <c r="EH141">
        <v>0</v>
      </c>
      <c r="EI141" t="s">
        <v>3</v>
      </c>
      <c r="EJ141">
        <v>1</v>
      </c>
      <c r="EK141">
        <v>1100</v>
      </c>
      <c r="EL141" t="s">
        <v>23</v>
      </c>
      <c r="EM141" t="s">
        <v>24</v>
      </c>
      <c r="EO141" t="s">
        <v>3</v>
      </c>
      <c r="EQ141">
        <v>0</v>
      </c>
      <c r="ER141">
        <v>7088.45</v>
      </c>
      <c r="ES141">
        <v>7029.24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5</v>
      </c>
      <c r="FC141">
        <v>1</v>
      </c>
      <c r="FD141">
        <v>18</v>
      </c>
      <c r="FF141">
        <v>66000</v>
      </c>
      <c r="FQ141">
        <v>0</v>
      </c>
      <c r="FR141">
        <f t="shared" si="98"/>
        <v>0</v>
      </c>
      <c r="FS141">
        <v>0</v>
      </c>
      <c r="FX141">
        <v>0</v>
      </c>
      <c r="FY141">
        <v>0</v>
      </c>
      <c r="GA141" t="s">
        <v>314</v>
      </c>
      <c r="GD141">
        <v>1</v>
      </c>
      <c r="GF141">
        <v>1364909972</v>
      </c>
      <c r="GG141">
        <v>2</v>
      </c>
      <c r="GH141">
        <v>3</v>
      </c>
      <c r="GI141">
        <v>4</v>
      </c>
      <c r="GJ141">
        <v>0</v>
      </c>
      <c r="GK141">
        <v>0</v>
      </c>
      <c r="GL141">
        <f t="shared" si="99"/>
        <v>0</v>
      </c>
      <c r="GM141">
        <f t="shared" si="100"/>
        <v>14726.26</v>
      </c>
      <c r="GN141">
        <f t="shared" si="101"/>
        <v>14726.26</v>
      </c>
      <c r="GO141">
        <f t="shared" si="102"/>
        <v>0</v>
      </c>
      <c r="GP141">
        <f t="shared" si="103"/>
        <v>0</v>
      </c>
      <c r="GR141">
        <v>1</v>
      </c>
      <c r="GS141">
        <v>1</v>
      </c>
      <c r="GT141">
        <v>0</v>
      </c>
      <c r="GU141" t="s">
        <v>3</v>
      </c>
      <c r="GV141">
        <f t="shared" si="104"/>
        <v>0</v>
      </c>
      <c r="GW141">
        <v>1</v>
      </c>
      <c r="GX141">
        <f t="shared" si="105"/>
        <v>0</v>
      </c>
      <c r="HA141">
        <v>0</v>
      </c>
      <c r="HB141">
        <v>0</v>
      </c>
      <c r="HC141">
        <f t="shared" si="106"/>
        <v>0</v>
      </c>
      <c r="HE141" t="s">
        <v>55</v>
      </c>
      <c r="HF141" t="s">
        <v>27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E142" t="s">
        <v>315</v>
      </c>
      <c r="F142" t="s">
        <v>166</v>
      </c>
      <c r="G142" t="s">
        <v>167</v>
      </c>
      <c r="H142" t="s">
        <v>168</v>
      </c>
      <c r="I142">
        <f>ROUND((96.62-86.2)*0.1,9)</f>
        <v>1.042</v>
      </c>
      <c r="J142">
        <v>0</v>
      </c>
      <c r="K142">
        <f>ROUND((96.62-86.2)*0.1,9)</f>
        <v>1.042</v>
      </c>
      <c r="O142">
        <f>0</f>
        <v>0</v>
      </c>
      <c r="P142">
        <f>0</f>
        <v>0</v>
      </c>
      <c r="Q142">
        <f>0</f>
        <v>0</v>
      </c>
      <c r="R142">
        <f>0</f>
        <v>0</v>
      </c>
      <c r="S142">
        <f>0</f>
        <v>0</v>
      </c>
      <c r="T142">
        <f>0</f>
        <v>0</v>
      </c>
      <c r="U142">
        <f>0</f>
        <v>0</v>
      </c>
      <c r="V142">
        <f>0</f>
        <v>0</v>
      </c>
      <c r="W142">
        <f>0</f>
        <v>0</v>
      </c>
      <c r="X142">
        <f>0</f>
        <v>0</v>
      </c>
      <c r="Y142">
        <f>0</f>
        <v>0</v>
      </c>
      <c r="AA142">
        <v>145185703</v>
      </c>
      <c r="AB142">
        <f>ROUND((AK142),2)</f>
        <v>42.98</v>
      </c>
      <c r="AC142">
        <f>0</f>
        <v>0</v>
      </c>
      <c r="AD142">
        <f>0</f>
        <v>0</v>
      </c>
      <c r="AE142">
        <f>0</f>
        <v>0</v>
      </c>
      <c r="AF142">
        <f>0</f>
        <v>0</v>
      </c>
      <c r="AG142">
        <f>0</f>
        <v>0</v>
      </c>
      <c r="AH142">
        <f>0</f>
        <v>0</v>
      </c>
      <c r="AI142">
        <f>0</f>
        <v>0</v>
      </c>
      <c r="AJ142">
        <f>0</f>
        <v>0</v>
      </c>
      <c r="AK142">
        <v>42.98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1</v>
      </c>
      <c r="AW142">
        <v>1</v>
      </c>
      <c r="AZ142">
        <v>14.68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1</v>
      </c>
      <c r="BJ142" t="s">
        <v>169</v>
      </c>
      <c r="BM142">
        <v>700004</v>
      </c>
      <c r="BN142">
        <v>0</v>
      </c>
      <c r="BO142" t="s">
        <v>3</v>
      </c>
      <c r="BP142">
        <v>0</v>
      </c>
      <c r="BQ142">
        <v>19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0</v>
      </c>
      <c r="CA142">
        <v>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>AB142*AZ142</f>
        <v>630.94639999999993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1013</v>
      </c>
      <c r="DV142" t="s">
        <v>168</v>
      </c>
      <c r="DW142" t="s">
        <v>168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140625282</v>
      </c>
      <c r="EF142">
        <v>19</v>
      </c>
      <c r="EG142" t="s">
        <v>170</v>
      </c>
      <c r="EH142">
        <v>106</v>
      </c>
      <c r="EI142" t="s">
        <v>170</v>
      </c>
      <c r="EJ142">
        <v>1</v>
      </c>
      <c r="EK142">
        <v>700004</v>
      </c>
      <c r="EL142" t="s">
        <v>170</v>
      </c>
      <c r="EM142" t="s">
        <v>171</v>
      </c>
      <c r="EO142" t="s">
        <v>3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FQ142">
        <v>0</v>
      </c>
      <c r="FR142">
        <f t="shared" si="98"/>
        <v>0</v>
      </c>
      <c r="FS142">
        <v>0</v>
      </c>
      <c r="FX142">
        <v>0</v>
      </c>
      <c r="FY142">
        <v>0</v>
      </c>
      <c r="GA142" t="s">
        <v>3</v>
      </c>
      <c r="GD142">
        <v>1</v>
      </c>
      <c r="GF142">
        <v>-1368885421</v>
      </c>
      <c r="GG142">
        <v>2</v>
      </c>
      <c r="GH142">
        <v>1</v>
      </c>
      <c r="GI142">
        <v>4</v>
      </c>
      <c r="GJ142">
        <v>2</v>
      </c>
      <c r="GK142">
        <v>0</v>
      </c>
      <c r="GL142">
        <f t="shared" si="99"/>
        <v>0</v>
      </c>
      <c r="GM142">
        <f>ROUND(CP142*I142,2)</f>
        <v>657.45</v>
      </c>
      <c r="GN142">
        <f>IF(OR(BI142=0,BI142=1),ROUND(CP142*I142,2),0)</f>
        <v>657.45</v>
      </c>
      <c r="GO142">
        <f>IF(BI142=2,ROUND(CP142*I142,2),0)</f>
        <v>0</v>
      </c>
      <c r="GP142">
        <f>IF(BI142=4,ROUND(CP142*I142,2)+GX142,0)</f>
        <v>0</v>
      </c>
      <c r="GR142">
        <v>0</v>
      </c>
      <c r="GS142">
        <v>3</v>
      </c>
      <c r="GT142">
        <v>0</v>
      </c>
      <c r="GU142" t="s">
        <v>3</v>
      </c>
      <c r="GV142">
        <f>0</f>
        <v>0</v>
      </c>
      <c r="GW142">
        <v>1</v>
      </c>
      <c r="GX142">
        <f>0</f>
        <v>0</v>
      </c>
      <c r="HA142">
        <v>0</v>
      </c>
      <c r="HB142">
        <v>0</v>
      </c>
      <c r="HC142">
        <v>0</v>
      </c>
      <c r="HD142">
        <f>GM142</f>
        <v>657.45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E143" t="s">
        <v>316</v>
      </c>
      <c r="F143" t="s">
        <v>173</v>
      </c>
      <c r="G143" t="s">
        <v>174</v>
      </c>
      <c r="H143" t="s">
        <v>168</v>
      </c>
      <c r="I143">
        <f>ROUND((96.62-86.2)*0.9,9)</f>
        <v>9.3780000000000001</v>
      </c>
      <c r="J143">
        <v>0</v>
      </c>
      <c r="K143">
        <f>ROUND((96.62-86.2)*0.9,9)</f>
        <v>9.3780000000000001</v>
      </c>
      <c r="O143">
        <f>0</f>
        <v>0</v>
      </c>
      <c r="P143">
        <f>0</f>
        <v>0</v>
      </c>
      <c r="Q143">
        <f>0</f>
        <v>0</v>
      </c>
      <c r="R143">
        <f>0</f>
        <v>0</v>
      </c>
      <c r="S143">
        <f>0</f>
        <v>0</v>
      </c>
      <c r="T143">
        <f>0</f>
        <v>0</v>
      </c>
      <c r="U143">
        <f>0</f>
        <v>0</v>
      </c>
      <c r="V143">
        <f>0</f>
        <v>0</v>
      </c>
      <c r="W143">
        <f>0</f>
        <v>0</v>
      </c>
      <c r="X143">
        <f>0</f>
        <v>0</v>
      </c>
      <c r="Y143">
        <f>0</f>
        <v>0</v>
      </c>
      <c r="AA143">
        <v>145185703</v>
      </c>
      <c r="AB143">
        <f>ROUND((AK143),2)</f>
        <v>3.28</v>
      </c>
      <c r="AC143">
        <f>0</f>
        <v>0</v>
      </c>
      <c r="AD143">
        <f>0</f>
        <v>0</v>
      </c>
      <c r="AE143">
        <f>0</f>
        <v>0</v>
      </c>
      <c r="AF143">
        <f>0</f>
        <v>0</v>
      </c>
      <c r="AG143">
        <f>0</f>
        <v>0</v>
      </c>
      <c r="AH143">
        <f>0</f>
        <v>0</v>
      </c>
      <c r="AI143">
        <f>0</f>
        <v>0</v>
      </c>
      <c r="AJ143">
        <f>0</f>
        <v>0</v>
      </c>
      <c r="AK143">
        <v>3.28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1</v>
      </c>
      <c r="AW143">
        <v>1</v>
      </c>
      <c r="AZ143">
        <v>14.68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1</v>
      </c>
      <c r="BJ143" t="s">
        <v>175</v>
      </c>
      <c r="BM143">
        <v>700004</v>
      </c>
      <c r="BN143">
        <v>0</v>
      </c>
      <c r="BO143" t="s">
        <v>3</v>
      </c>
      <c r="BP143">
        <v>0</v>
      </c>
      <c r="BQ143">
        <v>19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0</v>
      </c>
      <c r="CA143">
        <v>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>AB143*AZ143</f>
        <v>48.150399999999998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168</v>
      </c>
      <c r="DW143" t="s">
        <v>168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140625282</v>
      </c>
      <c r="EF143">
        <v>19</v>
      </c>
      <c r="EG143" t="s">
        <v>170</v>
      </c>
      <c r="EH143">
        <v>106</v>
      </c>
      <c r="EI143" t="s">
        <v>170</v>
      </c>
      <c r="EJ143">
        <v>1</v>
      </c>
      <c r="EK143">
        <v>700004</v>
      </c>
      <c r="EL143" t="s">
        <v>170</v>
      </c>
      <c r="EM143" t="s">
        <v>171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FQ143">
        <v>0</v>
      </c>
      <c r="FR143">
        <f t="shared" si="98"/>
        <v>0</v>
      </c>
      <c r="FS143">
        <v>0</v>
      </c>
      <c r="FX143">
        <v>0</v>
      </c>
      <c r="FY143">
        <v>0</v>
      </c>
      <c r="GA143" t="s">
        <v>3</v>
      </c>
      <c r="GD143">
        <v>1</v>
      </c>
      <c r="GF143">
        <v>1072927856</v>
      </c>
      <c r="GG143">
        <v>2</v>
      </c>
      <c r="GH143">
        <v>1</v>
      </c>
      <c r="GI143">
        <v>4</v>
      </c>
      <c r="GJ143">
        <v>2</v>
      </c>
      <c r="GK143">
        <v>0</v>
      </c>
      <c r="GL143">
        <f t="shared" si="99"/>
        <v>0</v>
      </c>
      <c r="GM143">
        <f>ROUND(CP143*I143,2)</f>
        <v>451.55</v>
      </c>
      <c r="GN143">
        <f>IF(OR(BI143=0,BI143=1),ROUND(CP143*I143,2),0)</f>
        <v>451.55</v>
      </c>
      <c r="GO143">
        <f>IF(BI143=2,ROUND(CP143*I143,2),0)</f>
        <v>0</v>
      </c>
      <c r="GP143">
        <f>IF(BI143=4,ROUND(CP143*I143,2)+GX143,0)</f>
        <v>0</v>
      </c>
      <c r="GR143">
        <v>0</v>
      </c>
      <c r="GS143">
        <v>3</v>
      </c>
      <c r="GT143">
        <v>0</v>
      </c>
      <c r="GU143" t="s">
        <v>3</v>
      </c>
      <c r="GV143">
        <f>0</f>
        <v>0</v>
      </c>
      <c r="GW143">
        <v>1</v>
      </c>
      <c r="GX143">
        <f>0</f>
        <v>0</v>
      </c>
      <c r="HA143">
        <v>0</v>
      </c>
      <c r="HB143">
        <v>0</v>
      </c>
      <c r="HC143">
        <v>0</v>
      </c>
      <c r="HD143">
        <f>GM143</f>
        <v>451.55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E144" t="s">
        <v>317</v>
      </c>
      <c r="F144" t="s">
        <v>177</v>
      </c>
      <c r="G144" t="s">
        <v>178</v>
      </c>
      <c r="H144" t="s">
        <v>168</v>
      </c>
      <c r="I144">
        <f>ROUND(I142+I143,9)</f>
        <v>10.42</v>
      </c>
      <c r="J144">
        <v>0</v>
      </c>
      <c r="K144">
        <f>ROUND(I142+I143,9)</f>
        <v>10.42</v>
      </c>
      <c r="O144">
        <f>0</f>
        <v>0</v>
      </c>
      <c r="P144">
        <f>0</f>
        <v>0</v>
      </c>
      <c r="Q144">
        <f>0</f>
        <v>0</v>
      </c>
      <c r="R144">
        <f>0</f>
        <v>0</v>
      </c>
      <c r="S144">
        <f>0</f>
        <v>0</v>
      </c>
      <c r="T144">
        <f>0</f>
        <v>0</v>
      </c>
      <c r="U144">
        <f>0</f>
        <v>0</v>
      </c>
      <c r="V144">
        <f>0</f>
        <v>0</v>
      </c>
      <c r="W144">
        <f>0</f>
        <v>0</v>
      </c>
      <c r="X144">
        <f>0</f>
        <v>0</v>
      </c>
      <c r="Y144">
        <f>0</f>
        <v>0</v>
      </c>
      <c r="AA144">
        <v>145185703</v>
      </c>
      <c r="AB144">
        <f>ROUND((AK144),2)</f>
        <v>3.86</v>
      </c>
      <c r="AC144">
        <f>0</f>
        <v>0</v>
      </c>
      <c r="AD144">
        <f>0</f>
        <v>0</v>
      </c>
      <c r="AE144">
        <f>0</f>
        <v>0</v>
      </c>
      <c r="AF144">
        <f>0</f>
        <v>0</v>
      </c>
      <c r="AG144">
        <f>0</f>
        <v>0</v>
      </c>
      <c r="AH144">
        <f>0</f>
        <v>0</v>
      </c>
      <c r="AI144">
        <f>0</f>
        <v>0</v>
      </c>
      <c r="AJ144">
        <f>0</f>
        <v>0</v>
      </c>
      <c r="AK144">
        <v>3.86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1</v>
      </c>
      <c r="AW144">
        <v>1</v>
      </c>
      <c r="AZ144">
        <v>14.68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1</v>
      </c>
      <c r="BJ144" t="s">
        <v>179</v>
      </c>
      <c r="BM144">
        <v>700011</v>
      </c>
      <c r="BN144">
        <v>0</v>
      </c>
      <c r="BO144" t="s">
        <v>3</v>
      </c>
      <c r="BP144">
        <v>0</v>
      </c>
      <c r="BQ144">
        <v>40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0</v>
      </c>
      <c r="CA144">
        <v>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>AB144*AZ144</f>
        <v>56.6648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168</v>
      </c>
      <c r="DW144" t="s">
        <v>168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140625621</v>
      </c>
      <c r="EF144">
        <v>40</v>
      </c>
      <c r="EG144" t="s">
        <v>180</v>
      </c>
      <c r="EH144">
        <v>107</v>
      </c>
      <c r="EI144" t="s">
        <v>181</v>
      </c>
      <c r="EJ144">
        <v>1</v>
      </c>
      <c r="EK144">
        <v>700011</v>
      </c>
      <c r="EL144" t="s">
        <v>182</v>
      </c>
      <c r="EM144" t="s">
        <v>183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FQ144">
        <v>0</v>
      </c>
      <c r="FR144">
        <f t="shared" si="98"/>
        <v>0</v>
      </c>
      <c r="FS144">
        <v>0</v>
      </c>
      <c r="FX144">
        <v>0</v>
      </c>
      <c r="FY144">
        <v>0</v>
      </c>
      <c r="GA144" t="s">
        <v>3</v>
      </c>
      <c r="GD144">
        <v>1</v>
      </c>
      <c r="GF144">
        <v>-1332390239</v>
      </c>
      <c r="GG144">
        <v>2</v>
      </c>
      <c r="GH144">
        <v>1</v>
      </c>
      <c r="GI144">
        <v>4</v>
      </c>
      <c r="GJ144">
        <v>2</v>
      </c>
      <c r="GK144">
        <v>0</v>
      </c>
      <c r="GL144">
        <f t="shared" si="99"/>
        <v>0</v>
      </c>
      <c r="GM144">
        <f>ROUND(CP144*I144,2)</f>
        <v>590.45000000000005</v>
      </c>
      <c r="GN144">
        <f>IF(OR(BI144=0,BI144=1),ROUND(CP144*I144,2),0)</f>
        <v>590.45000000000005</v>
      </c>
      <c r="GO144">
        <f>IF(BI144=2,ROUND(CP144*I144,2),0)</f>
        <v>0</v>
      </c>
      <c r="GP144">
        <f>IF(BI144=4,ROUND(CP144*I144,2)+GX144,0)</f>
        <v>0</v>
      </c>
      <c r="GR144">
        <v>0</v>
      </c>
      <c r="GS144">
        <v>3</v>
      </c>
      <c r="GT144">
        <v>0</v>
      </c>
      <c r="GU144" t="s">
        <v>3</v>
      </c>
      <c r="GV144">
        <f>0</f>
        <v>0</v>
      </c>
      <c r="GW144">
        <v>1</v>
      </c>
      <c r="GX144">
        <f>0</f>
        <v>0</v>
      </c>
      <c r="HA144">
        <v>0</v>
      </c>
      <c r="HB144">
        <v>0</v>
      </c>
      <c r="HC144">
        <v>0</v>
      </c>
      <c r="HD144">
        <f>GM144</f>
        <v>590.45000000000005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6" spans="1:206" x14ac:dyDescent="0.2">
      <c r="A146" s="2">
        <v>51</v>
      </c>
      <c r="B146" s="2">
        <f>B96</f>
        <v>1</v>
      </c>
      <c r="C146" s="2">
        <f>A96</f>
        <v>4</v>
      </c>
      <c r="D146" s="2">
        <f>ROW(A96)</f>
        <v>96</v>
      </c>
      <c r="E146" s="2"/>
      <c r="F146" s="2" t="str">
        <f>IF(F96&lt;&gt;"",F96,"")</f>
        <v>Новый раздел</v>
      </c>
      <c r="G146" s="2" t="str">
        <f>IF(G96&lt;&gt;"",G96,"")</f>
        <v>Ремонт кровли пристроя на отм. +7,400 - +8,900</v>
      </c>
      <c r="H146" s="2">
        <v>0</v>
      </c>
      <c r="I146" s="2"/>
      <c r="J146" s="2"/>
      <c r="K146" s="2"/>
      <c r="L146" s="2"/>
      <c r="M146" s="2"/>
      <c r="N146" s="2"/>
      <c r="O146" s="2">
        <f t="shared" ref="O146:T146" si="124">ROUND(AB146,2)</f>
        <v>858942</v>
      </c>
      <c r="P146" s="2">
        <f t="shared" si="124"/>
        <v>523680.55</v>
      </c>
      <c r="Q146" s="2">
        <f t="shared" si="124"/>
        <v>48337.37</v>
      </c>
      <c r="R146" s="2">
        <f t="shared" si="124"/>
        <v>13194.68</v>
      </c>
      <c r="S146" s="2">
        <f t="shared" si="124"/>
        <v>286924.08</v>
      </c>
      <c r="T146" s="2">
        <f t="shared" si="124"/>
        <v>0</v>
      </c>
      <c r="U146" s="2">
        <f>AH146</f>
        <v>750.83172875000002</v>
      </c>
      <c r="V146" s="2">
        <f>AI146</f>
        <v>21.1194375</v>
      </c>
      <c r="W146" s="2">
        <f>ROUND(AJ146,2)</f>
        <v>0</v>
      </c>
      <c r="X146" s="2">
        <f>ROUND(AK146,2)</f>
        <v>293344.5</v>
      </c>
      <c r="Y146" s="2">
        <f>ROUND(AL146,2)</f>
        <v>148126.85</v>
      </c>
      <c r="Z146" s="2"/>
      <c r="AA146" s="2"/>
      <c r="AB146" s="2">
        <f>ROUND(SUMIF(AA100:AA144,"=145185703",O100:O144),2)</f>
        <v>858942</v>
      </c>
      <c r="AC146" s="2">
        <f>ROUND(SUMIF(AA100:AA144,"=145185703",P100:P144),2)</f>
        <v>523680.55</v>
      </c>
      <c r="AD146" s="2">
        <f>ROUND(SUMIF(AA100:AA144,"=145185703",Q100:Q144),2)</f>
        <v>48337.37</v>
      </c>
      <c r="AE146" s="2">
        <f>ROUND(SUMIF(AA100:AA144,"=145185703",R100:R144),2)</f>
        <v>13194.68</v>
      </c>
      <c r="AF146" s="2">
        <f>ROUND(SUMIF(AA100:AA144,"=145185703",S100:S144),2)</f>
        <v>286924.08</v>
      </c>
      <c r="AG146" s="2">
        <f>ROUND(SUMIF(AA100:AA144,"=145185703",T100:T144),2)</f>
        <v>0</v>
      </c>
      <c r="AH146" s="2">
        <f>SUMIF(AA100:AA144,"=145185703",U100:U144)</f>
        <v>750.83172875000002</v>
      </c>
      <c r="AI146" s="2">
        <f>SUMIF(AA100:AA144,"=145185703",V100:V144)</f>
        <v>21.1194375</v>
      </c>
      <c r="AJ146" s="2">
        <f>ROUND(SUMIF(AA100:AA144,"=145185703",W100:W144),2)</f>
        <v>0</v>
      </c>
      <c r="AK146" s="2">
        <f>ROUND(SUMIF(AA100:AA144,"=145185703",X100:X144),2)</f>
        <v>293344.5</v>
      </c>
      <c r="AL146" s="2">
        <f>ROUND(SUMIF(AA100:AA144,"=145185703",Y100:Y144),2)</f>
        <v>148126.85</v>
      </c>
      <c r="AM146" s="2"/>
      <c r="AN146" s="2"/>
      <c r="AO146" s="2">
        <f t="shared" ref="AO146:BD146" si="125">ROUND(BX146,2)</f>
        <v>0</v>
      </c>
      <c r="AP146" s="2">
        <f t="shared" si="125"/>
        <v>0</v>
      </c>
      <c r="AQ146" s="2">
        <f t="shared" si="125"/>
        <v>0</v>
      </c>
      <c r="AR146" s="2">
        <f t="shared" si="125"/>
        <v>1302112.8</v>
      </c>
      <c r="AS146" s="2">
        <f t="shared" si="125"/>
        <v>1302112.8</v>
      </c>
      <c r="AT146" s="2">
        <f t="shared" si="125"/>
        <v>0</v>
      </c>
      <c r="AU146" s="2">
        <f t="shared" si="125"/>
        <v>0</v>
      </c>
      <c r="AV146" s="2">
        <f t="shared" si="125"/>
        <v>523680.55</v>
      </c>
      <c r="AW146" s="2">
        <f t="shared" si="125"/>
        <v>523680.55</v>
      </c>
      <c r="AX146" s="2">
        <f t="shared" si="125"/>
        <v>0</v>
      </c>
      <c r="AY146" s="2">
        <f t="shared" si="125"/>
        <v>523680.55</v>
      </c>
      <c r="AZ146" s="2">
        <f t="shared" si="125"/>
        <v>0</v>
      </c>
      <c r="BA146" s="2">
        <f t="shared" si="125"/>
        <v>0</v>
      </c>
      <c r="BB146" s="2">
        <f t="shared" si="125"/>
        <v>0</v>
      </c>
      <c r="BC146" s="2">
        <f t="shared" si="125"/>
        <v>0</v>
      </c>
      <c r="BD146" s="2">
        <f t="shared" si="125"/>
        <v>1699.45</v>
      </c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>
        <f>ROUND(SUMIF(AA100:AA144,"=145185703",FQ100:FQ144),2)</f>
        <v>0</v>
      </c>
      <c r="BY146" s="2">
        <f>ROUND(SUMIF(AA100:AA144,"=145185703",FR100:FR144),2)</f>
        <v>0</v>
      </c>
      <c r="BZ146" s="2">
        <f>ROUND(SUMIF(AA100:AA144,"=145185703",GL100:GL144),2)</f>
        <v>0</v>
      </c>
      <c r="CA146" s="2">
        <f>ROUND(SUMIF(AA100:AA144,"=145185703",GM100:GM144),2)</f>
        <v>1302112.8</v>
      </c>
      <c r="CB146" s="2">
        <f>ROUND(SUMIF(AA100:AA144,"=145185703",GN100:GN144),2)</f>
        <v>1302112.8</v>
      </c>
      <c r="CC146" s="2">
        <f>ROUND(SUMIF(AA100:AA144,"=145185703",GO100:GO144),2)</f>
        <v>0</v>
      </c>
      <c r="CD146" s="2">
        <f>ROUND(SUMIF(AA100:AA144,"=145185703",GP100:GP144),2)</f>
        <v>0</v>
      </c>
      <c r="CE146" s="2">
        <f>AC146-BX146</f>
        <v>523680.55</v>
      </c>
      <c r="CF146" s="2">
        <f>AC146-BY146</f>
        <v>523680.55</v>
      </c>
      <c r="CG146" s="2">
        <f>BX146-BZ146</f>
        <v>0</v>
      </c>
      <c r="CH146" s="2">
        <f>AC146-BX146-BY146+BZ146</f>
        <v>523680.55</v>
      </c>
      <c r="CI146" s="2">
        <f>BY146-BZ146</f>
        <v>0</v>
      </c>
      <c r="CJ146" s="2">
        <f>ROUND(SUMIF(AA100:AA144,"=145185703",GX100:GX144),2)</f>
        <v>0</v>
      </c>
      <c r="CK146" s="2">
        <f>ROUND(SUMIF(AA100:AA144,"=145185703",GY100:GY144),2)</f>
        <v>0</v>
      </c>
      <c r="CL146" s="2">
        <f>ROUND(SUMIF(AA100:AA144,"=145185703",GZ100:GZ144),2)</f>
        <v>0</v>
      </c>
      <c r="CM146" s="2">
        <f>ROUND(SUMIF(AA100:AA144,"=145185703",HD100:HD144),2)</f>
        <v>1699.45</v>
      </c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>
        <v>0</v>
      </c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201</v>
      </c>
      <c r="F148" s="4">
        <f>ROUND(Source!O146,O148)</f>
        <v>858942</v>
      </c>
      <c r="G148" s="4" t="s">
        <v>184</v>
      </c>
      <c r="H148" s="4" t="s">
        <v>185</v>
      </c>
      <c r="I148" s="4"/>
      <c r="J148" s="4"/>
      <c r="K148" s="4">
        <v>201</v>
      </c>
      <c r="L148" s="4">
        <v>1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858942</v>
      </c>
      <c r="X148" s="4">
        <v>1</v>
      </c>
      <c r="Y148" s="4">
        <v>858942</v>
      </c>
      <c r="Z148" s="4"/>
      <c r="AA148" s="4"/>
      <c r="AB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202</v>
      </c>
      <c r="F149" s="4">
        <f>ROUND(Source!P146,O149)</f>
        <v>523680.55</v>
      </c>
      <c r="G149" s="4" t="s">
        <v>186</v>
      </c>
      <c r="H149" s="4" t="s">
        <v>187</v>
      </c>
      <c r="I149" s="4"/>
      <c r="J149" s="4"/>
      <c r="K149" s="4">
        <v>202</v>
      </c>
      <c r="L149" s="4">
        <v>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523680.55</v>
      </c>
      <c r="X149" s="4">
        <v>1</v>
      </c>
      <c r="Y149" s="4">
        <v>523680.55</v>
      </c>
      <c r="Z149" s="4"/>
      <c r="AA149" s="4"/>
      <c r="AB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222</v>
      </c>
      <c r="F150" s="4">
        <f>ROUND(Source!AO146,O150)</f>
        <v>0</v>
      </c>
      <c r="G150" s="4" t="s">
        <v>188</v>
      </c>
      <c r="H150" s="4" t="s">
        <v>189</v>
      </c>
      <c r="I150" s="4"/>
      <c r="J150" s="4"/>
      <c r="K150" s="4">
        <v>222</v>
      </c>
      <c r="L150" s="4">
        <v>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225</v>
      </c>
      <c r="F151" s="4">
        <f>ROUND(Source!AV146,O151)</f>
        <v>523680.55</v>
      </c>
      <c r="G151" s="4" t="s">
        <v>190</v>
      </c>
      <c r="H151" s="4" t="s">
        <v>191</v>
      </c>
      <c r="I151" s="4"/>
      <c r="J151" s="4"/>
      <c r="K151" s="4">
        <v>225</v>
      </c>
      <c r="L151" s="4">
        <v>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523680.55</v>
      </c>
      <c r="X151" s="4">
        <v>1</v>
      </c>
      <c r="Y151" s="4">
        <v>523680.55</v>
      </c>
      <c r="Z151" s="4"/>
      <c r="AA151" s="4"/>
      <c r="AB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226</v>
      </c>
      <c r="F152" s="4">
        <f>ROUND(Source!AW146,O152)</f>
        <v>523680.55</v>
      </c>
      <c r="G152" s="4" t="s">
        <v>192</v>
      </c>
      <c r="H152" s="4" t="s">
        <v>193</v>
      </c>
      <c r="I152" s="4"/>
      <c r="J152" s="4"/>
      <c r="K152" s="4">
        <v>226</v>
      </c>
      <c r="L152" s="4">
        <v>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523680.55</v>
      </c>
      <c r="X152" s="4">
        <v>1</v>
      </c>
      <c r="Y152" s="4">
        <v>523680.55</v>
      </c>
      <c r="Z152" s="4"/>
      <c r="AA152" s="4"/>
      <c r="AB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227</v>
      </c>
      <c r="F153" s="4">
        <f>ROUND(Source!AX146,O153)</f>
        <v>0</v>
      </c>
      <c r="G153" s="4" t="s">
        <v>194</v>
      </c>
      <c r="H153" s="4" t="s">
        <v>195</v>
      </c>
      <c r="I153" s="4"/>
      <c r="J153" s="4"/>
      <c r="K153" s="4">
        <v>227</v>
      </c>
      <c r="L153" s="4">
        <v>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228</v>
      </c>
      <c r="F154" s="4">
        <f>ROUND(Source!AY146,O154)</f>
        <v>523680.55</v>
      </c>
      <c r="G154" s="4" t="s">
        <v>196</v>
      </c>
      <c r="H154" s="4" t="s">
        <v>197</v>
      </c>
      <c r="I154" s="4"/>
      <c r="J154" s="4"/>
      <c r="K154" s="4">
        <v>228</v>
      </c>
      <c r="L154" s="4">
        <v>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523680.55</v>
      </c>
      <c r="X154" s="4">
        <v>1</v>
      </c>
      <c r="Y154" s="4">
        <v>523680.55</v>
      </c>
      <c r="Z154" s="4"/>
      <c r="AA154" s="4"/>
      <c r="AB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216</v>
      </c>
      <c r="F155" s="4">
        <f>ROUND(Source!AP146,O155)</f>
        <v>0</v>
      </c>
      <c r="G155" s="4" t="s">
        <v>198</v>
      </c>
      <c r="H155" s="4" t="s">
        <v>199</v>
      </c>
      <c r="I155" s="4"/>
      <c r="J155" s="4"/>
      <c r="K155" s="4">
        <v>216</v>
      </c>
      <c r="L155" s="4">
        <v>8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223</v>
      </c>
      <c r="F156" s="4">
        <f>ROUND(Source!AQ146,O156)</f>
        <v>0</v>
      </c>
      <c r="G156" s="4" t="s">
        <v>200</v>
      </c>
      <c r="H156" s="4" t="s">
        <v>201</v>
      </c>
      <c r="I156" s="4"/>
      <c r="J156" s="4"/>
      <c r="K156" s="4">
        <v>223</v>
      </c>
      <c r="L156" s="4">
        <v>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229</v>
      </c>
      <c r="F157" s="4">
        <f>ROUND(Source!AZ146,O157)</f>
        <v>0</v>
      </c>
      <c r="G157" s="4" t="s">
        <v>202</v>
      </c>
      <c r="H157" s="4" t="s">
        <v>203</v>
      </c>
      <c r="I157" s="4"/>
      <c r="J157" s="4"/>
      <c r="K157" s="4">
        <v>229</v>
      </c>
      <c r="L157" s="4">
        <v>10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203</v>
      </c>
      <c r="F158" s="4">
        <f>ROUND(Source!Q146,O158)</f>
        <v>48337.37</v>
      </c>
      <c r="G158" s="4" t="s">
        <v>204</v>
      </c>
      <c r="H158" s="4" t="s">
        <v>205</v>
      </c>
      <c r="I158" s="4"/>
      <c r="J158" s="4"/>
      <c r="K158" s="4">
        <v>203</v>
      </c>
      <c r="L158" s="4">
        <v>11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48337.37</v>
      </c>
      <c r="X158" s="4">
        <v>1</v>
      </c>
      <c r="Y158" s="4">
        <v>48337.37</v>
      </c>
      <c r="Z158" s="4"/>
      <c r="AA158" s="4"/>
      <c r="AB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231</v>
      </c>
      <c r="F159" s="4">
        <f>ROUND(Source!BB146,O159)</f>
        <v>0</v>
      </c>
      <c r="G159" s="4" t="s">
        <v>206</v>
      </c>
      <c r="H159" s="4" t="s">
        <v>207</v>
      </c>
      <c r="I159" s="4"/>
      <c r="J159" s="4"/>
      <c r="K159" s="4">
        <v>231</v>
      </c>
      <c r="L159" s="4">
        <v>12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204</v>
      </c>
      <c r="F160" s="4">
        <f>ROUND(Source!R146,O160)</f>
        <v>13194.68</v>
      </c>
      <c r="G160" s="4" t="s">
        <v>208</v>
      </c>
      <c r="H160" s="4" t="s">
        <v>209</v>
      </c>
      <c r="I160" s="4"/>
      <c r="J160" s="4"/>
      <c r="K160" s="4">
        <v>204</v>
      </c>
      <c r="L160" s="4">
        <v>13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13194.68</v>
      </c>
      <c r="X160" s="4">
        <v>1</v>
      </c>
      <c r="Y160" s="4">
        <v>13194.68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205</v>
      </c>
      <c r="F161" s="4">
        <f>ROUND(Source!S146,O161)</f>
        <v>286924.08</v>
      </c>
      <c r="G161" s="4" t="s">
        <v>210</v>
      </c>
      <c r="H161" s="4" t="s">
        <v>211</v>
      </c>
      <c r="I161" s="4"/>
      <c r="J161" s="4"/>
      <c r="K161" s="4">
        <v>205</v>
      </c>
      <c r="L161" s="4">
        <v>14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286924.08</v>
      </c>
      <c r="X161" s="4">
        <v>1</v>
      </c>
      <c r="Y161" s="4">
        <v>286924.08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232</v>
      </c>
      <c r="F162" s="4">
        <f>ROUND(Source!BC146,O162)</f>
        <v>0</v>
      </c>
      <c r="G162" s="4" t="s">
        <v>212</v>
      </c>
      <c r="H162" s="4" t="s">
        <v>213</v>
      </c>
      <c r="I162" s="4"/>
      <c r="J162" s="4"/>
      <c r="K162" s="4">
        <v>232</v>
      </c>
      <c r="L162" s="4">
        <v>15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214</v>
      </c>
      <c r="F163" s="4">
        <f>ROUND(Source!AS146,O163)</f>
        <v>1302112.8</v>
      </c>
      <c r="G163" s="4" t="s">
        <v>214</v>
      </c>
      <c r="H163" s="4" t="s">
        <v>215</v>
      </c>
      <c r="I163" s="4"/>
      <c r="J163" s="4"/>
      <c r="K163" s="4">
        <v>214</v>
      </c>
      <c r="L163" s="4">
        <v>16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1302112.8</v>
      </c>
      <c r="X163" s="4">
        <v>1</v>
      </c>
      <c r="Y163" s="4">
        <v>1302112.8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215</v>
      </c>
      <c r="F164" s="4">
        <f>ROUND(Source!AT146,O164)</f>
        <v>0</v>
      </c>
      <c r="G164" s="4" t="s">
        <v>216</v>
      </c>
      <c r="H164" s="4" t="s">
        <v>217</v>
      </c>
      <c r="I164" s="4"/>
      <c r="J164" s="4"/>
      <c r="K164" s="4">
        <v>215</v>
      </c>
      <c r="L164" s="4">
        <v>17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217</v>
      </c>
      <c r="F165" s="4">
        <f>ROUND(Source!AU146,O165)</f>
        <v>0</v>
      </c>
      <c r="G165" s="4" t="s">
        <v>218</v>
      </c>
      <c r="H165" s="4" t="s">
        <v>219</v>
      </c>
      <c r="I165" s="4"/>
      <c r="J165" s="4"/>
      <c r="K165" s="4">
        <v>217</v>
      </c>
      <c r="L165" s="4">
        <v>18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230</v>
      </c>
      <c r="F166" s="4">
        <f>ROUND(Source!BA146,O166)</f>
        <v>0</v>
      </c>
      <c r="G166" s="4" t="s">
        <v>220</v>
      </c>
      <c r="H166" s="4" t="s">
        <v>221</v>
      </c>
      <c r="I166" s="4"/>
      <c r="J166" s="4"/>
      <c r="K166" s="4">
        <v>230</v>
      </c>
      <c r="L166" s="4">
        <v>19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206</v>
      </c>
      <c r="F167" s="4">
        <f>ROUND(Source!T146,O167)</f>
        <v>0</v>
      </c>
      <c r="G167" s="4" t="s">
        <v>222</v>
      </c>
      <c r="H167" s="4" t="s">
        <v>223</v>
      </c>
      <c r="I167" s="4"/>
      <c r="J167" s="4"/>
      <c r="K167" s="4">
        <v>206</v>
      </c>
      <c r="L167" s="4">
        <v>20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207</v>
      </c>
      <c r="F168" s="4">
        <f>Source!U146</f>
        <v>750.83172875000002</v>
      </c>
      <c r="G168" s="4" t="s">
        <v>224</v>
      </c>
      <c r="H168" s="4" t="s">
        <v>225</v>
      </c>
      <c r="I168" s="4"/>
      <c r="J168" s="4"/>
      <c r="K168" s="4">
        <v>207</v>
      </c>
      <c r="L168" s="4">
        <v>21</v>
      </c>
      <c r="M168" s="4">
        <v>3</v>
      </c>
      <c r="N168" s="4" t="s">
        <v>3</v>
      </c>
      <c r="O168" s="4">
        <v>-1</v>
      </c>
      <c r="P168" s="4"/>
      <c r="Q168" s="4"/>
      <c r="R168" s="4"/>
      <c r="S168" s="4"/>
      <c r="T168" s="4"/>
      <c r="U168" s="4"/>
      <c r="V168" s="4"/>
      <c r="W168" s="4">
        <v>750.83172875000002</v>
      </c>
      <c r="X168" s="4">
        <v>1</v>
      </c>
      <c r="Y168" s="4">
        <v>750.83172875000002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208</v>
      </c>
      <c r="F169" s="4">
        <f>Source!V146</f>
        <v>21.1194375</v>
      </c>
      <c r="G169" s="4" t="s">
        <v>226</v>
      </c>
      <c r="H169" s="4" t="s">
        <v>227</v>
      </c>
      <c r="I169" s="4"/>
      <c r="J169" s="4"/>
      <c r="K169" s="4">
        <v>208</v>
      </c>
      <c r="L169" s="4">
        <v>22</v>
      </c>
      <c r="M169" s="4">
        <v>3</v>
      </c>
      <c r="N169" s="4" t="s">
        <v>3</v>
      </c>
      <c r="O169" s="4">
        <v>-1</v>
      </c>
      <c r="P169" s="4"/>
      <c r="Q169" s="4"/>
      <c r="R169" s="4"/>
      <c r="S169" s="4"/>
      <c r="T169" s="4"/>
      <c r="U169" s="4"/>
      <c r="V169" s="4"/>
      <c r="W169" s="4">
        <v>21.1194375</v>
      </c>
      <c r="X169" s="4">
        <v>1</v>
      </c>
      <c r="Y169" s="4">
        <v>21.1194375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209</v>
      </c>
      <c r="F170" s="4">
        <f>ROUND(Source!W146,O170)</f>
        <v>0</v>
      </c>
      <c r="G170" s="4" t="s">
        <v>228</v>
      </c>
      <c r="H170" s="4" t="s">
        <v>229</v>
      </c>
      <c r="I170" s="4"/>
      <c r="J170" s="4"/>
      <c r="K170" s="4">
        <v>209</v>
      </c>
      <c r="L170" s="4">
        <v>23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233</v>
      </c>
      <c r="F171" s="4">
        <f>ROUND(Source!BD146,O171)</f>
        <v>1699.45</v>
      </c>
      <c r="G171" s="4" t="s">
        <v>230</v>
      </c>
      <c r="H171" s="4" t="s">
        <v>231</v>
      </c>
      <c r="I171" s="4"/>
      <c r="J171" s="4"/>
      <c r="K171" s="4">
        <v>233</v>
      </c>
      <c r="L171" s="4">
        <v>24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1699.45</v>
      </c>
      <c r="X171" s="4">
        <v>1</v>
      </c>
      <c r="Y171" s="4">
        <v>1699.45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210</v>
      </c>
      <c r="F172" s="4">
        <f>ROUND(Source!X146,O172)</f>
        <v>293344.5</v>
      </c>
      <c r="G172" s="4" t="s">
        <v>232</v>
      </c>
      <c r="H172" s="4" t="s">
        <v>233</v>
      </c>
      <c r="I172" s="4"/>
      <c r="J172" s="4"/>
      <c r="K172" s="4">
        <v>210</v>
      </c>
      <c r="L172" s="4">
        <v>25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293344.5</v>
      </c>
      <c r="X172" s="4">
        <v>1</v>
      </c>
      <c r="Y172" s="4">
        <v>293344.5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211</v>
      </c>
      <c r="F173" s="4">
        <f>ROUND(Source!Y146,O173)</f>
        <v>148126.85</v>
      </c>
      <c r="G173" s="4" t="s">
        <v>234</v>
      </c>
      <c r="H173" s="4" t="s">
        <v>235</v>
      </c>
      <c r="I173" s="4"/>
      <c r="J173" s="4"/>
      <c r="K173" s="4">
        <v>211</v>
      </c>
      <c r="L173" s="4">
        <v>26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148126.85</v>
      </c>
      <c r="X173" s="4">
        <v>1</v>
      </c>
      <c r="Y173" s="4">
        <v>148126.85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224</v>
      </c>
      <c r="F174" s="4">
        <f>ROUND(Source!AR146,O174)</f>
        <v>1302112.8</v>
      </c>
      <c r="G174" s="4" t="s">
        <v>236</v>
      </c>
      <c r="H174" s="4" t="s">
        <v>237</v>
      </c>
      <c r="I174" s="4"/>
      <c r="J174" s="4"/>
      <c r="K174" s="4">
        <v>224</v>
      </c>
      <c r="L174" s="4">
        <v>27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1302112.8</v>
      </c>
      <c r="X174" s="4">
        <v>1</v>
      </c>
      <c r="Y174" s="4">
        <v>1302112.8</v>
      </c>
      <c r="Z174" s="4"/>
      <c r="AA174" s="4"/>
      <c r="AB174" s="4"/>
    </row>
    <row r="176" spans="1:206" x14ac:dyDescent="0.2">
      <c r="A176" s="2">
        <v>51</v>
      </c>
      <c r="B176" s="2">
        <f>B20</f>
        <v>1</v>
      </c>
      <c r="C176" s="2">
        <f>A20</f>
        <v>3</v>
      </c>
      <c r="D176" s="2">
        <f>ROW(A20)</f>
        <v>20</v>
      </c>
      <c r="E176" s="2"/>
      <c r="F176" s="2" t="str">
        <f>IF(F20&lt;&gt;"",F20,"")</f>
        <v>Новая локальная смета</v>
      </c>
      <c r="G176" s="2" t="str">
        <f>IF(G20&lt;&gt;"",G20,"")</f>
        <v>Новая локальная смета</v>
      </c>
      <c r="H176" s="2">
        <v>0</v>
      </c>
      <c r="I176" s="2"/>
      <c r="J176" s="2"/>
      <c r="K176" s="2"/>
      <c r="L176" s="2"/>
      <c r="M176" s="2"/>
      <c r="N176" s="2"/>
      <c r="O176" s="2">
        <f t="shared" ref="O176:T176" si="126">ROUND(O66+O146+AB176,2)</f>
        <v>1412196.96</v>
      </c>
      <c r="P176" s="2">
        <f t="shared" si="126"/>
        <v>887042.83</v>
      </c>
      <c r="Q176" s="2">
        <f t="shared" si="126"/>
        <v>79893.06</v>
      </c>
      <c r="R176" s="2">
        <f t="shared" si="126"/>
        <v>22569.95</v>
      </c>
      <c r="S176" s="2">
        <f t="shared" si="126"/>
        <v>445261.07</v>
      </c>
      <c r="T176" s="2">
        <f t="shared" si="126"/>
        <v>0</v>
      </c>
      <c r="U176" s="2">
        <f>U66+U146+AH176</f>
        <v>1166.7890287499999</v>
      </c>
      <c r="V176" s="2">
        <f>V66+V146+AI176</f>
        <v>35.975099999999998</v>
      </c>
      <c r="W176" s="2">
        <f>ROUND(W66+W146+AJ176,2)</f>
        <v>0</v>
      </c>
      <c r="X176" s="2">
        <f>ROUND(X66+X146+AK176,2)</f>
        <v>451508.47</v>
      </c>
      <c r="Y176" s="2">
        <f>ROUND(Y66+Y146+AL176,2)</f>
        <v>231156.59</v>
      </c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>
        <f t="shared" ref="AO176:BD176" si="127">ROUND(AO66+AO146+BX176,2)</f>
        <v>0</v>
      </c>
      <c r="AP176" s="2">
        <f t="shared" si="127"/>
        <v>0</v>
      </c>
      <c r="AQ176" s="2">
        <f t="shared" si="127"/>
        <v>0</v>
      </c>
      <c r="AR176" s="2">
        <f t="shared" si="127"/>
        <v>2097567.7599999998</v>
      </c>
      <c r="AS176" s="2">
        <f t="shared" si="127"/>
        <v>2097567.7599999998</v>
      </c>
      <c r="AT176" s="2">
        <f t="shared" si="127"/>
        <v>0</v>
      </c>
      <c r="AU176" s="2">
        <f t="shared" si="127"/>
        <v>0</v>
      </c>
      <c r="AV176" s="2">
        <f t="shared" si="127"/>
        <v>887042.83</v>
      </c>
      <c r="AW176" s="2">
        <f t="shared" si="127"/>
        <v>887042.83</v>
      </c>
      <c r="AX176" s="2">
        <f t="shared" si="127"/>
        <v>0</v>
      </c>
      <c r="AY176" s="2">
        <f t="shared" si="127"/>
        <v>887042.83</v>
      </c>
      <c r="AZ176" s="2">
        <f t="shared" si="127"/>
        <v>0</v>
      </c>
      <c r="BA176" s="2">
        <f t="shared" si="127"/>
        <v>0</v>
      </c>
      <c r="BB176" s="2">
        <f t="shared" si="127"/>
        <v>0</v>
      </c>
      <c r="BC176" s="2">
        <f t="shared" si="127"/>
        <v>0</v>
      </c>
      <c r="BD176" s="2">
        <f t="shared" si="127"/>
        <v>2705.74</v>
      </c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>
        <v>0</v>
      </c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201</v>
      </c>
      <c r="F178" s="4">
        <f>ROUND(Source!O176,O178)</f>
        <v>1412196.96</v>
      </c>
      <c r="G178" s="4" t="s">
        <v>184</v>
      </c>
      <c r="H178" s="4" t="s">
        <v>185</v>
      </c>
      <c r="I178" s="4"/>
      <c r="J178" s="4"/>
      <c r="K178" s="4">
        <v>201</v>
      </c>
      <c r="L178" s="4">
        <v>1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1412196.96</v>
      </c>
      <c r="X178" s="4">
        <v>1</v>
      </c>
      <c r="Y178" s="4">
        <v>1412196.96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202</v>
      </c>
      <c r="F179" s="4">
        <f>ROUND(Source!P176,O179)</f>
        <v>887042.83</v>
      </c>
      <c r="G179" s="4" t="s">
        <v>186</v>
      </c>
      <c r="H179" s="4" t="s">
        <v>187</v>
      </c>
      <c r="I179" s="4"/>
      <c r="J179" s="4"/>
      <c r="K179" s="4">
        <v>202</v>
      </c>
      <c r="L179" s="4">
        <v>2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887042.83</v>
      </c>
      <c r="X179" s="4">
        <v>1</v>
      </c>
      <c r="Y179" s="4">
        <v>887042.83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222</v>
      </c>
      <c r="F180" s="4">
        <f>ROUND(Source!AO176,O180)</f>
        <v>0</v>
      </c>
      <c r="G180" s="4" t="s">
        <v>188</v>
      </c>
      <c r="H180" s="4" t="s">
        <v>189</v>
      </c>
      <c r="I180" s="4"/>
      <c r="J180" s="4"/>
      <c r="K180" s="4">
        <v>222</v>
      </c>
      <c r="L180" s="4">
        <v>3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225</v>
      </c>
      <c r="F181" s="4">
        <f>ROUND(Source!AV176,O181)</f>
        <v>887042.83</v>
      </c>
      <c r="G181" s="4" t="s">
        <v>190</v>
      </c>
      <c r="H181" s="4" t="s">
        <v>191</v>
      </c>
      <c r="I181" s="4"/>
      <c r="J181" s="4"/>
      <c r="K181" s="4">
        <v>225</v>
      </c>
      <c r="L181" s="4">
        <v>4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887042.83</v>
      </c>
      <c r="X181" s="4">
        <v>1</v>
      </c>
      <c r="Y181" s="4">
        <v>887042.83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226</v>
      </c>
      <c r="F182" s="4">
        <f>ROUND(Source!AW176,O182)</f>
        <v>887042.83</v>
      </c>
      <c r="G182" s="4" t="s">
        <v>192</v>
      </c>
      <c r="H182" s="4" t="s">
        <v>193</v>
      </c>
      <c r="I182" s="4"/>
      <c r="J182" s="4"/>
      <c r="K182" s="4">
        <v>226</v>
      </c>
      <c r="L182" s="4">
        <v>5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887042.83</v>
      </c>
      <c r="X182" s="4">
        <v>1</v>
      </c>
      <c r="Y182" s="4">
        <v>887042.83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227</v>
      </c>
      <c r="F183" s="4">
        <f>ROUND(Source!AX176,O183)</f>
        <v>0</v>
      </c>
      <c r="G183" s="4" t="s">
        <v>194</v>
      </c>
      <c r="H183" s="4" t="s">
        <v>195</v>
      </c>
      <c r="I183" s="4"/>
      <c r="J183" s="4"/>
      <c r="K183" s="4">
        <v>227</v>
      </c>
      <c r="L183" s="4">
        <v>6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228</v>
      </c>
      <c r="F184" s="4">
        <f>ROUND(Source!AY176,O184)</f>
        <v>887042.83</v>
      </c>
      <c r="G184" s="4" t="s">
        <v>196</v>
      </c>
      <c r="H184" s="4" t="s">
        <v>197</v>
      </c>
      <c r="I184" s="4"/>
      <c r="J184" s="4"/>
      <c r="K184" s="4">
        <v>228</v>
      </c>
      <c r="L184" s="4">
        <v>7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887042.83</v>
      </c>
      <c r="X184" s="4">
        <v>1</v>
      </c>
      <c r="Y184" s="4">
        <v>887042.83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216</v>
      </c>
      <c r="F185" s="4">
        <f>ROUND(Source!AP176,O185)</f>
        <v>0</v>
      </c>
      <c r="G185" s="4" t="s">
        <v>198</v>
      </c>
      <c r="H185" s="4" t="s">
        <v>199</v>
      </c>
      <c r="I185" s="4"/>
      <c r="J185" s="4"/>
      <c r="K185" s="4">
        <v>216</v>
      </c>
      <c r="L185" s="4">
        <v>8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223</v>
      </c>
      <c r="F186" s="4">
        <f>ROUND(Source!AQ176,O186)</f>
        <v>0</v>
      </c>
      <c r="G186" s="4" t="s">
        <v>200</v>
      </c>
      <c r="H186" s="4" t="s">
        <v>201</v>
      </c>
      <c r="I186" s="4"/>
      <c r="J186" s="4"/>
      <c r="K186" s="4">
        <v>223</v>
      </c>
      <c r="L186" s="4">
        <v>9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229</v>
      </c>
      <c r="F187" s="4">
        <f>ROUND(Source!AZ176,O187)</f>
        <v>0</v>
      </c>
      <c r="G187" s="4" t="s">
        <v>202</v>
      </c>
      <c r="H187" s="4" t="s">
        <v>203</v>
      </c>
      <c r="I187" s="4"/>
      <c r="J187" s="4"/>
      <c r="K187" s="4">
        <v>229</v>
      </c>
      <c r="L187" s="4">
        <v>10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203</v>
      </c>
      <c r="F188" s="4">
        <f>ROUND(Source!Q176,O188)</f>
        <v>79893.06</v>
      </c>
      <c r="G188" s="4" t="s">
        <v>204</v>
      </c>
      <c r="H188" s="4" t="s">
        <v>205</v>
      </c>
      <c r="I188" s="4"/>
      <c r="J188" s="4"/>
      <c r="K188" s="4">
        <v>203</v>
      </c>
      <c r="L188" s="4">
        <v>11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79893.06</v>
      </c>
      <c r="X188" s="4">
        <v>1</v>
      </c>
      <c r="Y188" s="4">
        <v>79893.06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231</v>
      </c>
      <c r="F189" s="4">
        <f>ROUND(Source!BB176,O189)</f>
        <v>0</v>
      </c>
      <c r="G189" s="4" t="s">
        <v>206</v>
      </c>
      <c r="H189" s="4" t="s">
        <v>207</v>
      </c>
      <c r="I189" s="4"/>
      <c r="J189" s="4"/>
      <c r="K189" s="4">
        <v>231</v>
      </c>
      <c r="L189" s="4">
        <v>12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204</v>
      </c>
      <c r="F190" s="4">
        <f>ROUND(Source!R176,O190)</f>
        <v>22569.95</v>
      </c>
      <c r="G190" s="4" t="s">
        <v>208</v>
      </c>
      <c r="H190" s="4" t="s">
        <v>209</v>
      </c>
      <c r="I190" s="4"/>
      <c r="J190" s="4"/>
      <c r="K190" s="4">
        <v>204</v>
      </c>
      <c r="L190" s="4">
        <v>13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22569.95</v>
      </c>
      <c r="X190" s="4">
        <v>1</v>
      </c>
      <c r="Y190" s="4">
        <v>22569.95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205</v>
      </c>
      <c r="F191" s="4">
        <f>ROUND(Source!S176,O191)</f>
        <v>445261.07</v>
      </c>
      <c r="G191" s="4" t="s">
        <v>210</v>
      </c>
      <c r="H191" s="4" t="s">
        <v>211</v>
      </c>
      <c r="I191" s="4"/>
      <c r="J191" s="4"/>
      <c r="K191" s="4">
        <v>205</v>
      </c>
      <c r="L191" s="4">
        <v>14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445261.07</v>
      </c>
      <c r="X191" s="4">
        <v>1</v>
      </c>
      <c r="Y191" s="4">
        <v>445261.07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232</v>
      </c>
      <c r="F192" s="4">
        <f>ROUND(Source!BC176,O192)</f>
        <v>0</v>
      </c>
      <c r="G192" s="4" t="s">
        <v>212</v>
      </c>
      <c r="H192" s="4" t="s">
        <v>213</v>
      </c>
      <c r="I192" s="4"/>
      <c r="J192" s="4"/>
      <c r="K192" s="4">
        <v>232</v>
      </c>
      <c r="L192" s="4">
        <v>15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214</v>
      </c>
      <c r="F193" s="4">
        <f>ROUND(Source!AS176,O193)</f>
        <v>2097567.7599999998</v>
      </c>
      <c r="G193" s="4" t="s">
        <v>214</v>
      </c>
      <c r="H193" s="4" t="s">
        <v>215</v>
      </c>
      <c r="I193" s="4"/>
      <c r="J193" s="4"/>
      <c r="K193" s="4">
        <v>214</v>
      </c>
      <c r="L193" s="4">
        <v>16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2097567.7599999998</v>
      </c>
      <c r="X193" s="4">
        <v>1</v>
      </c>
      <c r="Y193" s="4">
        <v>2097567.7599999998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215</v>
      </c>
      <c r="F194" s="4">
        <f>ROUND(Source!AT176,O194)</f>
        <v>0</v>
      </c>
      <c r="G194" s="4" t="s">
        <v>216</v>
      </c>
      <c r="H194" s="4" t="s">
        <v>217</v>
      </c>
      <c r="I194" s="4"/>
      <c r="J194" s="4"/>
      <c r="K194" s="4">
        <v>215</v>
      </c>
      <c r="L194" s="4">
        <v>17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217</v>
      </c>
      <c r="F195" s="4">
        <f>ROUND(Source!AU176,O195)</f>
        <v>0</v>
      </c>
      <c r="G195" s="4" t="s">
        <v>218</v>
      </c>
      <c r="H195" s="4" t="s">
        <v>219</v>
      </c>
      <c r="I195" s="4"/>
      <c r="J195" s="4"/>
      <c r="K195" s="4">
        <v>217</v>
      </c>
      <c r="L195" s="4">
        <v>18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230</v>
      </c>
      <c r="F196" s="4">
        <f>ROUND(Source!BA176,O196)</f>
        <v>0</v>
      </c>
      <c r="G196" s="4" t="s">
        <v>220</v>
      </c>
      <c r="H196" s="4" t="s">
        <v>221</v>
      </c>
      <c r="I196" s="4"/>
      <c r="J196" s="4"/>
      <c r="K196" s="4">
        <v>230</v>
      </c>
      <c r="L196" s="4">
        <v>19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206</v>
      </c>
      <c r="F197" s="4">
        <f>ROUND(Source!T176,O197)</f>
        <v>0</v>
      </c>
      <c r="G197" s="4" t="s">
        <v>222</v>
      </c>
      <c r="H197" s="4" t="s">
        <v>223</v>
      </c>
      <c r="I197" s="4"/>
      <c r="J197" s="4"/>
      <c r="K197" s="4">
        <v>206</v>
      </c>
      <c r="L197" s="4">
        <v>20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207</v>
      </c>
      <c r="F198" s="4">
        <f>Source!U176</f>
        <v>1166.7890287499999</v>
      </c>
      <c r="G198" s="4" t="s">
        <v>224</v>
      </c>
      <c r="H198" s="4" t="s">
        <v>225</v>
      </c>
      <c r="I198" s="4"/>
      <c r="J198" s="4"/>
      <c r="K198" s="4">
        <v>207</v>
      </c>
      <c r="L198" s="4">
        <v>21</v>
      </c>
      <c r="M198" s="4">
        <v>3</v>
      </c>
      <c r="N198" s="4" t="s">
        <v>3</v>
      </c>
      <c r="O198" s="4">
        <v>-1</v>
      </c>
      <c r="P198" s="4"/>
      <c r="Q198" s="4"/>
      <c r="R198" s="4"/>
      <c r="S198" s="4"/>
      <c r="T198" s="4"/>
      <c r="U198" s="4"/>
      <c r="V198" s="4"/>
      <c r="W198" s="4">
        <v>1166.7890287499999</v>
      </c>
      <c r="X198" s="4">
        <v>1</v>
      </c>
      <c r="Y198" s="4">
        <v>1166.7890287499999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208</v>
      </c>
      <c r="F199" s="4">
        <f>Source!V176</f>
        <v>35.975099999999998</v>
      </c>
      <c r="G199" s="4" t="s">
        <v>226</v>
      </c>
      <c r="H199" s="4" t="s">
        <v>227</v>
      </c>
      <c r="I199" s="4"/>
      <c r="J199" s="4"/>
      <c r="K199" s="4">
        <v>208</v>
      </c>
      <c r="L199" s="4">
        <v>22</v>
      </c>
      <c r="M199" s="4">
        <v>3</v>
      </c>
      <c r="N199" s="4" t="s">
        <v>3</v>
      </c>
      <c r="O199" s="4">
        <v>-1</v>
      </c>
      <c r="P199" s="4"/>
      <c r="Q199" s="4"/>
      <c r="R199" s="4"/>
      <c r="S199" s="4"/>
      <c r="T199" s="4"/>
      <c r="U199" s="4"/>
      <c r="V199" s="4"/>
      <c r="W199" s="4">
        <v>35.975100000000005</v>
      </c>
      <c r="X199" s="4">
        <v>1</v>
      </c>
      <c r="Y199" s="4">
        <v>35.975100000000005</v>
      </c>
      <c r="Z199" s="4"/>
      <c r="AA199" s="4"/>
      <c r="AB199" s="4"/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209</v>
      </c>
      <c r="F200" s="4">
        <f>ROUND(Source!W176,O200)</f>
        <v>0</v>
      </c>
      <c r="G200" s="4" t="s">
        <v>228</v>
      </c>
      <c r="H200" s="4" t="s">
        <v>229</v>
      </c>
      <c r="I200" s="4"/>
      <c r="J200" s="4"/>
      <c r="K200" s="4">
        <v>209</v>
      </c>
      <c r="L200" s="4">
        <v>23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233</v>
      </c>
      <c r="F201" s="4">
        <f>ROUND(Source!BD176,O201)</f>
        <v>2705.74</v>
      </c>
      <c r="G201" s="4" t="s">
        <v>230</v>
      </c>
      <c r="H201" s="4" t="s">
        <v>231</v>
      </c>
      <c r="I201" s="4"/>
      <c r="J201" s="4"/>
      <c r="K201" s="4">
        <v>233</v>
      </c>
      <c r="L201" s="4">
        <v>24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2705.74</v>
      </c>
      <c r="X201" s="4">
        <v>1</v>
      </c>
      <c r="Y201" s="4">
        <v>2705.74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210</v>
      </c>
      <c r="F202" s="4">
        <f>ROUND(Source!X176,O202)</f>
        <v>451508.47</v>
      </c>
      <c r="G202" s="4" t="s">
        <v>232</v>
      </c>
      <c r="H202" s="4" t="s">
        <v>233</v>
      </c>
      <c r="I202" s="4"/>
      <c r="J202" s="4"/>
      <c r="K202" s="4">
        <v>210</v>
      </c>
      <c r="L202" s="4">
        <v>25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451508.47</v>
      </c>
      <c r="X202" s="4">
        <v>1</v>
      </c>
      <c r="Y202" s="4">
        <v>451508.47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211</v>
      </c>
      <c r="F203" s="4">
        <f>ROUND(Source!Y176,O203)</f>
        <v>231156.59</v>
      </c>
      <c r="G203" s="4" t="s">
        <v>234</v>
      </c>
      <c r="H203" s="4" t="s">
        <v>235</v>
      </c>
      <c r="I203" s="4"/>
      <c r="J203" s="4"/>
      <c r="K203" s="4">
        <v>211</v>
      </c>
      <c r="L203" s="4">
        <v>26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231156.59</v>
      </c>
      <c r="X203" s="4">
        <v>1</v>
      </c>
      <c r="Y203" s="4">
        <v>231156.59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224</v>
      </c>
      <c r="F204" s="4">
        <f>ROUND(Source!AR176,O204)</f>
        <v>2097567.7599999998</v>
      </c>
      <c r="G204" s="4" t="s">
        <v>236</v>
      </c>
      <c r="H204" s="4" t="s">
        <v>237</v>
      </c>
      <c r="I204" s="4"/>
      <c r="J204" s="4"/>
      <c r="K204" s="4">
        <v>224</v>
      </c>
      <c r="L204" s="4">
        <v>27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2097567.7599999998</v>
      </c>
      <c r="X204" s="4">
        <v>1</v>
      </c>
      <c r="Y204" s="4">
        <v>2097567.7599999998</v>
      </c>
      <c r="Z204" s="4"/>
      <c r="AA204" s="4"/>
      <c r="AB204" s="4"/>
    </row>
    <row r="206" spans="1:206" x14ac:dyDescent="0.2">
      <c r="A206" s="2">
        <v>51</v>
      </c>
      <c r="B206" s="2">
        <f>B12</f>
        <v>268</v>
      </c>
      <c r="C206" s="2">
        <f>A12</f>
        <v>1</v>
      </c>
      <c r="D206" s="2">
        <f>ROW(A12)</f>
        <v>12</v>
      </c>
      <c r="E206" s="2"/>
      <c r="F206" s="2" t="str">
        <f>IF(F12&lt;&gt;"",F12,"")</f>
        <v>Новый объект</v>
      </c>
      <c r="G206" s="2" t="str">
        <f>IF(G12&lt;&gt;"",G12,"")</f>
        <v>Ремонт кровли здания электроцеха</v>
      </c>
      <c r="H206" s="2">
        <v>0</v>
      </c>
      <c r="I206" s="2"/>
      <c r="J206" s="2"/>
      <c r="K206" s="2"/>
      <c r="L206" s="2"/>
      <c r="M206" s="2"/>
      <c r="N206" s="2"/>
      <c r="O206" s="2">
        <f t="shared" ref="O206:T206" si="128">ROUND(O176,2)</f>
        <v>1412196.96</v>
      </c>
      <c r="P206" s="2">
        <f t="shared" si="128"/>
        <v>887042.83</v>
      </c>
      <c r="Q206" s="2">
        <f t="shared" si="128"/>
        <v>79893.06</v>
      </c>
      <c r="R206" s="2">
        <f t="shared" si="128"/>
        <v>22569.95</v>
      </c>
      <c r="S206" s="2">
        <f t="shared" si="128"/>
        <v>445261.07</v>
      </c>
      <c r="T206" s="2">
        <f t="shared" si="128"/>
        <v>0</v>
      </c>
      <c r="U206" s="2">
        <f>U176</f>
        <v>1166.7890287499999</v>
      </c>
      <c r="V206" s="2">
        <f>V176</f>
        <v>35.975099999999998</v>
      </c>
      <c r="W206" s="2">
        <f>ROUND(W176,2)</f>
        <v>0</v>
      </c>
      <c r="X206" s="2">
        <f>ROUND(X176,2)</f>
        <v>451508.47</v>
      </c>
      <c r="Y206" s="2">
        <f>ROUND(Y176,2)</f>
        <v>231156.59</v>
      </c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>
        <f t="shared" ref="AO206:BD206" si="129">ROUND(AO176,2)</f>
        <v>0</v>
      </c>
      <c r="AP206" s="2">
        <f t="shared" si="129"/>
        <v>0</v>
      </c>
      <c r="AQ206" s="2">
        <f t="shared" si="129"/>
        <v>0</v>
      </c>
      <c r="AR206" s="2">
        <f t="shared" si="129"/>
        <v>2097567.7599999998</v>
      </c>
      <c r="AS206" s="2">
        <f t="shared" si="129"/>
        <v>2097567.7599999998</v>
      </c>
      <c r="AT206" s="2">
        <f t="shared" si="129"/>
        <v>0</v>
      </c>
      <c r="AU206" s="2">
        <f t="shared" si="129"/>
        <v>0</v>
      </c>
      <c r="AV206" s="2">
        <f t="shared" si="129"/>
        <v>887042.83</v>
      </c>
      <c r="AW206" s="2">
        <f t="shared" si="129"/>
        <v>887042.83</v>
      </c>
      <c r="AX206" s="2">
        <f t="shared" si="129"/>
        <v>0</v>
      </c>
      <c r="AY206" s="2">
        <f t="shared" si="129"/>
        <v>887042.83</v>
      </c>
      <c r="AZ206" s="2">
        <f t="shared" si="129"/>
        <v>0</v>
      </c>
      <c r="BA206" s="2">
        <f t="shared" si="129"/>
        <v>0</v>
      </c>
      <c r="BB206" s="2">
        <f t="shared" si="129"/>
        <v>0</v>
      </c>
      <c r="BC206" s="2">
        <f t="shared" si="129"/>
        <v>0</v>
      </c>
      <c r="BD206" s="2">
        <f t="shared" si="129"/>
        <v>2705.74</v>
      </c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>
        <v>0</v>
      </c>
    </row>
    <row r="208" spans="1:206" x14ac:dyDescent="0.2">
      <c r="A208" s="4">
        <v>50</v>
      </c>
      <c r="B208" s="4">
        <v>1</v>
      </c>
      <c r="C208" s="4">
        <v>0</v>
      </c>
      <c r="D208" s="4">
        <v>1</v>
      </c>
      <c r="E208" s="4">
        <v>201</v>
      </c>
      <c r="F208" s="4">
        <f>ROUND(Source!O206,O208)</f>
        <v>1412196.96</v>
      </c>
      <c r="G208" s="4" t="s">
        <v>184</v>
      </c>
      <c r="H208" s="4" t="s">
        <v>185</v>
      </c>
      <c r="I208" s="4"/>
      <c r="J208" s="4"/>
      <c r="K208" s="4">
        <v>201</v>
      </c>
      <c r="L208" s="4">
        <v>1</v>
      </c>
      <c r="M208" s="4">
        <v>1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1412196.96</v>
      </c>
      <c r="X208" s="4">
        <v>1</v>
      </c>
      <c r="Y208" s="4">
        <v>1412196.96</v>
      </c>
      <c r="Z208" s="4"/>
      <c r="AA208" s="4"/>
      <c r="AB208" s="4"/>
    </row>
    <row r="209" spans="1:28" x14ac:dyDescent="0.2">
      <c r="A209" s="4">
        <v>50</v>
      </c>
      <c r="B209" s="4">
        <v>1</v>
      </c>
      <c r="C209" s="4">
        <v>0</v>
      </c>
      <c r="D209" s="4">
        <v>1</v>
      </c>
      <c r="E209" s="4">
        <v>202</v>
      </c>
      <c r="F209" s="4">
        <f>ROUND(Source!P206,O209)</f>
        <v>887042.83</v>
      </c>
      <c r="G209" s="4" t="s">
        <v>186</v>
      </c>
      <c r="H209" s="4" t="s">
        <v>187</v>
      </c>
      <c r="I209" s="4"/>
      <c r="J209" s="4"/>
      <c r="K209" s="4">
        <v>202</v>
      </c>
      <c r="L209" s="4">
        <v>2</v>
      </c>
      <c r="M209" s="4">
        <v>1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887042.83</v>
      </c>
      <c r="X209" s="4">
        <v>1</v>
      </c>
      <c r="Y209" s="4">
        <v>887042.83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222</v>
      </c>
      <c r="F210" s="4">
        <f>ROUND(Source!AO206,O210)</f>
        <v>0</v>
      </c>
      <c r="G210" s="4" t="s">
        <v>188</v>
      </c>
      <c r="H210" s="4" t="s">
        <v>189</v>
      </c>
      <c r="I210" s="4"/>
      <c r="J210" s="4"/>
      <c r="K210" s="4">
        <v>222</v>
      </c>
      <c r="L210" s="4">
        <v>3</v>
      </c>
      <c r="M210" s="4">
        <v>1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1</v>
      </c>
      <c r="C211" s="4">
        <v>0</v>
      </c>
      <c r="D211" s="4">
        <v>1</v>
      </c>
      <c r="E211" s="4">
        <v>225</v>
      </c>
      <c r="F211" s="4">
        <f>ROUND(Source!AV206,O211)</f>
        <v>887042.83</v>
      </c>
      <c r="G211" s="4" t="s">
        <v>190</v>
      </c>
      <c r="H211" s="4" t="s">
        <v>191</v>
      </c>
      <c r="I211" s="4"/>
      <c r="J211" s="4"/>
      <c r="K211" s="4">
        <v>225</v>
      </c>
      <c r="L211" s="4">
        <v>4</v>
      </c>
      <c r="M211" s="4">
        <v>1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887042.83</v>
      </c>
      <c r="X211" s="4">
        <v>1</v>
      </c>
      <c r="Y211" s="4">
        <v>887042.83</v>
      </c>
      <c r="Z211" s="4"/>
      <c r="AA211" s="4"/>
      <c r="AB211" s="4"/>
    </row>
    <row r="212" spans="1:28" x14ac:dyDescent="0.2">
      <c r="A212" s="4">
        <v>50</v>
      </c>
      <c r="B212" s="4">
        <v>1</v>
      </c>
      <c r="C212" s="4">
        <v>0</v>
      </c>
      <c r="D212" s="4">
        <v>1</v>
      </c>
      <c r="E212" s="4">
        <v>226</v>
      </c>
      <c r="F212" s="4">
        <f>ROUND(Source!AW206,O212)</f>
        <v>887042.83</v>
      </c>
      <c r="G212" s="4" t="s">
        <v>192</v>
      </c>
      <c r="H212" s="4" t="s">
        <v>193</v>
      </c>
      <c r="I212" s="4"/>
      <c r="J212" s="4"/>
      <c r="K212" s="4">
        <v>226</v>
      </c>
      <c r="L212" s="4">
        <v>5</v>
      </c>
      <c r="M212" s="4">
        <v>1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887042.83</v>
      </c>
      <c r="X212" s="4">
        <v>1</v>
      </c>
      <c r="Y212" s="4">
        <v>887042.83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227</v>
      </c>
      <c r="F213" s="4">
        <f>ROUND(Source!AX206,O213)</f>
        <v>0</v>
      </c>
      <c r="G213" s="4" t="s">
        <v>194</v>
      </c>
      <c r="H213" s="4" t="s">
        <v>195</v>
      </c>
      <c r="I213" s="4"/>
      <c r="J213" s="4"/>
      <c r="K213" s="4">
        <v>227</v>
      </c>
      <c r="L213" s="4">
        <v>6</v>
      </c>
      <c r="M213" s="4">
        <v>1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1</v>
      </c>
      <c r="C214" s="4">
        <v>0</v>
      </c>
      <c r="D214" s="4">
        <v>1</v>
      </c>
      <c r="E214" s="4">
        <v>228</v>
      </c>
      <c r="F214" s="4">
        <f>ROUND(Source!AY206,O214)</f>
        <v>887042.83</v>
      </c>
      <c r="G214" s="4" t="s">
        <v>196</v>
      </c>
      <c r="H214" s="4" t="s">
        <v>197</v>
      </c>
      <c r="I214" s="4"/>
      <c r="J214" s="4"/>
      <c r="K214" s="4">
        <v>228</v>
      </c>
      <c r="L214" s="4">
        <v>7</v>
      </c>
      <c r="M214" s="4">
        <v>1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887042.83</v>
      </c>
      <c r="X214" s="4">
        <v>1</v>
      </c>
      <c r="Y214" s="4">
        <v>887042.83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216</v>
      </c>
      <c r="F215" s="4">
        <f>ROUND(Source!AP206,O215)</f>
        <v>0</v>
      </c>
      <c r="G215" s="4" t="s">
        <v>198</v>
      </c>
      <c r="H215" s="4" t="s">
        <v>199</v>
      </c>
      <c r="I215" s="4"/>
      <c r="J215" s="4"/>
      <c r="K215" s="4">
        <v>216</v>
      </c>
      <c r="L215" s="4">
        <v>8</v>
      </c>
      <c r="M215" s="4">
        <v>1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223</v>
      </c>
      <c r="F216" s="4">
        <f>ROUND(Source!AQ206,O216)</f>
        <v>0</v>
      </c>
      <c r="G216" s="4" t="s">
        <v>200</v>
      </c>
      <c r="H216" s="4" t="s">
        <v>201</v>
      </c>
      <c r="I216" s="4"/>
      <c r="J216" s="4"/>
      <c r="K216" s="4">
        <v>223</v>
      </c>
      <c r="L216" s="4">
        <v>9</v>
      </c>
      <c r="M216" s="4">
        <v>1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229</v>
      </c>
      <c r="F217" s="4">
        <f>ROUND(Source!AZ206,O217)</f>
        <v>0</v>
      </c>
      <c r="G217" s="4" t="s">
        <v>202</v>
      </c>
      <c r="H217" s="4" t="s">
        <v>203</v>
      </c>
      <c r="I217" s="4"/>
      <c r="J217" s="4"/>
      <c r="K217" s="4">
        <v>229</v>
      </c>
      <c r="L217" s="4">
        <v>10</v>
      </c>
      <c r="M217" s="4">
        <v>1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1</v>
      </c>
      <c r="C218" s="4">
        <v>0</v>
      </c>
      <c r="D218" s="4">
        <v>1</v>
      </c>
      <c r="E218" s="4">
        <v>203</v>
      </c>
      <c r="F218" s="4">
        <f>ROUND(Source!Q206,O218)</f>
        <v>79893.06</v>
      </c>
      <c r="G218" s="4" t="s">
        <v>204</v>
      </c>
      <c r="H218" s="4" t="s">
        <v>205</v>
      </c>
      <c r="I218" s="4"/>
      <c r="J218" s="4"/>
      <c r="K218" s="4">
        <v>203</v>
      </c>
      <c r="L218" s="4">
        <v>11</v>
      </c>
      <c r="M218" s="4">
        <v>1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79893.06</v>
      </c>
      <c r="X218" s="4">
        <v>1</v>
      </c>
      <c r="Y218" s="4">
        <v>79893.06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231</v>
      </c>
      <c r="F219" s="4">
        <f>ROUND(Source!BB206,O219)</f>
        <v>0</v>
      </c>
      <c r="G219" s="4" t="s">
        <v>206</v>
      </c>
      <c r="H219" s="4" t="s">
        <v>207</v>
      </c>
      <c r="I219" s="4"/>
      <c r="J219" s="4"/>
      <c r="K219" s="4">
        <v>231</v>
      </c>
      <c r="L219" s="4">
        <v>12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1</v>
      </c>
      <c r="C220" s="4">
        <v>0</v>
      </c>
      <c r="D220" s="4">
        <v>1</v>
      </c>
      <c r="E220" s="4">
        <v>204</v>
      </c>
      <c r="F220" s="4">
        <f>ROUND(Source!R206,O220)</f>
        <v>22569.95</v>
      </c>
      <c r="G220" s="4" t="s">
        <v>208</v>
      </c>
      <c r="H220" s="4" t="s">
        <v>209</v>
      </c>
      <c r="I220" s="4"/>
      <c r="J220" s="4"/>
      <c r="K220" s="4">
        <v>204</v>
      </c>
      <c r="L220" s="4">
        <v>13</v>
      </c>
      <c r="M220" s="4">
        <v>1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22569.95</v>
      </c>
      <c r="X220" s="4">
        <v>1</v>
      </c>
      <c r="Y220" s="4">
        <v>22569.95</v>
      </c>
      <c r="Z220" s="4"/>
      <c r="AA220" s="4"/>
      <c r="AB220" s="4"/>
    </row>
    <row r="221" spans="1:28" x14ac:dyDescent="0.2">
      <c r="A221" s="4">
        <v>50</v>
      </c>
      <c r="B221" s="4">
        <v>1</v>
      </c>
      <c r="C221" s="4">
        <v>0</v>
      </c>
      <c r="D221" s="4">
        <v>1</v>
      </c>
      <c r="E221" s="4">
        <v>205</v>
      </c>
      <c r="F221" s="4">
        <f>ROUND(Source!S206,O221)</f>
        <v>445261.07</v>
      </c>
      <c r="G221" s="4" t="s">
        <v>210</v>
      </c>
      <c r="H221" s="4" t="s">
        <v>211</v>
      </c>
      <c r="I221" s="4"/>
      <c r="J221" s="4"/>
      <c r="K221" s="4">
        <v>205</v>
      </c>
      <c r="L221" s="4">
        <v>14</v>
      </c>
      <c r="M221" s="4">
        <v>1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445261.07</v>
      </c>
      <c r="X221" s="4">
        <v>1</v>
      </c>
      <c r="Y221" s="4">
        <v>445261.07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232</v>
      </c>
      <c r="F222" s="4">
        <f>ROUND(Source!BC206,O222)</f>
        <v>0</v>
      </c>
      <c r="G222" s="4" t="s">
        <v>212</v>
      </c>
      <c r="H222" s="4" t="s">
        <v>213</v>
      </c>
      <c r="I222" s="4"/>
      <c r="J222" s="4"/>
      <c r="K222" s="4">
        <v>232</v>
      </c>
      <c r="L222" s="4">
        <v>15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1</v>
      </c>
      <c r="C223" s="4">
        <v>0</v>
      </c>
      <c r="D223" s="4">
        <v>1</v>
      </c>
      <c r="E223" s="4">
        <v>214</v>
      </c>
      <c r="F223" s="4">
        <f>ROUND(Source!AS206,O223)</f>
        <v>2097567.7599999998</v>
      </c>
      <c r="G223" s="4" t="s">
        <v>214</v>
      </c>
      <c r="H223" s="4" t="s">
        <v>215</v>
      </c>
      <c r="I223" s="4"/>
      <c r="J223" s="4"/>
      <c r="K223" s="4">
        <v>214</v>
      </c>
      <c r="L223" s="4">
        <v>16</v>
      </c>
      <c r="M223" s="4">
        <v>1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2097567.7599999998</v>
      </c>
      <c r="X223" s="4">
        <v>1</v>
      </c>
      <c r="Y223" s="4">
        <v>2097567.7599999998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215</v>
      </c>
      <c r="F224" s="4">
        <f>ROUND(Source!AT206,O224)</f>
        <v>0</v>
      </c>
      <c r="G224" s="4" t="s">
        <v>216</v>
      </c>
      <c r="H224" s="4" t="s">
        <v>217</v>
      </c>
      <c r="I224" s="4"/>
      <c r="J224" s="4"/>
      <c r="K224" s="4">
        <v>215</v>
      </c>
      <c r="L224" s="4">
        <v>17</v>
      </c>
      <c r="M224" s="4">
        <v>1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217</v>
      </c>
      <c r="F225" s="4">
        <f>ROUND(Source!AU206,O225)</f>
        <v>0</v>
      </c>
      <c r="G225" s="4" t="s">
        <v>218</v>
      </c>
      <c r="H225" s="4" t="s">
        <v>219</v>
      </c>
      <c r="I225" s="4"/>
      <c r="J225" s="4"/>
      <c r="K225" s="4">
        <v>217</v>
      </c>
      <c r="L225" s="4">
        <v>18</v>
      </c>
      <c r="M225" s="4">
        <v>1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230</v>
      </c>
      <c r="F226" s="4">
        <f>ROUND(Source!BA206,O226)</f>
        <v>0</v>
      </c>
      <c r="G226" s="4" t="s">
        <v>220</v>
      </c>
      <c r="H226" s="4" t="s">
        <v>221</v>
      </c>
      <c r="I226" s="4"/>
      <c r="J226" s="4"/>
      <c r="K226" s="4">
        <v>230</v>
      </c>
      <c r="L226" s="4">
        <v>19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206</v>
      </c>
      <c r="F227" s="4">
        <f>ROUND(Source!T206,O227)</f>
        <v>0</v>
      </c>
      <c r="G227" s="4" t="s">
        <v>222</v>
      </c>
      <c r="H227" s="4" t="s">
        <v>223</v>
      </c>
      <c r="I227" s="4"/>
      <c r="J227" s="4"/>
      <c r="K227" s="4">
        <v>206</v>
      </c>
      <c r="L227" s="4">
        <v>20</v>
      </c>
      <c r="M227" s="4">
        <v>1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1</v>
      </c>
      <c r="C228" s="4">
        <v>0</v>
      </c>
      <c r="D228" s="4">
        <v>1</v>
      </c>
      <c r="E228" s="4">
        <v>207</v>
      </c>
      <c r="F228" s="4">
        <f>Source!U206</f>
        <v>1166.7890287499999</v>
      </c>
      <c r="G228" s="4" t="s">
        <v>224</v>
      </c>
      <c r="H228" s="4" t="s">
        <v>225</v>
      </c>
      <c r="I228" s="4"/>
      <c r="J228" s="4"/>
      <c r="K228" s="4">
        <v>207</v>
      </c>
      <c r="L228" s="4">
        <v>21</v>
      </c>
      <c r="M228" s="4">
        <v>1</v>
      </c>
      <c r="N228" s="4" t="s">
        <v>3</v>
      </c>
      <c r="O228" s="4">
        <v>-1</v>
      </c>
      <c r="P228" s="4"/>
      <c r="Q228" s="4"/>
      <c r="R228" s="4"/>
      <c r="S228" s="4"/>
      <c r="T228" s="4"/>
      <c r="U228" s="4"/>
      <c r="V228" s="4"/>
      <c r="W228" s="4">
        <v>1166.7890287499999</v>
      </c>
      <c r="X228" s="4">
        <v>1</v>
      </c>
      <c r="Y228" s="4">
        <v>1166.7890287499999</v>
      </c>
      <c r="Z228" s="4"/>
      <c r="AA228" s="4"/>
      <c r="AB228" s="4"/>
    </row>
    <row r="229" spans="1:28" x14ac:dyDescent="0.2">
      <c r="A229" s="4">
        <v>50</v>
      </c>
      <c r="B229" s="4">
        <v>1</v>
      </c>
      <c r="C229" s="4">
        <v>0</v>
      </c>
      <c r="D229" s="4">
        <v>1</v>
      </c>
      <c r="E229" s="4">
        <v>208</v>
      </c>
      <c r="F229" s="4">
        <f>Source!V206</f>
        <v>35.975099999999998</v>
      </c>
      <c r="G229" s="4" t="s">
        <v>226</v>
      </c>
      <c r="H229" s="4" t="s">
        <v>227</v>
      </c>
      <c r="I229" s="4"/>
      <c r="J229" s="4"/>
      <c r="K229" s="4">
        <v>208</v>
      </c>
      <c r="L229" s="4">
        <v>22</v>
      </c>
      <c r="M229" s="4">
        <v>1</v>
      </c>
      <c r="N229" s="4" t="s">
        <v>3</v>
      </c>
      <c r="O229" s="4">
        <v>-1</v>
      </c>
      <c r="P229" s="4"/>
      <c r="Q229" s="4"/>
      <c r="R229" s="4"/>
      <c r="S229" s="4"/>
      <c r="T229" s="4"/>
      <c r="U229" s="4"/>
      <c r="V229" s="4"/>
      <c r="W229" s="4">
        <v>35.975100000000005</v>
      </c>
      <c r="X229" s="4">
        <v>1</v>
      </c>
      <c r="Y229" s="4">
        <v>35.975100000000005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209</v>
      </c>
      <c r="F230" s="4">
        <f>ROUND(Source!W206,O230)</f>
        <v>0</v>
      </c>
      <c r="G230" s="4" t="s">
        <v>228</v>
      </c>
      <c r="H230" s="4" t="s">
        <v>229</v>
      </c>
      <c r="I230" s="4"/>
      <c r="J230" s="4"/>
      <c r="K230" s="4">
        <v>209</v>
      </c>
      <c r="L230" s="4">
        <v>23</v>
      </c>
      <c r="M230" s="4">
        <v>1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1</v>
      </c>
      <c r="C231" s="4">
        <v>0</v>
      </c>
      <c r="D231" s="4">
        <v>1</v>
      </c>
      <c r="E231" s="4">
        <v>233</v>
      </c>
      <c r="F231" s="4">
        <f>ROUND(Source!BD206,O231)</f>
        <v>2705.74</v>
      </c>
      <c r="G231" s="4" t="s">
        <v>230</v>
      </c>
      <c r="H231" s="4" t="s">
        <v>231</v>
      </c>
      <c r="I231" s="4"/>
      <c r="J231" s="4"/>
      <c r="K231" s="4">
        <v>233</v>
      </c>
      <c r="L231" s="4">
        <v>24</v>
      </c>
      <c r="M231" s="4">
        <v>1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2705.74</v>
      </c>
      <c r="X231" s="4">
        <v>1</v>
      </c>
      <c r="Y231" s="4">
        <v>2705.74</v>
      </c>
      <c r="Z231" s="4"/>
      <c r="AA231" s="4"/>
      <c r="AB231" s="4"/>
    </row>
    <row r="232" spans="1:28" x14ac:dyDescent="0.2">
      <c r="A232" s="4">
        <v>50</v>
      </c>
      <c r="B232" s="4">
        <v>1</v>
      </c>
      <c r="C232" s="4">
        <v>0</v>
      </c>
      <c r="D232" s="4">
        <v>1</v>
      </c>
      <c r="E232" s="4">
        <v>210</v>
      </c>
      <c r="F232" s="4">
        <f>ROUND(Source!X206,O232)</f>
        <v>451508.47</v>
      </c>
      <c r="G232" s="4" t="s">
        <v>232</v>
      </c>
      <c r="H232" s="4" t="s">
        <v>233</v>
      </c>
      <c r="I232" s="4"/>
      <c r="J232" s="4"/>
      <c r="K232" s="4">
        <v>210</v>
      </c>
      <c r="L232" s="4">
        <v>25</v>
      </c>
      <c r="M232" s="4">
        <v>1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451508.47</v>
      </c>
      <c r="X232" s="4">
        <v>1</v>
      </c>
      <c r="Y232" s="4">
        <v>451508.47</v>
      </c>
      <c r="Z232" s="4"/>
      <c r="AA232" s="4"/>
      <c r="AB232" s="4"/>
    </row>
    <row r="233" spans="1:28" x14ac:dyDescent="0.2">
      <c r="A233" s="4">
        <v>50</v>
      </c>
      <c r="B233" s="4">
        <v>1</v>
      </c>
      <c r="C233" s="4">
        <v>0</v>
      </c>
      <c r="D233" s="4">
        <v>1</v>
      </c>
      <c r="E233" s="4">
        <v>211</v>
      </c>
      <c r="F233" s="4">
        <f>ROUND(Source!Y206,O233)</f>
        <v>231156.59</v>
      </c>
      <c r="G233" s="4" t="s">
        <v>234</v>
      </c>
      <c r="H233" s="4" t="s">
        <v>235</v>
      </c>
      <c r="I233" s="4"/>
      <c r="J233" s="4"/>
      <c r="K233" s="4">
        <v>211</v>
      </c>
      <c r="L233" s="4">
        <v>26</v>
      </c>
      <c r="M233" s="4">
        <v>1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231156.59</v>
      </c>
      <c r="X233" s="4">
        <v>1</v>
      </c>
      <c r="Y233" s="4">
        <v>231156.59</v>
      </c>
      <c r="Z233" s="4"/>
      <c r="AA233" s="4"/>
      <c r="AB233" s="4"/>
    </row>
    <row r="234" spans="1:28" x14ac:dyDescent="0.2">
      <c r="A234" s="4">
        <v>50</v>
      </c>
      <c r="B234" s="4">
        <v>1</v>
      </c>
      <c r="C234" s="4">
        <v>0</v>
      </c>
      <c r="D234" s="4">
        <v>1</v>
      </c>
      <c r="E234" s="4">
        <v>224</v>
      </c>
      <c r="F234" s="4">
        <f>ROUND(Source!AR206,O234)</f>
        <v>2097567.7599999998</v>
      </c>
      <c r="G234" s="4" t="s">
        <v>236</v>
      </c>
      <c r="H234" s="4" t="s">
        <v>237</v>
      </c>
      <c r="I234" s="4"/>
      <c r="J234" s="4"/>
      <c r="K234" s="4">
        <v>224</v>
      </c>
      <c r="L234" s="4">
        <v>27</v>
      </c>
      <c r="M234" s="4">
        <v>1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2097567.7599999998</v>
      </c>
      <c r="X234" s="4">
        <v>1</v>
      </c>
      <c r="Y234" s="4">
        <v>2097567.7599999998</v>
      </c>
      <c r="Z234" s="4"/>
      <c r="AA234" s="4"/>
      <c r="AB234" s="4"/>
    </row>
    <row r="235" spans="1:28" x14ac:dyDescent="0.2">
      <c r="A235" s="4">
        <v>50</v>
      </c>
      <c r="B235" s="4">
        <v>1</v>
      </c>
      <c r="C235" s="4">
        <v>0</v>
      </c>
      <c r="D235" s="4">
        <v>2</v>
      </c>
      <c r="E235" s="4">
        <v>0</v>
      </c>
      <c r="F235" s="4">
        <f>ROUND(F234*0.2,O235)</f>
        <v>419513.55</v>
      </c>
      <c r="G235" s="4" t="s">
        <v>318</v>
      </c>
      <c r="H235" s="4" t="s">
        <v>319</v>
      </c>
      <c r="I235" s="4"/>
      <c r="J235" s="4"/>
      <c r="K235" s="4">
        <v>212</v>
      </c>
      <c r="L235" s="4">
        <v>28</v>
      </c>
      <c r="M235" s="4">
        <v>0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419513.55</v>
      </c>
      <c r="X235" s="4">
        <v>1</v>
      </c>
      <c r="Y235" s="4">
        <v>419513.55</v>
      </c>
      <c r="Z235" s="4"/>
      <c r="AA235" s="4"/>
      <c r="AB235" s="4"/>
    </row>
    <row r="236" spans="1:28" x14ac:dyDescent="0.2">
      <c r="A236" s="4">
        <v>50</v>
      </c>
      <c r="B236" s="4">
        <v>1</v>
      </c>
      <c r="C236" s="4">
        <v>0</v>
      </c>
      <c r="D236" s="4">
        <v>2</v>
      </c>
      <c r="E236" s="4">
        <v>0</v>
      </c>
      <c r="F236" s="4">
        <f>ROUND(F235+F234,O236)</f>
        <v>2517081.31</v>
      </c>
      <c r="G236" s="4" t="s">
        <v>320</v>
      </c>
      <c r="H236" s="4" t="s">
        <v>321</v>
      </c>
      <c r="I236" s="4"/>
      <c r="J236" s="4"/>
      <c r="K236" s="4">
        <v>212</v>
      </c>
      <c r="L236" s="4">
        <v>29</v>
      </c>
      <c r="M236" s="4">
        <v>0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2517081.31</v>
      </c>
      <c r="X236" s="4">
        <v>1</v>
      </c>
      <c r="Y236" s="4">
        <v>2517081.31</v>
      </c>
      <c r="Z236" s="4"/>
      <c r="AA236" s="4"/>
      <c r="AB236" s="4"/>
    </row>
    <row r="238" spans="1:28" x14ac:dyDescent="0.2">
      <c r="A238" s="5">
        <v>61</v>
      </c>
      <c r="B238" s="5"/>
      <c r="C238" s="5"/>
      <c r="D238" s="5"/>
      <c r="E238" s="5"/>
      <c r="F238" s="5">
        <v>1.2</v>
      </c>
      <c r="G238" s="5" t="s">
        <v>322</v>
      </c>
      <c r="H238" s="5" t="s">
        <v>323</v>
      </c>
    </row>
    <row r="239" spans="1:28" x14ac:dyDescent="0.2">
      <c r="A239" s="5">
        <v>61</v>
      </c>
      <c r="B239" s="5"/>
      <c r="C239" s="5"/>
      <c r="D239" s="5"/>
      <c r="E239" s="5"/>
      <c r="F239" s="5">
        <v>12</v>
      </c>
      <c r="G239" s="5" t="s">
        <v>324</v>
      </c>
      <c r="H239" s="5" t="s">
        <v>323</v>
      </c>
    </row>
    <row r="240" spans="1:28" x14ac:dyDescent="0.2">
      <c r="A240" s="5">
        <v>61</v>
      </c>
      <c r="B240" s="5"/>
      <c r="C240" s="5"/>
      <c r="D240" s="5"/>
      <c r="E240" s="5"/>
      <c r="F240" s="5">
        <v>0</v>
      </c>
      <c r="G240" s="5" t="s">
        <v>325</v>
      </c>
      <c r="H240" s="5" t="s">
        <v>323</v>
      </c>
    </row>
    <row r="243" spans="1:16" x14ac:dyDescent="0.2">
      <c r="A243">
        <v>70</v>
      </c>
      <c r="B243">
        <v>1</v>
      </c>
      <c r="D243">
        <v>1</v>
      </c>
      <c r="E243" t="s">
        <v>326</v>
      </c>
      <c r="F243" t="s">
        <v>327</v>
      </c>
      <c r="G243">
        <v>0</v>
      </c>
      <c r="H243">
        <v>0</v>
      </c>
      <c r="I243" t="s">
        <v>3</v>
      </c>
      <c r="J243">
        <v>1</v>
      </c>
      <c r="K243">
        <v>0</v>
      </c>
      <c r="L243" t="s">
        <v>3</v>
      </c>
      <c r="M243" t="s">
        <v>3</v>
      </c>
      <c r="N243">
        <v>0</v>
      </c>
      <c r="P243" t="s">
        <v>328</v>
      </c>
    </row>
    <row r="244" spans="1:16" x14ac:dyDescent="0.2">
      <c r="A244">
        <v>70</v>
      </c>
      <c r="B244">
        <v>1</v>
      </c>
      <c r="D244">
        <v>2</v>
      </c>
      <c r="E244" t="s">
        <v>329</v>
      </c>
      <c r="F244" t="s">
        <v>330</v>
      </c>
      <c r="G244">
        <v>0</v>
      </c>
      <c r="H244">
        <v>0</v>
      </c>
      <c r="I244" t="s">
        <v>3</v>
      </c>
      <c r="J244">
        <v>1</v>
      </c>
      <c r="K244">
        <v>0</v>
      </c>
      <c r="L244" t="s">
        <v>3</v>
      </c>
      <c r="M244" t="s">
        <v>3</v>
      </c>
      <c r="N244">
        <v>0</v>
      </c>
      <c r="P244" t="s">
        <v>331</v>
      </c>
    </row>
    <row r="245" spans="1:16" x14ac:dyDescent="0.2">
      <c r="A245">
        <v>70</v>
      </c>
      <c r="B245">
        <v>1</v>
      </c>
      <c r="D245">
        <v>3</v>
      </c>
      <c r="E245" t="s">
        <v>332</v>
      </c>
      <c r="F245" t="s">
        <v>333</v>
      </c>
      <c r="G245">
        <v>1</v>
      </c>
      <c r="H245">
        <v>0</v>
      </c>
      <c r="I245" t="s">
        <v>3</v>
      </c>
      <c r="J245">
        <v>1</v>
      </c>
      <c r="K245">
        <v>0</v>
      </c>
      <c r="L245" t="s">
        <v>3</v>
      </c>
      <c r="M245" t="s">
        <v>3</v>
      </c>
      <c r="N245">
        <v>0</v>
      </c>
      <c r="P245" t="s">
        <v>334</v>
      </c>
    </row>
    <row r="246" spans="1:16" x14ac:dyDescent="0.2">
      <c r="A246">
        <v>70</v>
      </c>
      <c r="B246">
        <v>1</v>
      </c>
      <c r="D246">
        <v>4</v>
      </c>
      <c r="E246" t="s">
        <v>335</v>
      </c>
      <c r="F246" t="s">
        <v>336</v>
      </c>
      <c r="G246">
        <v>1</v>
      </c>
      <c r="H246">
        <v>0</v>
      </c>
      <c r="I246" t="s">
        <v>3</v>
      </c>
      <c r="J246">
        <v>2</v>
      </c>
      <c r="K246">
        <v>0</v>
      </c>
      <c r="L246" t="s">
        <v>3</v>
      </c>
      <c r="M246" t="s">
        <v>3</v>
      </c>
      <c r="N246">
        <v>0</v>
      </c>
      <c r="P246" t="s">
        <v>3</v>
      </c>
    </row>
    <row r="247" spans="1:16" x14ac:dyDescent="0.2">
      <c r="A247">
        <v>70</v>
      </c>
      <c r="B247">
        <v>1</v>
      </c>
      <c r="D247">
        <v>5</v>
      </c>
      <c r="E247" t="s">
        <v>337</v>
      </c>
      <c r="F247" t="s">
        <v>338</v>
      </c>
      <c r="G247">
        <v>0</v>
      </c>
      <c r="H247">
        <v>0</v>
      </c>
      <c r="I247" t="s">
        <v>3</v>
      </c>
      <c r="J247">
        <v>2</v>
      </c>
      <c r="K247">
        <v>0</v>
      </c>
      <c r="L247" t="s">
        <v>3</v>
      </c>
      <c r="M247" t="s">
        <v>3</v>
      </c>
      <c r="N247">
        <v>0</v>
      </c>
      <c r="P247" t="s">
        <v>3</v>
      </c>
    </row>
    <row r="248" spans="1:16" x14ac:dyDescent="0.2">
      <c r="A248">
        <v>70</v>
      </c>
      <c r="B248">
        <v>1</v>
      </c>
      <c r="D248">
        <v>6</v>
      </c>
      <c r="E248" t="s">
        <v>339</v>
      </c>
      <c r="F248" t="s">
        <v>340</v>
      </c>
      <c r="G248">
        <v>0</v>
      </c>
      <c r="H248">
        <v>0</v>
      </c>
      <c r="I248" t="s">
        <v>3</v>
      </c>
      <c r="J248">
        <v>2</v>
      </c>
      <c r="K248">
        <v>0</v>
      </c>
      <c r="L248" t="s">
        <v>3</v>
      </c>
      <c r="M248" t="s">
        <v>3</v>
      </c>
      <c r="N248">
        <v>0</v>
      </c>
      <c r="P248" t="s">
        <v>3</v>
      </c>
    </row>
    <row r="249" spans="1:16" x14ac:dyDescent="0.2">
      <c r="A249">
        <v>70</v>
      </c>
      <c r="B249">
        <v>1</v>
      </c>
      <c r="D249">
        <v>7</v>
      </c>
      <c r="E249" t="s">
        <v>341</v>
      </c>
      <c r="F249" t="s">
        <v>342</v>
      </c>
      <c r="G249">
        <v>0</v>
      </c>
      <c r="H249">
        <v>0</v>
      </c>
      <c r="I249" t="s">
        <v>343</v>
      </c>
      <c r="J249">
        <v>0</v>
      </c>
      <c r="K249">
        <v>0</v>
      </c>
      <c r="L249" t="s">
        <v>3</v>
      </c>
      <c r="M249" t="s">
        <v>3</v>
      </c>
      <c r="N249">
        <v>0</v>
      </c>
      <c r="P249" t="s">
        <v>344</v>
      </c>
    </row>
    <row r="250" spans="1:16" x14ac:dyDescent="0.2">
      <c r="A250">
        <v>70</v>
      </c>
      <c r="B250">
        <v>1</v>
      </c>
      <c r="D250">
        <v>8</v>
      </c>
      <c r="E250" t="s">
        <v>345</v>
      </c>
      <c r="F250" t="s">
        <v>346</v>
      </c>
      <c r="G250">
        <v>1</v>
      </c>
      <c r="H250">
        <v>0</v>
      </c>
      <c r="I250" t="s">
        <v>3</v>
      </c>
      <c r="J250">
        <v>5</v>
      </c>
      <c r="K250">
        <v>0</v>
      </c>
      <c r="L250" t="s">
        <v>3</v>
      </c>
      <c r="M250" t="s">
        <v>3</v>
      </c>
      <c r="N250">
        <v>0</v>
      </c>
      <c r="P250" t="s">
        <v>3</v>
      </c>
    </row>
    <row r="251" spans="1:16" x14ac:dyDescent="0.2">
      <c r="A251">
        <v>70</v>
      </c>
      <c r="B251">
        <v>1</v>
      </c>
      <c r="D251">
        <v>9</v>
      </c>
      <c r="E251" t="s">
        <v>347</v>
      </c>
      <c r="F251" t="s">
        <v>348</v>
      </c>
      <c r="G251">
        <v>0</v>
      </c>
      <c r="H251">
        <v>0</v>
      </c>
      <c r="I251" t="s">
        <v>3</v>
      </c>
      <c r="J251">
        <v>5</v>
      </c>
      <c r="K251">
        <v>0</v>
      </c>
      <c r="L251" t="s">
        <v>3</v>
      </c>
      <c r="M251" t="s">
        <v>3</v>
      </c>
      <c r="N251">
        <v>0</v>
      </c>
      <c r="P251" t="s">
        <v>3</v>
      </c>
    </row>
    <row r="252" spans="1:16" x14ac:dyDescent="0.2">
      <c r="A252">
        <v>70</v>
      </c>
      <c r="B252">
        <v>1</v>
      </c>
      <c r="D252">
        <v>10</v>
      </c>
      <c r="E252" t="s">
        <v>349</v>
      </c>
      <c r="F252" t="s">
        <v>350</v>
      </c>
      <c r="G252">
        <v>0</v>
      </c>
      <c r="H252">
        <v>0</v>
      </c>
      <c r="I252" t="s">
        <v>351</v>
      </c>
      <c r="J252">
        <v>5</v>
      </c>
      <c r="K252">
        <v>0</v>
      </c>
      <c r="L252" t="s">
        <v>3</v>
      </c>
      <c r="M252" t="s">
        <v>3</v>
      </c>
      <c r="N252">
        <v>0</v>
      </c>
      <c r="P252" t="s">
        <v>352</v>
      </c>
    </row>
    <row r="253" spans="1:16" x14ac:dyDescent="0.2">
      <c r="A253">
        <v>70</v>
      </c>
      <c r="B253">
        <v>1</v>
      </c>
      <c r="D253">
        <v>11</v>
      </c>
      <c r="E253" t="s">
        <v>353</v>
      </c>
      <c r="F253" t="s">
        <v>354</v>
      </c>
      <c r="G253">
        <v>0</v>
      </c>
      <c r="H253">
        <v>0</v>
      </c>
      <c r="I253" t="s">
        <v>355</v>
      </c>
      <c r="J253">
        <v>0</v>
      </c>
      <c r="K253">
        <v>0</v>
      </c>
      <c r="L253" t="s">
        <v>3</v>
      </c>
      <c r="M253" t="s">
        <v>3</v>
      </c>
      <c r="N253">
        <v>0</v>
      </c>
      <c r="P253" t="s">
        <v>356</v>
      </c>
    </row>
    <row r="254" spans="1:16" x14ac:dyDescent="0.2">
      <c r="A254">
        <v>70</v>
      </c>
      <c r="B254">
        <v>1</v>
      </c>
      <c r="D254">
        <v>12</v>
      </c>
      <c r="E254" t="s">
        <v>357</v>
      </c>
      <c r="F254" t="s">
        <v>358</v>
      </c>
      <c r="G254">
        <v>0</v>
      </c>
      <c r="H254">
        <v>0</v>
      </c>
      <c r="I254" t="s">
        <v>359</v>
      </c>
      <c r="J254">
        <v>0</v>
      </c>
      <c r="K254">
        <v>0</v>
      </c>
      <c r="L254" t="s">
        <v>3</v>
      </c>
      <c r="M254" t="s">
        <v>3</v>
      </c>
      <c r="N254">
        <v>0</v>
      </c>
      <c r="P254" t="s">
        <v>360</v>
      </c>
    </row>
    <row r="255" spans="1:16" x14ac:dyDescent="0.2">
      <c r="A255">
        <v>70</v>
      </c>
      <c r="B255">
        <v>1</v>
      </c>
      <c r="D255">
        <v>13</v>
      </c>
      <c r="E255" t="s">
        <v>361</v>
      </c>
      <c r="F255" t="s">
        <v>362</v>
      </c>
      <c r="G255">
        <v>0</v>
      </c>
      <c r="H255">
        <v>0</v>
      </c>
      <c r="I255" t="s">
        <v>363</v>
      </c>
      <c r="J255">
        <v>0</v>
      </c>
      <c r="K255">
        <v>0</v>
      </c>
      <c r="L255" t="s">
        <v>3</v>
      </c>
      <c r="M255" t="s">
        <v>3</v>
      </c>
      <c r="N255">
        <v>0</v>
      </c>
      <c r="P255" t="s">
        <v>364</v>
      </c>
    </row>
    <row r="256" spans="1:16" x14ac:dyDescent="0.2">
      <c r="A256">
        <v>70</v>
      </c>
      <c r="B256">
        <v>1</v>
      </c>
      <c r="D256">
        <v>14</v>
      </c>
      <c r="E256" t="s">
        <v>365</v>
      </c>
      <c r="F256" t="s">
        <v>366</v>
      </c>
      <c r="G256">
        <v>0</v>
      </c>
      <c r="H256">
        <v>0</v>
      </c>
      <c r="I256" t="s">
        <v>3</v>
      </c>
      <c r="J256">
        <v>0</v>
      </c>
      <c r="K256">
        <v>0</v>
      </c>
      <c r="L256" t="s">
        <v>3</v>
      </c>
      <c r="M256" t="s">
        <v>3</v>
      </c>
      <c r="N256">
        <v>0</v>
      </c>
      <c r="P256" t="s">
        <v>367</v>
      </c>
    </row>
    <row r="257" spans="1:40" x14ac:dyDescent="0.2">
      <c r="A257">
        <v>70</v>
      </c>
      <c r="B257">
        <v>1</v>
      </c>
      <c r="D257">
        <v>15</v>
      </c>
      <c r="E257" t="s">
        <v>368</v>
      </c>
      <c r="F257" t="s">
        <v>369</v>
      </c>
      <c r="G257">
        <v>0</v>
      </c>
      <c r="H257">
        <v>0</v>
      </c>
      <c r="I257" t="s">
        <v>3</v>
      </c>
      <c r="J257">
        <v>3</v>
      </c>
      <c r="K257">
        <v>0</v>
      </c>
      <c r="L257" t="s">
        <v>3</v>
      </c>
      <c r="M257" t="s">
        <v>3</v>
      </c>
      <c r="N257">
        <v>0</v>
      </c>
      <c r="P257" t="s">
        <v>3</v>
      </c>
    </row>
    <row r="258" spans="1:40" x14ac:dyDescent="0.2">
      <c r="A258">
        <v>70</v>
      </c>
      <c r="B258">
        <v>1</v>
      </c>
      <c r="D258">
        <v>16</v>
      </c>
      <c r="E258" t="s">
        <v>370</v>
      </c>
      <c r="F258" t="s">
        <v>371</v>
      </c>
      <c r="G258">
        <v>1</v>
      </c>
      <c r="H258">
        <v>0</v>
      </c>
      <c r="I258" t="s">
        <v>3</v>
      </c>
      <c r="J258">
        <v>3</v>
      </c>
      <c r="K258">
        <v>0</v>
      </c>
      <c r="L258" t="s">
        <v>3</v>
      </c>
      <c r="M258" t="s">
        <v>3</v>
      </c>
      <c r="N258">
        <v>0</v>
      </c>
      <c r="P258" t="s">
        <v>3</v>
      </c>
    </row>
    <row r="259" spans="1:40" x14ac:dyDescent="0.2">
      <c r="A259">
        <v>70</v>
      </c>
      <c r="B259">
        <v>1</v>
      </c>
      <c r="D259">
        <v>1</v>
      </c>
      <c r="E259" t="s">
        <v>372</v>
      </c>
      <c r="F259" t="s">
        <v>373</v>
      </c>
      <c r="G259">
        <v>0.9</v>
      </c>
      <c r="H259">
        <v>1</v>
      </c>
      <c r="I259" t="s">
        <v>374</v>
      </c>
      <c r="J259">
        <v>0</v>
      </c>
      <c r="K259">
        <v>0</v>
      </c>
      <c r="L259" t="s">
        <v>3</v>
      </c>
      <c r="M259" t="s">
        <v>3</v>
      </c>
      <c r="N259">
        <v>0</v>
      </c>
      <c r="P259" t="s">
        <v>375</v>
      </c>
    </row>
    <row r="260" spans="1:40" x14ac:dyDescent="0.2">
      <c r="A260">
        <v>70</v>
      </c>
      <c r="B260">
        <v>1</v>
      </c>
      <c r="D260">
        <v>2</v>
      </c>
      <c r="E260" t="s">
        <v>376</v>
      </c>
      <c r="F260" t="s">
        <v>377</v>
      </c>
      <c r="G260">
        <v>0.85</v>
      </c>
      <c r="H260">
        <v>1</v>
      </c>
      <c r="I260" t="s">
        <v>378</v>
      </c>
      <c r="J260">
        <v>0</v>
      </c>
      <c r="K260">
        <v>0</v>
      </c>
      <c r="L260" t="s">
        <v>3</v>
      </c>
      <c r="M260" t="s">
        <v>3</v>
      </c>
      <c r="N260">
        <v>0</v>
      </c>
      <c r="P260" t="s">
        <v>379</v>
      </c>
    </row>
    <row r="261" spans="1:40" x14ac:dyDescent="0.2">
      <c r="A261">
        <v>70</v>
      </c>
      <c r="B261">
        <v>1</v>
      </c>
      <c r="D261">
        <v>3</v>
      </c>
      <c r="E261" t="s">
        <v>380</v>
      </c>
      <c r="F261" t="s">
        <v>381</v>
      </c>
      <c r="G261">
        <v>1.03</v>
      </c>
      <c r="H261">
        <v>0</v>
      </c>
      <c r="I261" t="s">
        <v>3</v>
      </c>
      <c r="J261">
        <v>0</v>
      </c>
      <c r="K261">
        <v>0</v>
      </c>
      <c r="L261" t="s">
        <v>3</v>
      </c>
      <c r="M261" t="s">
        <v>3</v>
      </c>
      <c r="N261">
        <v>0</v>
      </c>
      <c r="P261" t="s">
        <v>382</v>
      </c>
    </row>
    <row r="262" spans="1:40" x14ac:dyDescent="0.2">
      <c r="A262">
        <v>70</v>
      </c>
      <c r="B262">
        <v>1</v>
      </c>
      <c r="D262">
        <v>4</v>
      </c>
      <c r="E262" t="s">
        <v>383</v>
      </c>
      <c r="F262" t="s">
        <v>384</v>
      </c>
      <c r="G262">
        <v>1.1499999999999999</v>
      </c>
      <c r="H262">
        <v>0</v>
      </c>
      <c r="I262" t="s">
        <v>3</v>
      </c>
      <c r="J262">
        <v>0</v>
      </c>
      <c r="K262">
        <v>0</v>
      </c>
      <c r="L262" t="s">
        <v>3</v>
      </c>
      <c r="M262" t="s">
        <v>3</v>
      </c>
      <c r="N262">
        <v>0</v>
      </c>
      <c r="P262" t="s">
        <v>385</v>
      </c>
    </row>
    <row r="263" spans="1:40" x14ac:dyDescent="0.2">
      <c r="A263">
        <v>70</v>
      </c>
      <c r="B263">
        <v>1</v>
      </c>
      <c r="D263">
        <v>5</v>
      </c>
      <c r="E263" t="s">
        <v>386</v>
      </c>
      <c r="F263" t="s">
        <v>387</v>
      </c>
      <c r="G263">
        <v>7</v>
      </c>
      <c r="H263">
        <v>0</v>
      </c>
      <c r="I263" t="s">
        <v>3</v>
      </c>
      <c r="J263">
        <v>0</v>
      </c>
      <c r="K263">
        <v>0</v>
      </c>
      <c r="L263" t="s">
        <v>3</v>
      </c>
      <c r="M263" t="s">
        <v>3</v>
      </c>
      <c r="N263">
        <v>0</v>
      </c>
      <c r="P263" t="s">
        <v>3</v>
      </c>
    </row>
    <row r="264" spans="1:40" x14ac:dyDescent="0.2">
      <c r="A264">
        <v>70</v>
      </c>
      <c r="B264">
        <v>1</v>
      </c>
      <c r="D264">
        <v>6</v>
      </c>
      <c r="E264" t="s">
        <v>388</v>
      </c>
      <c r="F264" t="s">
        <v>3</v>
      </c>
      <c r="G264">
        <v>2</v>
      </c>
      <c r="H264">
        <v>0</v>
      </c>
      <c r="I264" t="s">
        <v>3</v>
      </c>
      <c r="J264">
        <v>0</v>
      </c>
      <c r="K264">
        <v>0</v>
      </c>
      <c r="L264" t="s">
        <v>3</v>
      </c>
      <c r="M264" t="s">
        <v>3</v>
      </c>
      <c r="N264">
        <v>0</v>
      </c>
      <c r="P264" t="s">
        <v>3</v>
      </c>
    </row>
    <row r="266" spans="1:40" x14ac:dyDescent="0.2">
      <c r="A266">
        <v>-1</v>
      </c>
    </row>
    <row r="268" spans="1:40" x14ac:dyDescent="0.2">
      <c r="A268" s="3">
        <v>75</v>
      </c>
      <c r="B268" s="3" t="s">
        <v>389</v>
      </c>
      <c r="C268" s="3">
        <v>2024</v>
      </c>
      <c r="D268" s="3">
        <v>2</v>
      </c>
      <c r="E268" s="3">
        <v>0</v>
      </c>
      <c r="F268" s="3">
        <v>0</v>
      </c>
      <c r="G268" s="3">
        <v>0</v>
      </c>
      <c r="H268" s="3">
        <v>1</v>
      </c>
      <c r="I268" s="3">
        <v>0</v>
      </c>
      <c r="J268" s="3">
        <v>3</v>
      </c>
      <c r="K268" s="3">
        <v>0</v>
      </c>
      <c r="L268" s="3">
        <v>0</v>
      </c>
      <c r="M268" s="3">
        <v>0</v>
      </c>
      <c r="N268" s="3">
        <v>145185703</v>
      </c>
      <c r="O268" s="3">
        <v>1</v>
      </c>
    </row>
    <row r="269" spans="1:40" x14ac:dyDescent="0.2">
      <c r="A269" s="6">
        <v>3</v>
      </c>
      <c r="B269" s="6" t="s">
        <v>390</v>
      </c>
      <c r="C269" s="6">
        <v>14.68</v>
      </c>
      <c r="D269" s="6">
        <v>8.3800000000000008</v>
      </c>
      <c r="E269" s="6">
        <v>13.41</v>
      </c>
      <c r="F269" s="6">
        <v>45.71</v>
      </c>
      <c r="G269" s="6">
        <v>45.71</v>
      </c>
      <c r="H269" s="6">
        <v>1</v>
      </c>
      <c r="I269" s="6">
        <v>1</v>
      </c>
      <c r="J269" s="6">
        <v>2</v>
      </c>
      <c r="K269" s="6">
        <v>45.71</v>
      </c>
      <c r="L269" s="6">
        <v>14.68</v>
      </c>
      <c r="M269" s="6">
        <v>14.68</v>
      </c>
      <c r="N269" s="6">
        <v>8.3800000000000008</v>
      </c>
      <c r="O269" s="6">
        <v>1</v>
      </c>
      <c r="P269" s="6">
        <v>1</v>
      </c>
      <c r="Q269" s="6">
        <v>45.71</v>
      </c>
      <c r="R269" s="6">
        <v>14.68</v>
      </c>
      <c r="S269" s="6" t="s">
        <v>3</v>
      </c>
      <c r="T269" s="6" t="s">
        <v>3</v>
      </c>
      <c r="U269" s="6" t="s">
        <v>3</v>
      </c>
      <c r="V269" s="6" t="s">
        <v>3</v>
      </c>
      <c r="W269" s="6" t="s">
        <v>3</v>
      </c>
      <c r="X269" s="6" t="s">
        <v>3</v>
      </c>
      <c r="Y269" s="6" t="s">
        <v>3</v>
      </c>
      <c r="Z269" s="6" t="s">
        <v>3</v>
      </c>
      <c r="AA269" s="6" t="s">
        <v>3</v>
      </c>
      <c r="AB269" s="6" t="s">
        <v>3</v>
      </c>
      <c r="AC269" s="6" t="s">
        <v>3</v>
      </c>
      <c r="AD269" s="6" t="s">
        <v>3</v>
      </c>
      <c r="AE269" s="6" t="s">
        <v>3</v>
      </c>
      <c r="AF269" s="6" t="s">
        <v>3</v>
      </c>
      <c r="AG269" s="6" t="s">
        <v>3</v>
      </c>
      <c r="AH269" s="6" t="s">
        <v>3</v>
      </c>
      <c r="AI269" s="6"/>
      <c r="AJ269" s="6"/>
      <c r="AK269" s="6"/>
      <c r="AL269" s="6"/>
      <c r="AM269" s="6"/>
      <c r="AN269" s="6">
        <v>145185704</v>
      </c>
    </row>
    <row r="273" spans="1:5" x14ac:dyDescent="0.2">
      <c r="A273">
        <v>65</v>
      </c>
      <c r="C273">
        <v>1</v>
      </c>
      <c r="D273">
        <v>0</v>
      </c>
      <c r="E27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391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139239296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547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145185703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15</v>
      </c>
      <c r="D16" s="7" t="s">
        <v>15</v>
      </c>
      <c r="E16" s="8">
        <f>ROUND((Source!F193)/1000,2)</f>
        <v>2097.5700000000002</v>
      </c>
      <c r="F16" s="8">
        <f>ROUND((Source!F194)/1000,2)</f>
        <v>0</v>
      </c>
      <c r="G16" s="8">
        <f>ROUND((Source!F185)/1000,2)</f>
        <v>0</v>
      </c>
      <c r="H16" s="8">
        <f>ROUND((Source!F195)/1000+(Source!F196)/1000,2)</f>
        <v>0</v>
      </c>
      <c r="I16" s="8">
        <f>E16+F16+G16+H16</f>
        <v>2097.5700000000002</v>
      </c>
      <c r="J16" s="8">
        <f>ROUND((Source!F191+Source!F190)/1000,2)</f>
        <v>467.83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1412196.96</v>
      </c>
      <c r="AU16" s="8">
        <v>887042.83</v>
      </c>
      <c r="AV16" s="8">
        <v>0</v>
      </c>
      <c r="AW16" s="8">
        <v>0</v>
      </c>
      <c r="AX16" s="8">
        <v>0</v>
      </c>
      <c r="AY16" s="8">
        <v>79893.06</v>
      </c>
      <c r="AZ16" s="8">
        <v>22569.95</v>
      </c>
      <c r="BA16" s="8">
        <v>445261.07</v>
      </c>
      <c r="BB16" s="8">
        <v>2097567.7599999998</v>
      </c>
      <c r="BC16" s="8">
        <v>0</v>
      </c>
      <c r="BD16" s="8">
        <v>0</v>
      </c>
      <c r="BE16" s="8">
        <v>0</v>
      </c>
      <c r="BF16" s="8">
        <v>1166.7890287499999</v>
      </c>
      <c r="BG16" s="8">
        <v>35.975100000000005</v>
      </c>
      <c r="BH16" s="8">
        <v>0</v>
      </c>
      <c r="BI16" s="8">
        <v>451508.47</v>
      </c>
      <c r="BJ16" s="8">
        <v>231156.59</v>
      </c>
      <c r="BK16" s="8">
        <v>2097567.7599999998</v>
      </c>
    </row>
    <row r="18" spans="1:19" x14ac:dyDescent="0.2">
      <c r="A18">
        <v>51</v>
      </c>
      <c r="E18" s="5">
        <f>SUMIF(A16:A17,3,E16:E17)</f>
        <v>2097.5700000000002</v>
      </c>
      <c r="F18" s="5">
        <f>SUMIF(A16:A17,3,F16:F17)</f>
        <v>0</v>
      </c>
      <c r="G18" s="5">
        <f>SUMIF(A16:A17,3,G16:G17)</f>
        <v>0</v>
      </c>
      <c r="H18" s="5">
        <f>SUMIF(A16:A17,3,H16:H17)</f>
        <v>0</v>
      </c>
      <c r="I18" s="5">
        <f>SUMIF(A16:A17,3,I16:I17)</f>
        <v>2097.5700000000002</v>
      </c>
      <c r="J18" s="5">
        <f>SUMIF(A16:A17,3,J16:J17)</f>
        <v>467.83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f>IF(SourceObSm!F20&lt;&gt;0,1,0)</f>
        <v>1</v>
      </c>
      <c r="C20" s="4">
        <v>0</v>
      </c>
      <c r="D20" s="4">
        <v>1</v>
      </c>
      <c r="E20" s="4">
        <v>201</v>
      </c>
      <c r="F20" s="4">
        <v>1412196.96</v>
      </c>
      <c r="G20" s="4" t="s">
        <v>184</v>
      </c>
      <c r="H20" s="4" t="s">
        <v>185</v>
      </c>
      <c r="I20" s="4"/>
      <c r="J20" s="4"/>
      <c r="K20" s="4">
        <v>201</v>
      </c>
      <c r="L20" s="4">
        <v>1</v>
      </c>
      <c r="M20" s="4">
        <v>1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f>IF(SourceObSm!F21&lt;&gt;0,1,0)</f>
        <v>1</v>
      </c>
      <c r="C21" s="4">
        <v>0</v>
      </c>
      <c r="D21" s="4">
        <v>1</v>
      </c>
      <c r="E21" s="4">
        <v>202</v>
      </c>
      <c r="F21" s="4">
        <v>887042.83</v>
      </c>
      <c r="G21" s="4" t="s">
        <v>186</v>
      </c>
      <c r="H21" s="4" t="s">
        <v>187</v>
      </c>
      <c r="I21" s="4"/>
      <c r="J21" s="4"/>
      <c r="K21" s="4">
        <v>202</v>
      </c>
      <c r="L21" s="4">
        <v>2</v>
      </c>
      <c r="M21" s="4">
        <v>1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f>IF(SourceObSm!F22&lt;&gt;0,1,0)</f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188</v>
      </c>
      <c r="H22" s="4" t="s">
        <v>189</v>
      </c>
      <c r="I22" s="4"/>
      <c r="J22" s="4"/>
      <c r="K22" s="4">
        <v>222</v>
      </c>
      <c r="L22" s="4">
        <v>3</v>
      </c>
      <c r="M22" s="4">
        <v>1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f>IF(SourceObSm!F23&lt;&gt;0,1,0)</f>
        <v>1</v>
      </c>
      <c r="C23" s="4">
        <v>0</v>
      </c>
      <c r="D23" s="4">
        <v>1</v>
      </c>
      <c r="E23" s="4">
        <v>225</v>
      </c>
      <c r="F23" s="4">
        <v>887042.83</v>
      </c>
      <c r="G23" s="4" t="s">
        <v>190</v>
      </c>
      <c r="H23" s="4" t="s">
        <v>191</v>
      </c>
      <c r="I23" s="4"/>
      <c r="J23" s="4"/>
      <c r="K23" s="4">
        <v>225</v>
      </c>
      <c r="L23" s="4">
        <v>4</v>
      </c>
      <c r="M23" s="4">
        <v>1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f>IF(SourceObSm!F24&lt;&gt;0,1,0)</f>
        <v>1</v>
      </c>
      <c r="C24" s="4">
        <v>0</v>
      </c>
      <c r="D24" s="4">
        <v>1</v>
      </c>
      <c r="E24" s="4">
        <v>226</v>
      </c>
      <c r="F24" s="4">
        <v>887042.83</v>
      </c>
      <c r="G24" s="4" t="s">
        <v>192</v>
      </c>
      <c r="H24" s="4" t="s">
        <v>193</v>
      </c>
      <c r="I24" s="4"/>
      <c r="J24" s="4"/>
      <c r="K24" s="4">
        <v>226</v>
      </c>
      <c r="L24" s="4">
        <v>5</v>
      </c>
      <c r="M24" s="4">
        <v>1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f>IF(SourceObSm!F25&lt;&gt;0,1,0)</f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194</v>
      </c>
      <c r="H25" s="4" t="s">
        <v>195</v>
      </c>
      <c r="I25" s="4"/>
      <c r="J25" s="4"/>
      <c r="K25" s="4">
        <v>227</v>
      </c>
      <c r="L25" s="4">
        <v>6</v>
      </c>
      <c r="M25" s="4">
        <v>1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f>IF(SourceObSm!F26&lt;&gt;0,1,0)</f>
        <v>1</v>
      </c>
      <c r="C26" s="4">
        <v>0</v>
      </c>
      <c r="D26" s="4">
        <v>1</v>
      </c>
      <c r="E26" s="4">
        <v>228</v>
      </c>
      <c r="F26" s="4">
        <v>887042.83</v>
      </c>
      <c r="G26" s="4" t="s">
        <v>196</v>
      </c>
      <c r="H26" s="4" t="s">
        <v>197</v>
      </c>
      <c r="I26" s="4"/>
      <c r="J26" s="4"/>
      <c r="K26" s="4">
        <v>228</v>
      </c>
      <c r="L26" s="4">
        <v>7</v>
      </c>
      <c r="M26" s="4">
        <v>1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f>IF(SourceObSm!F27&lt;&gt;0,1,0)</f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198</v>
      </c>
      <c r="H27" s="4" t="s">
        <v>199</v>
      </c>
      <c r="I27" s="4"/>
      <c r="J27" s="4"/>
      <c r="K27" s="4">
        <v>216</v>
      </c>
      <c r="L27" s="4">
        <v>8</v>
      </c>
      <c r="M27" s="4">
        <v>1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f>IF(SourceObSm!F28&lt;&gt;0,1,0)</f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200</v>
      </c>
      <c r="H28" s="4" t="s">
        <v>201</v>
      </c>
      <c r="I28" s="4"/>
      <c r="J28" s="4"/>
      <c r="K28" s="4">
        <v>223</v>
      </c>
      <c r="L28" s="4">
        <v>9</v>
      </c>
      <c r="M28" s="4">
        <v>1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f>IF(SourceObSm!F29&lt;&gt;0,1,0)</f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202</v>
      </c>
      <c r="H29" s="4" t="s">
        <v>203</v>
      </c>
      <c r="I29" s="4"/>
      <c r="J29" s="4"/>
      <c r="K29" s="4">
        <v>229</v>
      </c>
      <c r="L29" s="4">
        <v>10</v>
      </c>
      <c r="M29" s="4">
        <v>1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f>IF(SourceObSm!F30&lt;&gt;0,1,0)</f>
        <v>1</v>
      </c>
      <c r="C30" s="4">
        <v>0</v>
      </c>
      <c r="D30" s="4">
        <v>1</v>
      </c>
      <c r="E30" s="4">
        <v>203</v>
      </c>
      <c r="F30" s="4">
        <v>79893.06</v>
      </c>
      <c r="G30" s="4" t="s">
        <v>204</v>
      </c>
      <c r="H30" s="4" t="s">
        <v>205</v>
      </c>
      <c r="I30" s="4"/>
      <c r="J30" s="4"/>
      <c r="K30" s="4">
        <v>203</v>
      </c>
      <c r="L30" s="4">
        <v>11</v>
      </c>
      <c r="M30" s="4">
        <v>1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206</v>
      </c>
      <c r="H31" s="4" t="s">
        <v>207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f>IF(SourceObSm!F32&lt;&gt;0,1,0)</f>
        <v>1</v>
      </c>
      <c r="C32" s="4">
        <v>0</v>
      </c>
      <c r="D32" s="4">
        <v>1</v>
      </c>
      <c r="E32" s="4">
        <v>204</v>
      </c>
      <c r="F32" s="4">
        <v>22569.95</v>
      </c>
      <c r="G32" s="4" t="s">
        <v>208</v>
      </c>
      <c r="H32" s="4" t="s">
        <v>209</v>
      </c>
      <c r="I32" s="4"/>
      <c r="J32" s="4"/>
      <c r="K32" s="4">
        <v>204</v>
      </c>
      <c r="L32" s="4">
        <v>13</v>
      </c>
      <c r="M32" s="4">
        <v>1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f>IF(SourceObSm!F33&lt;&gt;0,1,0)</f>
        <v>1</v>
      </c>
      <c r="C33" s="4">
        <v>0</v>
      </c>
      <c r="D33" s="4">
        <v>1</v>
      </c>
      <c r="E33" s="4">
        <v>205</v>
      </c>
      <c r="F33" s="4">
        <v>445261.07</v>
      </c>
      <c r="G33" s="4" t="s">
        <v>210</v>
      </c>
      <c r="H33" s="4" t="s">
        <v>211</v>
      </c>
      <c r="I33" s="4"/>
      <c r="J33" s="4"/>
      <c r="K33" s="4">
        <v>205</v>
      </c>
      <c r="L33" s="4">
        <v>14</v>
      </c>
      <c r="M33" s="4">
        <v>1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212</v>
      </c>
      <c r="H34" s="4" t="s">
        <v>213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f>IF(SourceObSm!F35&lt;&gt;0,1,0)</f>
        <v>1</v>
      </c>
      <c r="C35" s="4">
        <v>0</v>
      </c>
      <c r="D35" s="4">
        <v>1</v>
      </c>
      <c r="E35" s="4">
        <v>214</v>
      </c>
      <c r="F35" s="4">
        <v>2097567.7599999998</v>
      </c>
      <c r="G35" s="4" t="s">
        <v>214</v>
      </c>
      <c r="H35" s="4" t="s">
        <v>215</v>
      </c>
      <c r="I35" s="4"/>
      <c r="J35" s="4"/>
      <c r="K35" s="4">
        <v>214</v>
      </c>
      <c r="L35" s="4">
        <v>16</v>
      </c>
      <c r="M35" s="4">
        <v>1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f>IF(SourceObSm!F36&lt;&gt;0,1,0)</f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216</v>
      </c>
      <c r="H36" s="4" t="s">
        <v>217</v>
      </c>
      <c r="I36" s="4"/>
      <c r="J36" s="4"/>
      <c r="K36" s="4">
        <v>215</v>
      </c>
      <c r="L36" s="4">
        <v>17</v>
      </c>
      <c r="M36" s="4">
        <v>1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f>IF(SourceObSm!F37&lt;&gt;0,1,0)</f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218</v>
      </c>
      <c r="H37" s="4" t="s">
        <v>219</v>
      </c>
      <c r="I37" s="4"/>
      <c r="J37" s="4"/>
      <c r="K37" s="4">
        <v>217</v>
      </c>
      <c r="L37" s="4">
        <v>18</v>
      </c>
      <c r="M37" s="4">
        <v>1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220</v>
      </c>
      <c r="H38" s="4" t="s">
        <v>221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f>IF(SourceObSm!F39&lt;&gt;0,1,0)</f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222</v>
      </c>
      <c r="H39" s="4" t="s">
        <v>223</v>
      </c>
      <c r="I39" s="4"/>
      <c r="J39" s="4"/>
      <c r="K39" s="4">
        <v>206</v>
      </c>
      <c r="L39" s="4">
        <v>20</v>
      </c>
      <c r="M39" s="4">
        <v>1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f>IF(SourceObSm!F40&lt;&gt;0,1,0)</f>
        <v>1</v>
      </c>
      <c r="C40" s="4">
        <v>0</v>
      </c>
      <c r="D40" s="4">
        <v>1</v>
      </c>
      <c r="E40" s="4">
        <v>207</v>
      </c>
      <c r="F40" s="4">
        <v>1166.7890287499999</v>
      </c>
      <c r="G40" s="4" t="s">
        <v>224</v>
      </c>
      <c r="H40" s="4" t="s">
        <v>225</v>
      </c>
      <c r="I40" s="4"/>
      <c r="J40" s="4"/>
      <c r="K40" s="4">
        <v>207</v>
      </c>
      <c r="L40" s="4">
        <v>21</v>
      </c>
      <c r="M40" s="4">
        <v>1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f>IF(SourceObSm!F41&lt;&gt;0,1,0)</f>
        <v>1</v>
      </c>
      <c r="C41" s="4">
        <v>0</v>
      </c>
      <c r="D41" s="4">
        <v>1</v>
      </c>
      <c r="E41" s="4">
        <v>208</v>
      </c>
      <c r="F41" s="4">
        <v>35.975100000000005</v>
      </c>
      <c r="G41" s="4" t="s">
        <v>226</v>
      </c>
      <c r="H41" s="4" t="s">
        <v>227</v>
      </c>
      <c r="I41" s="4"/>
      <c r="J41" s="4"/>
      <c r="K41" s="4">
        <v>208</v>
      </c>
      <c r="L41" s="4">
        <v>22</v>
      </c>
      <c r="M41" s="4">
        <v>1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f>IF(SourceObSm!F42&lt;&gt;0,1,0)</f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228</v>
      </c>
      <c r="H42" s="4" t="s">
        <v>229</v>
      </c>
      <c r="I42" s="4"/>
      <c r="J42" s="4"/>
      <c r="K42" s="4">
        <v>209</v>
      </c>
      <c r="L42" s="4">
        <v>23</v>
      </c>
      <c r="M42" s="4">
        <v>1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f>IF(SourceObSm!F43&lt;&gt;0,1,0)</f>
        <v>1</v>
      </c>
      <c r="C43" s="4">
        <v>0</v>
      </c>
      <c r="D43" s="4">
        <v>1</v>
      </c>
      <c r="E43" s="4">
        <v>233</v>
      </c>
      <c r="F43" s="4">
        <v>2705.74</v>
      </c>
      <c r="G43" s="4" t="s">
        <v>230</v>
      </c>
      <c r="H43" s="4" t="s">
        <v>231</v>
      </c>
      <c r="I43" s="4"/>
      <c r="J43" s="4"/>
      <c r="K43" s="4">
        <v>233</v>
      </c>
      <c r="L43" s="4">
        <v>24</v>
      </c>
      <c r="M43" s="4">
        <v>1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f>IF(SourceObSm!F44&lt;&gt;0,1,0)</f>
        <v>1</v>
      </c>
      <c r="C44" s="4">
        <v>0</v>
      </c>
      <c r="D44" s="4">
        <v>1</v>
      </c>
      <c r="E44" s="4">
        <v>210</v>
      </c>
      <c r="F44" s="4">
        <v>451508.47</v>
      </c>
      <c r="G44" s="4" t="s">
        <v>232</v>
      </c>
      <c r="H44" s="4" t="s">
        <v>233</v>
      </c>
      <c r="I44" s="4"/>
      <c r="J44" s="4"/>
      <c r="K44" s="4">
        <v>210</v>
      </c>
      <c r="L44" s="4">
        <v>25</v>
      </c>
      <c r="M44" s="4">
        <v>1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f>IF(SourceObSm!F45&lt;&gt;0,1,0)</f>
        <v>1</v>
      </c>
      <c r="C45" s="4">
        <v>0</v>
      </c>
      <c r="D45" s="4">
        <v>1</v>
      </c>
      <c r="E45" s="4">
        <v>211</v>
      </c>
      <c r="F45" s="4">
        <v>231156.59</v>
      </c>
      <c r="G45" s="4" t="s">
        <v>234</v>
      </c>
      <c r="H45" s="4" t="s">
        <v>235</v>
      </c>
      <c r="I45" s="4"/>
      <c r="J45" s="4"/>
      <c r="K45" s="4">
        <v>211</v>
      </c>
      <c r="L45" s="4">
        <v>26</v>
      </c>
      <c r="M45" s="4">
        <v>1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f>IF(SourceObSm!F46&lt;&gt;0,1,0)</f>
        <v>1</v>
      </c>
      <c r="C46" s="4">
        <v>0</v>
      </c>
      <c r="D46" s="4">
        <v>1</v>
      </c>
      <c r="E46" s="4">
        <v>224</v>
      </c>
      <c r="F46" s="4">
        <v>2097567.7599999998</v>
      </c>
      <c r="G46" s="4" t="s">
        <v>236</v>
      </c>
      <c r="H46" s="4" t="s">
        <v>237</v>
      </c>
      <c r="I46" s="4"/>
      <c r="J46" s="4"/>
      <c r="K46" s="4">
        <v>224</v>
      </c>
      <c r="L46" s="4">
        <v>27</v>
      </c>
      <c r="M46" s="4">
        <v>1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419513.55</v>
      </c>
      <c r="G47" s="4" t="s">
        <v>318</v>
      </c>
      <c r="H47" s="4" t="s">
        <v>319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2517081.31</v>
      </c>
      <c r="G48" s="4" t="s">
        <v>320</v>
      </c>
      <c r="H48" s="4" t="s">
        <v>321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40" x14ac:dyDescent="0.2">
      <c r="A50">
        <v>-1</v>
      </c>
    </row>
    <row r="53" spans="1:40" x14ac:dyDescent="0.2">
      <c r="A53" s="3">
        <v>75</v>
      </c>
      <c r="B53" s="3" t="s">
        <v>389</v>
      </c>
      <c r="C53" s="3">
        <v>2024</v>
      </c>
      <c r="D53" s="3">
        <v>2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3</v>
      </c>
      <c r="K53" s="3">
        <v>0</v>
      </c>
      <c r="L53" s="3">
        <v>0</v>
      </c>
      <c r="M53" s="3">
        <v>0</v>
      </c>
      <c r="N53" s="3">
        <v>145185703</v>
      </c>
      <c r="O53" s="3">
        <v>1</v>
      </c>
    </row>
    <row r="54" spans="1:40" x14ac:dyDescent="0.2">
      <c r="A54" s="6">
        <v>3</v>
      </c>
      <c r="B54" s="6" t="s">
        <v>390</v>
      </c>
      <c r="C54" s="6">
        <v>14.68</v>
      </c>
      <c r="D54" s="6">
        <v>8.3800000000000008</v>
      </c>
      <c r="E54" s="6">
        <v>13.41</v>
      </c>
      <c r="F54" s="6">
        <v>45.71</v>
      </c>
      <c r="G54" s="6">
        <v>45.71</v>
      </c>
      <c r="H54" s="6">
        <v>1</v>
      </c>
      <c r="I54" s="6">
        <v>1</v>
      </c>
      <c r="J54" s="6">
        <v>2</v>
      </c>
      <c r="K54" s="6">
        <v>45.71</v>
      </c>
      <c r="L54" s="6">
        <v>14.68</v>
      </c>
      <c r="M54" s="6">
        <v>14.68</v>
      </c>
      <c r="N54" s="6">
        <v>8.3800000000000008</v>
      </c>
      <c r="O54" s="6">
        <v>1</v>
      </c>
      <c r="P54" s="6">
        <v>1</v>
      </c>
      <c r="Q54" s="6">
        <v>45.71</v>
      </c>
      <c r="R54" s="6">
        <v>14.68</v>
      </c>
      <c r="S54" s="6" t="s">
        <v>3</v>
      </c>
      <c r="T54" s="6" t="s">
        <v>3</v>
      </c>
      <c r="U54" s="6" t="s">
        <v>3</v>
      </c>
      <c r="V54" s="6" t="s">
        <v>3</v>
      </c>
      <c r="W54" s="6" t="s">
        <v>3</v>
      </c>
      <c r="X54" s="6" t="s">
        <v>3</v>
      </c>
      <c r="Y54" s="6" t="s">
        <v>3</v>
      </c>
      <c r="Z54" s="6" t="s">
        <v>3</v>
      </c>
      <c r="AA54" s="6" t="s">
        <v>3</v>
      </c>
      <c r="AB54" s="6" t="s">
        <v>3</v>
      </c>
      <c r="AC54" s="6" t="s">
        <v>3</v>
      </c>
      <c r="AD54" s="6" t="s">
        <v>3</v>
      </c>
      <c r="AE54" s="6" t="s">
        <v>3</v>
      </c>
      <c r="AF54" s="6" t="s">
        <v>3</v>
      </c>
      <c r="AG54" s="6" t="s">
        <v>3</v>
      </c>
      <c r="AH54" s="6" t="s">
        <v>3</v>
      </c>
      <c r="AI54" s="6"/>
      <c r="AJ54" s="6"/>
      <c r="AK54" s="6"/>
      <c r="AL54" s="6"/>
      <c r="AM54" s="6"/>
      <c r="AN54" s="6">
        <v>145185704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1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ROW(Source!A29)</f>
        <v>29</v>
      </c>
      <c r="B1">
        <v>145185703</v>
      </c>
      <c r="C1">
        <v>145186574</v>
      </c>
      <c r="D1">
        <v>140759935</v>
      </c>
      <c r="E1">
        <v>70</v>
      </c>
      <c r="F1">
        <v>1</v>
      </c>
      <c r="G1">
        <v>1</v>
      </c>
      <c r="H1">
        <v>1</v>
      </c>
      <c r="I1" t="s">
        <v>392</v>
      </c>
      <c r="J1" t="s">
        <v>3</v>
      </c>
      <c r="K1" t="s">
        <v>393</v>
      </c>
      <c r="L1">
        <v>1191</v>
      </c>
      <c r="N1">
        <v>1013</v>
      </c>
      <c r="O1" t="s">
        <v>394</v>
      </c>
      <c r="P1" t="s">
        <v>394</v>
      </c>
      <c r="Q1">
        <v>1</v>
      </c>
      <c r="W1">
        <v>0</v>
      </c>
      <c r="X1">
        <v>2031828327</v>
      </c>
      <c r="Y1">
        <f>AT1</f>
        <v>15.9</v>
      </c>
      <c r="AA1">
        <v>0</v>
      </c>
      <c r="AB1">
        <v>0</v>
      </c>
      <c r="AC1">
        <v>0</v>
      </c>
      <c r="AD1">
        <v>356.54</v>
      </c>
      <c r="AE1">
        <v>0</v>
      </c>
      <c r="AF1">
        <v>0</v>
      </c>
      <c r="AG1">
        <v>0</v>
      </c>
      <c r="AH1">
        <v>7.8</v>
      </c>
      <c r="AI1">
        <v>1</v>
      </c>
      <c r="AJ1">
        <v>1</v>
      </c>
      <c r="AK1">
        <v>1</v>
      </c>
      <c r="AL1">
        <v>45.71</v>
      </c>
      <c r="AM1">
        <v>4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15.9</v>
      </c>
      <c r="AU1" t="s">
        <v>3</v>
      </c>
      <c r="AV1">
        <v>1</v>
      </c>
      <c r="AW1">
        <v>2</v>
      </c>
      <c r="AX1">
        <v>145186575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ROUND(Y1*Source!I29,9)</f>
        <v>57.24</v>
      </c>
      <c r="CY1">
        <f>AD1</f>
        <v>356.54</v>
      </c>
      <c r="CZ1">
        <f>AH1</f>
        <v>7.8</v>
      </c>
      <c r="DA1">
        <f>AL1</f>
        <v>45.71</v>
      </c>
      <c r="DB1">
        <f>ROUND(ROUND(AT1*CZ1,2),2)</f>
        <v>124.02</v>
      </c>
      <c r="DC1">
        <f>ROUND(ROUND(AT1*AG1,2),2)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>ROUND(ROUND(AH1*AL1,2)*CX1,2)</f>
        <v>20408.349999999999</v>
      </c>
      <c r="DJ1">
        <f>DI1</f>
        <v>20408.349999999999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ROW(Source!A29)</f>
        <v>29</v>
      </c>
      <c r="B2">
        <v>145185703</v>
      </c>
      <c r="C2">
        <v>145186574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395</v>
      </c>
      <c r="J2" t="s">
        <v>396</v>
      </c>
      <c r="K2" t="s">
        <v>397</v>
      </c>
      <c r="L2">
        <v>1367</v>
      </c>
      <c r="N2">
        <v>1011</v>
      </c>
      <c r="O2" t="s">
        <v>398</v>
      </c>
      <c r="P2" t="s">
        <v>398</v>
      </c>
      <c r="Q2">
        <v>1</v>
      </c>
      <c r="W2">
        <v>0</v>
      </c>
      <c r="X2">
        <v>-1424865896</v>
      </c>
      <c r="Y2">
        <f>AT2</f>
        <v>4.5999999999999996</v>
      </c>
      <c r="AA2">
        <v>0</v>
      </c>
      <c r="AB2">
        <v>89.31</v>
      </c>
      <c r="AC2">
        <v>0</v>
      </c>
      <c r="AD2">
        <v>0</v>
      </c>
      <c r="AE2">
        <v>0</v>
      </c>
      <c r="AF2">
        <v>6.66</v>
      </c>
      <c r="AG2">
        <v>0</v>
      </c>
      <c r="AH2">
        <v>0</v>
      </c>
      <c r="AI2">
        <v>1</v>
      </c>
      <c r="AJ2">
        <v>13.41</v>
      </c>
      <c r="AK2">
        <v>45.71</v>
      </c>
      <c r="AL2">
        <v>1</v>
      </c>
      <c r="AM2">
        <v>4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4.5999999999999996</v>
      </c>
      <c r="AU2" t="s">
        <v>3</v>
      </c>
      <c r="AV2">
        <v>0</v>
      </c>
      <c r="AW2">
        <v>2</v>
      </c>
      <c r="AX2">
        <v>145186576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ROUND(Y2*Source!I29,9)</f>
        <v>16.559999999999999</v>
      </c>
      <c r="CY2">
        <f>AB2</f>
        <v>89.31</v>
      </c>
      <c r="CZ2">
        <f>AF2</f>
        <v>6.66</v>
      </c>
      <c r="DA2">
        <f>AJ2</f>
        <v>13.41</v>
      </c>
      <c r="DB2">
        <f>ROUND(ROUND(AT2*CZ2,2),2)</f>
        <v>30.64</v>
      </c>
      <c r="DC2">
        <f>ROUND(ROUND(AT2*AG2,2),2)</f>
        <v>0</v>
      </c>
      <c r="DD2" t="s">
        <v>3</v>
      </c>
      <c r="DE2" t="s">
        <v>3</v>
      </c>
      <c r="DF2">
        <f>ROUND(ROUND(AE2,2)*CX2,2)</f>
        <v>0</v>
      </c>
      <c r="DG2">
        <f>ROUND(ROUND(AF2*AJ2,2)*CX2,2)</f>
        <v>1478.97</v>
      </c>
      <c r="DH2">
        <f>ROUND(ROUND(AG2*AK2,2)*CX2,2)</f>
        <v>0</v>
      </c>
      <c r="DI2">
        <f>ROUND(ROUND(AH2,2)*CX2,2)</f>
        <v>0</v>
      </c>
      <c r="DJ2">
        <f>DG2</f>
        <v>1478.97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ROW(Source!A29)</f>
        <v>29</v>
      </c>
      <c r="B3">
        <v>145185703</v>
      </c>
      <c r="C3">
        <v>145186574</v>
      </c>
      <c r="D3">
        <v>140765020</v>
      </c>
      <c r="E3">
        <v>70</v>
      </c>
      <c r="F3">
        <v>1</v>
      </c>
      <c r="G3">
        <v>1</v>
      </c>
      <c r="H3">
        <v>3</v>
      </c>
      <c r="I3" t="s">
        <v>399</v>
      </c>
      <c r="J3" t="s">
        <v>3</v>
      </c>
      <c r="K3" t="s">
        <v>400</v>
      </c>
      <c r="L3">
        <v>1348</v>
      </c>
      <c r="N3">
        <v>1009</v>
      </c>
      <c r="O3" t="s">
        <v>21</v>
      </c>
      <c r="P3" t="s">
        <v>21</v>
      </c>
      <c r="Q3">
        <v>1000</v>
      </c>
      <c r="W3">
        <v>0</v>
      </c>
      <c r="X3">
        <v>2102561428</v>
      </c>
      <c r="Y3">
        <f>AT3</f>
        <v>2.1800000000000002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8.3800000000000008</v>
      </c>
      <c r="AJ3">
        <v>1</v>
      </c>
      <c r="AK3">
        <v>1</v>
      </c>
      <c r="AL3">
        <v>1</v>
      </c>
      <c r="AM3">
        <v>4</v>
      </c>
      <c r="AN3">
        <v>0</v>
      </c>
      <c r="AO3">
        <v>0</v>
      </c>
      <c r="AP3">
        <v>1</v>
      </c>
      <c r="AQ3">
        <v>0</v>
      </c>
      <c r="AR3">
        <v>0</v>
      </c>
      <c r="AS3" t="s">
        <v>3</v>
      </c>
      <c r="AT3">
        <v>2.1800000000000002</v>
      </c>
      <c r="AU3" t="s">
        <v>3</v>
      </c>
      <c r="AV3">
        <v>0</v>
      </c>
      <c r="AW3">
        <v>2</v>
      </c>
      <c r="AX3">
        <v>145186577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ROUND(Y3*Source!I29,9)</f>
        <v>7.8479999999999999</v>
      </c>
      <c r="CY3">
        <f>AA3</f>
        <v>0</v>
      </c>
      <c r="CZ3">
        <f>AE3</f>
        <v>0</v>
      </c>
      <c r="DA3">
        <f>AI3</f>
        <v>8.3800000000000008</v>
      </c>
      <c r="DB3">
        <f>ROUND(ROUND(AT3*CZ3,2),2)</f>
        <v>0</v>
      </c>
      <c r="DC3">
        <f>ROUND(ROUND(AT3*AG3,2),2)</f>
        <v>0</v>
      </c>
      <c r="DD3" t="s">
        <v>3</v>
      </c>
      <c r="DE3" t="s">
        <v>3</v>
      </c>
      <c r="DF3">
        <f>ROUND(ROUND(AE3*AI3,2)*CX3,2)</f>
        <v>0</v>
      </c>
      <c r="DG3">
        <f>ROUND(ROUND(AF3,2)*CX3,2)</f>
        <v>0</v>
      </c>
      <c r="DH3">
        <f>ROUND(ROUND(AG3,2)*CX3,2)</f>
        <v>0</v>
      </c>
      <c r="DI3">
        <f>ROUND(ROUND(AH3,2)*CX3,2)</f>
        <v>0</v>
      </c>
      <c r="DJ3">
        <f>DF3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145185703</v>
      </c>
      <c r="C4">
        <v>145187278</v>
      </c>
      <c r="D4">
        <v>140759985</v>
      </c>
      <c r="E4">
        <v>70</v>
      </c>
      <c r="F4">
        <v>1</v>
      </c>
      <c r="G4">
        <v>1</v>
      </c>
      <c r="H4">
        <v>1</v>
      </c>
      <c r="I4" t="s">
        <v>401</v>
      </c>
      <c r="J4" t="s">
        <v>3</v>
      </c>
      <c r="K4" t="s">
        <v>402</v>
      </c>
      <c r="L4">
        <v>1191</v>
      </c>
      <c r="N4">
        <v>1013</v>
      </c>
      <c r="O4" t="s">
        <v>394</v>
      </c>
      <c r="P4" t="s">
        <v>394</v>
      </c>
      <c r="Q4">
        <v>1</v>
      </c>
      <c r="W4">
        <v>0</v>
      </c>
      <c r="X4">
        <v>784619160</v>
      </c>
      <c r="Y4">
        <f>(AT4*1.15)</f>
        <v>36.454999999999998</v>
      </c>
      <c r="AA4">
        <v>0</v>
      </c>
      <c r="AB4">
        <v>0</v>
      </c>
      <c r="AC4">
        <v>0</v>
      </c>
      <c r="AD4">
        <v>399.51</v>
      </c>
      <c r="AE4">
        <v>0</v>
      </c>
      <c r="AF4">
        <v>0</v>
      </c>
      <c r="AG4">
        <v>0</v>
      </c>
      <c r="AH4">
        <v>8.74</v>
      </c>
      <c r="AI4">
        <v>1</v>
      </c>
      <c r="AJ4">
        <v>1</v>
      </c>
      <c r="AK4">
        <v>1</v>
      </c>
      <c r="AL4">
        <v>45.71</v>
      </c>
      <c r="AM4">
        <v>4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31.7</v>
      </c>
      <c r="AU4" t="s">
        <v>43</v>
      </c>
      <c r="AV4">
        <v>1</v>
      </c>
      <c r="AW4">
        <v>2</v>
      </c>
      <c r="AX4">
        <v>145187279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ROUND(Y4*Source!I30,9)</f>
        <v>131.238</v>
      </c>
      <c r="CY4">
        <f>AD4</f>
        <v>399.51</v>
      </c>
      <c r="CZ4">
        <f>AH4</f>
        <v>8.74</v>
      </c>
      <c r="DA4">
        <f>AL4</f>
        <v>45.71</v>
      </c>
      <c r="DB4">
        <f>ROUND((ROUND(AT4*CZ4,2)*1.15),2)</f>
        <v>318.62</v>
      </c>
      <c r="DC4">
        <f>ROUND((ROUND(AT4*AG4,2)*1.15),2)</f>
        <v>0</v>
      </c>
      <c r="DD4" t="s">
        <v>3</v>
      </c>
      <c r="DE4" t="s">
        <v>3</v>
      </c>
      <c r="DF4">
        <f t="shared" ref="DF4:DF12" si="0">ROUND(ROUND(AE4,2)*CX4,2)</f>
        <v>0</v>
      </c>
      <c r="DG4">
        <f>ROUND(ROUND(AF4,2)*CX4,2)</f>
        <v>0</v>
      </c>
      <c r="DH4">
        <f>ROUND(ROUND(AG4,2)*CX4,2)</f>
        <v>0</v>
      </c>
      <c r="DI4">
        <f>ROUND(ROUND(AH4*AL4,2)*CX4,2)</f>
        <v>52430.89</v>
      </c>
      <c r="DJ4">
        <f>DI4</f>
        <v>52430.89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ROW(Source!A30)</f>
        <v>30</v>
      </c>
      <c r="B5">
        <v>145185703</v>
      </c>
      <c r="C5">
        <v>145187278</v>
      </c>
      <c r="D5">
        <v>140760225</v>
      </c>
      <c r="E5">
        <v>70</v>
      </c>
      <c r="F5">
        <v>1</v>
      </c>
      <c r="G5">
        <v>1</v>
      </c>
      <c r="H5">
        <v>1</v>
      </c>
      <c r="I5" t="s">
        <v>403</v>
      </c>
      <c r="J5" t="s">
        <v>3</v>
      </c>
      <c r="K5" t="s">
        <v>404</v>
      </c>
      <c r="L5">
        <v>1191</v>
      </c>
      <c r="N5">
        <v>1013</v>
      </c>
      <c r="O5" t="s">
        <v>394</v>
      </c>
      <c r="P5" t="s">
        <v>394</v>
      </c>
      <c r="Q5">
        <v>1</v>
      </c>
      <c r="W5">
        <v>0</v>
      </c>
      <c r="X5">
        <v>-1417349443</v>
      </c>
      <c r="Y5">
        <f t="shared" ref="Y5:Y12" si="1">(AT5*1.25)</f>
        <v>3.6625000000000001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45.71</v>
      </c>
      <c r="AL5">
        <v>1</v>
      </c>
      <c r="AM5">
        <v>4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2.93</v>
      </c>
      <c r="AU5" t="s">
        <v>42</v>
      </c>
      <c r="AV5">
        <v>2</v>
      </c>
      <c r="AW5">
        <v>2</v>
      </c>
      <c r="AX5">
        <v>145187280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ROUND(Y5*Source!I30,9)</f>
        <v>13.185</v>
      </c>
      <c r="CY5">
        <f>AD5</f>
        <v>0</v>
      </c>
      <c r="CZ5">
        <f>AH5</f>
        <v>0</v>
      </c>
      <c r="DA5">
        <f>AL5</f>
        <v>1</v>
      </c>
      <c r="DB5">
        <f t="shared" ref="DB5:DB12" si="2">ROUND((ROUND(AT5*CZ5,2)*1.25),2)</f>
        <v>0</v>
      </c>
      <c r="DC5">
        <f t="shared" ref="DC5:DC12" si="3">ROUND((ROUND(AT5*AG5,2)*1.25),2)</f>
        <v>0</v>
      </c>
      <c r="DD5" t="s">
        <v>3</v>
      </c>
      <c r="DE5" t="s">
        <v>3</v>
      </c>
      <c r="DF5">
        <f t="shared" si="0"/>
        <v>0</v>
      </c>
      <c r="DG5">
        <f>ROUND(ROUND(AF5,2)*CX5,2)</f>
        <v>0</v>
      </c>
      <c r="DH5">
        <f t="shared" ref="DH5:DH12" si="4">ROUND(ROUND(AG5*AK5,2)*CX5,2)</f>
        <v>0</v>
      </c>
      <c r="DI5">
        <f t="shared" ref="DI5:DI26" si="5">ROUND(ROUND(AH5,2)*CX5,2)</f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145185703</v>
      </c>
      <c r="C6">
        <v>145187278</v>
      </c>
      <c r="D6">
        <v>140922906</v>
      </c>
      <c r="E6">
        <v>1</v>
      </c>
      <c r="F6">
        <v>1</v>
      </c>
      <c r="G6">
        <v>1</v>
      </c>
      <c r="H6">
        <v>2</v>
      </c>
      <c r="I6" t="s">
        <v>405</v>
      </c>
      <c r="J6" t="s">
        <v>406</v>
      </c>
      <c r="K6" t="s">
        <v>407</v>
      </c>
      <c r="L6">
        <v>1367</v>
      </c>
      <c r="N6">
        <v>1011</v>
      </c>
      <c r="O6" t="s">
        <v>398</v>
      </c>
      <c r="P6" t="s">
        <v>398</v>
      </c>
      <c r="Q6">
        <v>1</v>
      </c>
      <c r="W6">
        <v>0</v>
      </c>
      <c r="X6">
        <v>-163180553</v>
      </c>
      <c r="Y6">
        <f t="shared" si="1"/>
        <v>0.05</v>
      </c>
      <c r="AA6">
        <v>0</v>
      </c>
      <c r="AB6">
        <v>1612.42</v>
      </c>
      <c r="AC6">
        <v>704.85</v>
      </c>
      <c r="AD6">
        <v>0</v>
      </c>
      <c r="AE6">
        <v>0</v>
      </c>
      <c r="AF6">
        <v>120.24</v>
      </c>
      <c r="AG6">
        <v>15.42</v>
      </c>
      <c r="AH6">
        <v>0</v>
      </c>
      <c r="AI6">
        <v>1</v>
      </c>
      <c r="AJ6">
        <v>13.41</v>
      </c>
      <c r="AK6">
        <v>45.71</v>
      </c>
      <c r="AL6">
        <v>1</v>
      </c>
      <c r="AM6">
        <v>4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0.04</v>
      </c>
      <c r="AU6" t="s">
        <v>42</v>
      </c>
      <c r="AV6">
        <v>0</v>
      </c>
      <c r="AW6">
        <v>2</v>
      </c>
      <c r="AX6">
        <v>145187281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ROUND(Y6*Source!I30,9)</f>
        <v>0.18</v>
      </c>
      <c r="CY6">
        <f t="shared" ref="CY6:CY12" si="6">AB6</f>
        <v>1612.42</v>
      </c>
      <c r="CZ6">
        <f t="shared" ref="CZ6:CZ12" si="7">AF6</f>
        <v>120.24</v>
      </c>
      <c r="DA6">
        <f t="shared" ref="DA6:DA12" si="8">AJ6</f>
        <v>13.41</v>
      </c>
      <c r="DB6">
        <f t="shared" si="2"/>
        <v>6.01</v>
      </c>
      <c r="DC6">
        <f t="shared" si="3"/>
        <v>0.78</v>
      </c>
      <c r="DD6" t="s">
        <v>3</v>
      </c>
      <c r="DE6" t="s">
        <v>3</v>
      </c>
      <c r="DF6">
        <f t="shared" si="0"/>
        <v>0</v>
      </c>
      <c r="DG6">
        <f t="shared" ref="DG6:DG12" si="9">ROUND(ROUND(AF6*AJ6,2)*CX6,2)</f>
        <v>290.24</v>
      </c>
      <c r="DH6">
        <f t="shared" si="4"/>
        <v>126.87</v>
      </c>
      <c r="DI6">
        <f t="shared" si="5"/>
        <v>0</v>
      </c>
      <c r="DJ6">
        <f t="shared" ref="DJ6:DJ12" si="10">DG6</f>
        <v>290.24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ROW(Source!A30)</f>
        <v>30</v>
      </c>
      <c r="B7">
        <v>145185703</v>
      </c>
      <c r="C7">
        <v>145187278</v>
      </c>
      <c r="D7">
        <v>140922951</v>
      </c>
      <c r="E7">
        <v>1</v>
      </c>
      <c r="F7">
        <v>1</v>
      </c>
      <c r="G7">
        <v>1</v>
      </c>
      <c r="H7">
        <v>2</v>
      </c>
      <c r="I7" t="s">
        <v>408</v>
      </c>
      <c r="J7" t="s">
        <v>409</v>
      </c>
      <c r="K7" t="s">
        <v>410</v>
      </c>
      <c r="L7">
        <v>1367</v>
      </c>
      <c r="N7">
        <v>1011</v>
      </c>
      <c r="O7" t="s">
        <v>398</v>
      </c>
      <c r="P7" t="s">
        <v>398</v>
      </c>
      <c r="Q7">
        <v>1</v>
      </c>
      <c r="W7">
        <v>0</v>
      </c>
      <c r="X7">
        <v>-430484415</v>
      </c>
      <c r="Y7">
        <f t="shared" si="1"/>
        <v>0.26250000000000001</v>
      </c>
      <c r="AA7">
        <v>0</v>
      </c>
      <c r="AB7">
        <v>1547.51</v>
      </c>
      <c r="AC7">
        <v>617.09</v>
      </c>
      <c r="AD7">
        <v>0</v>
      </c>
      <c r="AE7">
        <v>0</v>
      </c>
      <c r="AF7">
        <v>115.4</v>
      </c>
      <c r="AG7">
        <v>13.5</v>
      </c>
      <c r="AH7">
        <v>0</v>
      </c>
      <c r="AI7">
        <v>1</v>
      </c>
      <c r="AJ7">
        <v>13.41</v>
      </c>
      <c r="AK7">
        <v>45.71</v>
      </c>
      <c r="AL7">
        <v>1</v>
      </c>
      <c r="AM7">
        <v>4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0.21</v>
      </c>
      <c r="AU7" t="s">
        <v>42</v>
      </c>
      <c r="AV7">
        <v>0</v>
      </c>
      <c r="AW7">
        <v>2</v>
      </c>
      <c r="AX7">
        <v>145187282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ROUND(Y7*Source!I30,9)</f>
        <v>0.94499999999999995</v>
      </c>
      <c r="CY7">
        <f t="shared" si="6"/>
        <v>1547.51</v>
      </c>
      <c r="CZ7">
        <f t="shared" si="7"/>
        <v>115.4</v>
      </c>
      <c r="DA7">
        <f t="shared" si="8"/>
        <v>13.41</v>
      </c>
      <c r="DB7">
        <f t="shared" si="2"/>
        <v>30.29</v>
      </c>
      <c r="DC7">
        <f t="shared" si="3"/>
        <v>3.55</v>
      </c>
      <c r="DD7" t="s">
        <v>3</v>
      </c>
      <c r="DE7" t="s">
        <v>3</v>
      </c>
      <c r="DF7">
        <f t="shared" si="0"/>
        <v>0</v>
      </c>
      <c r="DG7">
        <f t="shared" si="9"/>
        <v>1462.4</v>
      </c>
      <c r="DH7">
        <f t="shared" si="4"/>
        <v>583.15</v>
      </c>
      <c r="DI7">
        <f t="shared" si="5"/>
        <v>0</v>
      </c>
      <c r="DJ7">
        <f t="shared" si="10"/>
        <v>1462.4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ROW(Source!A30)</f>
        <v>30</v>
      </c>
      <c r="B8">
        <v>145185703</v>
      </c>
      <c r="C8">
        <v>145187278</v>
      </c>
      <c r="D8">
        <v>140922958</v>
      </c>
      <c r="E8">
        <v>1</v>
      </c>
      <c r="F8">
        <v>1</v>
      </c>
      <c r="G8">
        <v>1</v>
      </c>
      <c r="H8">
        <v>2</v>
      </c>
      <c r="I8" t="s">
        <v>411</v>
      </c>
      <c r="J8" t="s">
        <v>412</v>
      </c>
      <c r="K8" t="s">
        <v>413</v>
      </c>
      <c r="L8">
        <v>1367</v>
      </c>
      <c r="N8">
        <v>1011</v>
      </c>
      <c r="O8" t="s">
        <v>398</v>
      </c>
      <c r="P8" t="s">
        <v>398</v>
      </c>
      <c r="Q8">
        <v>1</v>
      </c>
      <c r="W8">
        <v>0</v>
      </c>
      <c r="X8">
        <v>-1731906086</v>
      </c>
      <c r="Y8">
        <f t="shared" si="1"/>
        <v>2.9499999999999997</v>
      </c>
      <c r="AA8">
        <v>0</v>
      </c>
      <c r="AB8">
        <v>2354.2600000000002</v>
      </c>
      <c r="AC8">
        <v>658.22</v>
      </c>
      <c r="AD8">
        <v>0</v>
      </c>
      <c r="AE8">
        <v>0</v>
      </c>
      <c r="AF8">
        <v>175.56</v>
      </c>
      <c r="AG8">
        <v>14.4</v>
      </c>
      <c r="AH8">
        <v>0</v>
      </c>
      <c r="AI8">
        <v>1</v>
      </c>
      <c r="AJ8">
        <v>13.41</v>
      </c>
      <c r="AK8">
        <v>45.71</v>
      </c>
      <c r="AL8">
        <v>1</v>
      </c>
      <c r="AM8">
        <v>4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2.36</v>
      </c>
      <c r="AU8" t="s">
        <v>42</v>
      </c>
      <c r="AV8">
        <v>0</v>
      </c>
      <c r="AW8">
        <v>2</v>
      </c>
      <c r="AX8">
        <v>145187283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ROUND(Y8*Source!I30,9)</f>
        <v>10.62</v>
      </c>
      <c r="CY8">
        <f t="shared" si="6"/>
        <v>2354.2600000000002</v>
      </c>
      <c r="CZ8">
        <f t="shared" si="7"/>
        <v>175.56</v>
      </c>
      <c r="DA8">
        <f t="shared" si="8"/>
        <v>13.41</v>
      </c>
      <c r="DB8">
        <f t="shared" si="2"/>
        <v>517.9</v>
      </c>
      <c r="DC8">
        <f t="shared" si="3"/>
        <v>42.48</v>
      </c>
      <c r="DD8" t="s">
        <v>3</v>
      </c>
      <c r="DE8" t="s">
        <v>3</v>
      </c>
      <c r="DF8">
        <f t="shared" si="0"/>
        <v>0</v>
      </c>
      <c r="DG8">
        <f t="shared" si="9"/>
        <v>25002.240000000002</v>
      </c>
      <c r="DH8">
        <f t="shared" si="4"/>
        <v>6990.3</v>
      </c>
      <c r="DI8">
        <f t="shared" si="5"/>
        <v>0</v>
      </c>
      <c r="DJ8">
        <f t="shared" si="10"/>
        <v>25002.240000000002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ROW(Source!A30)</f>
        <v>30</v>
      </c>
      <c r="B9">
        <v>145185703</v>
      </c>
      <c r="C9">
        <v>145187278</v>
      </c>
      <c r="D9">
        <v>140923032</v>
      </c>
      <c r="E9">
        <v>1</v>
      </c>
      <c r="F9">
        <v>1</v>
      </c>
      <c r="G9">
        <v>1</v>
      </c>
      <c r="H9">
        <v>2</v>
      </c>
      <c r="I9" t="s">
        <v>414</v>
      </c>
      <c r="J9" t="s">
        <v>415</v>
      </c>
      <c r="K9" t="s">
        <v>416</v>
      </c>
      <c r="L9">
        <v>1367</v>
      </c>
      <c r="N9">
        <v>1011</v>
      </c>
      <c r="O9" t="s">
        <v>398</v>
      </c>
      <c r="P9" t="s">
        <v>398</v>
      </c>
      <c r="Q9">
        <v>1</v>
      </c>
      <c r="W9">
        <v>0</v>
      </c>
      <c r="X9">
        <v>321316643</v>
      </c>
      <c r="Y9">
        <f t="shared" si="1"/>
        <v>1.1000000000000001</v>
      </c>
      <c r="AA9">
        <v>0</v>
      </c>
      <c r="AB9">
        <v>12.07</v>
      </c>
      <c r="AC9">
        <v>0</v>
      </c>
      <c r="AD9">
        <v>0</v>
      </c>
      <c r="AE9">
        <v>0</v>
      </c>
      <c r="AF9">
        <v>0.9</v>
      </c>
      <c r="AG9">
        <v>0</v>
      </c>
      <c r="AH9">
        <v>0</v>
      </c>
      <c r="AI9">
        <v>1</v>
      </c>
      <c r="AJ9">
        <v>13.41</v>
      </c>
      <c r="AK9">
        <v>45.71</v>
      </c>
      <c r="AL9">
        <v>1</v>
      </c>
      <c r="AM9">
        <v>4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0.88</v>
      </c>
      <c r="AU9" t="s">
        <v>42</v>
      </c>
      <c r="AV9">
        <v>0</v>
      </c>
      <c r="AW9">
        <v>2</v>
      </c>
      <c r="AX9">
        <v>145187284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ROUND(Y9*Source!I30,9)</f>
        <v>3.96</v>
      </c>
      <c r="CY9">
        <f t="shared" si="6"/>
        <v>12.07</v>
      </c>
      <c r="CZ9">
        <f t="shared" si="7"/>
        <v>0.9</v>
      </c>
      <c r="DA9">
        <f t="shared" si="8"/>
        <v>13.41</v>
      </c>
      <c r="DB9">
        <f t="shared" si="2"/>
        <v>0.99</v>
      </c>
      <c r="DC9">
        <f t="shared" si="3"/>
        <v>0</v>
      </c>
      <c r="DD9" t="s">
        <v>3</v>
      </c>
      <c r="DE9" t="s">
        <v>3</v>
      </c>
      <c r="DF9">
        <f t="shared" si="0"/>
        <v>0</v>
      </c>
      <c r="DG9">
        <f t="shared" si="9"/>
        <v>47.8</v>
      </c>
      <c r="DH9">
        <f t="shared" si="4"/>
        <v>0</v>
      </c>
      <c r="DI9">
        <f t="shared" si="5"/>
        <v>0</v>
      </c>
      <c r="DJ9">
        <f t="shared" si="10"/>
        <v>47.8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ROW(Source!A30)</f>
        <v>30</v>
      </c>
      <c r="B10">
        <v>145185703</v>
      </c>
      <c r="C10">
        <v>145187278</v>
      </c>
      <c r="D10">
        <v>140923885</v>
      </c>
      <c r="E10">
        <v>1</v>
      </c>
      <c r="F10">
        <v>1</v>
      </c>
      <c r="G10">
        <v>1</v>
      </c>
      <c r="H10">
        <v>2</v>
      </c>
      <c r="I10" t="s">
        <v>417</v>
      </c>
      <c r="J10" t="s">
        <v>418</v>
      </c>
      <c r="K10" t="s">
        <v>419</v>
      </c>
      <c r="L10">
        <v>1367</v>
      </c>
      <c r="N10">
        <v>1011</v>
      </c>
      <c r="O10" t="s">
        <v>398</v>
      </c>
      <c r="P10" t="s">
        <v>398</v>
      </c>
      <c r="Q10">
        <v>1</v>
      </c>
      <c r="W10">
        <v>0</v>
      </c>
      <c r="X10">
        <v>509054691</v>
      </c>
      <c r="Y10">
        <f t="shared" si="1"/>
        <v>0.4</v>
      </c>
      <c r="AA10">
        <v>0</v>
      </c>
      <c r="AB10">
        <v>881.17</v>
      </c>
      <c r="AC10">
        <v>530.24</v>
      </c>
      <c r="AD10">
        <v>0</v>
      </c>
      <c r="AE10">
        <v>0</v>
      </c>
      <c r="AF10">
        <v>65.709999999999994</v>
      </c>
      <c r="AG10">
        <v>11.6</v>
      </c>
      <c r="AH10">
        <v>0</v>
      </c>
      <c r="AI10">
        <v>1</v>
      </c>
      <c r="AJ10">
        <v>13.41</v>
      </c>
      <c r="AK10">
        <v>45.71</v>
      </c>
      <c r="AL10">
        <v>1</v>
      </c>
      <c r="AM10">
        <v>4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0.32</v>
      </c>
      <c r="AU10" t="s">
        <v>42</v>
      </c>
      <c r="AV10">
        <v>0</v>
      </c>
      <c r="AW10">
        <v>2</v>
      </c>
      <c r="AX10">
        <v>145187285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ROUND(Y10*Source!I30,9)</f>
        <v>1.44</v>
      </c>
      <c r="CY10">
        <f t="shared" si="6"/>
        <v>881.17</v>
      </c>
      <c r="CZ10">
        <f t="shared" si="7"/>
        <v>65.709999999999994</v>
      </c>
      <c r="DA10">
        <f t="shared" si="8"/>
        <v>13.41</v>
      </c>
      <c r="DB10">
        <f t="shared" si="2"/>
        <v>26.29</v>
      </c>
      <c r="DC10">
        <f t="shared" si="3"/>
        <v>4.6399999999999997</v>
      </c>
      <c r="DD10" t="s">
        <v>3</v>
      </c>
      <c r="DE10" t="s">
        <v>3</v>
      </c>
      <c r="DF10">
        <f t="shared" si="0"/>
        <v>0</v>
      </c>
      <c r="DG10">
        <f t="shared" si="9"/>
        <v>1268.8800000000001</v>
      </c>
      <c r="DH10">
        <f t="shared" si="4"/>
        <v>763.55</v>
      </c>
      <c r="DI10">
        <f t="shared" si="5"/>
        <v>0</v>
      </c>
      <c r="DJ10">
        <f t="shared" si="10"/>
        <v>1268.8800000000001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ROW(Source!A30)</f>
        <v>30</v>
      </c>
      <c r="B11">
        <v>145185703</v>
      </c>
      <c r="C11">
        <v>145187278</v>
      </c>
      <c r="D11">
        <v>140924041</v>
      </c>
      <c r="E11">
        <v>1</v>
      </c>
      <c r="F11">
        <v>1</v>
      </c>
      <c r="G11">
        <v>1</v>
      </c>
      <c r="H11">
        <v>2</v>
      </c>
      <c r="I11" t="s">
        <v>420</v>
      </c>
      <c r="J11" t="s">
        <v>421</v>
      </c>
      <c r="K11" t="s">
        <v>422</v>
      </c>
      <c r="L11">
        <v>1367</v>
      </c>
      <c r="N11">
        <v>1011</v>
      </c>
      <c r="O11" t="s">
        <v>398</v>
      </c>
      <c r="P11" t="s">
        <v>398</v>
      </c>
      <c r="Q11">
        <v>1</v>
      </c>
      <c r="W11">
        <v>0</v>
      </c>
      <c r="X11">
        <v>2077867240</v>
      </c>
      <c r="Y11">
        <f t="shared" si="1"/>
        <v>2.1</v>
      </c>
      <c r="AA11">
        <v>0</v>
      </c>
      <c r="AB11">
        <v>16.09</v>
      </c>
      <c r="AC11">
        <v>0</v>
      </c>
      <c r="AD11">
        <v>0</v>
      </c>
      <c r="AE11">
        <v>0</v>
      </c>
      <c r="AF11">
        <v>1.2</v>
      </c>
      <c r="AG11">
        <v>0</v>
      </c>
      <c r="AH11">
        <v>0</v>
      </c>
      <c r="AI11">
        <v>1</v>
      </c>
      <c r="AJ11">
        <v>13.41</v>
      </c>
      <c r="AK11">
        <v>45.71</v>
      </c>
      <c r="AL11">
        <v>1</v>
      </c>
      <c r="AM11">
        <v>4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1.68</v>
      </c>
      <c r="AU11" t="s">
        <v>42</v>
      </c>
      <c r="AV11">
        <v>0</v>
      </c>
      <c r="AW11">
        <v>2</v>
      </c>
      <c r="AX11">
        <v>145187286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ROUND(Y11*Source!I30,9)</f>
        <v>7.56</v>
      </c>
      <c r="CY11">
        <f t="shared" si="6"/>
        <v>16.09</v>
      </c>
      <c r="CZ11">
        <f t="shared" si="7"/>
        <v>1.2</v>
      </c>
      <c r="DA11">
        <f t="shared" si="8"/>
        <v>13.41</v>
      </c>
      <c r="DB11">
        <f t="shared" si="2"/>
        <v>2.5299999999999998</v>
      </c>
      <c r="DC11">
        <f t="shared" si="3"/>
        <v>0</v>
      </c>
      <c r="DD11" t="s">
        <v>3</v>
      </c>
      <c r="DE11" t="s">
        <v>3</v>
      </c>
      <c r="DF11">
        <f t="shared" si="0"/>
        <v>0</v>
      </c>
      <c r="DG11">
        <f t="shared" si="9"/>
        <v>121.64</v>
      </c>
      <c r="DH11">
        <f t="shared" si="4"/>
        <v>0</v>
      </c>
      <c r="DI11">
        <f t="shared" si="5"/>
        <v>0</v>
      </c>
      <c r="DJ11">
        <f t="shared" si="10"/>
        <v>121.64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ROW(Source!A30)</f>
        <v>30</v>
      </c>
      <c r="B12">
        <v>145185703</v>
      </c>
      <c r="C12">
        <v>145187278</v>
      </c>
      <c r="D12">
        <v>140924084</v>
      </c>
      <c r="E12">
        <v>1</v>
      </c>
      <c r="F12">
        <v>1</v>
      </c>
      <c r="G12">
        <v>1</v>
      </c>
      <c r="H12">
        <v>2</v>
      </c>
      <c r="I12" t="s">
        <v>423</v>
      </c>
      <c r="J12" t="s">
        <v>424</v>
      </c>
      <c r="K12" t="s">
        <v>425</v>
      </c>
      <c r="L12">
        <v>1367</v>
      </c>
      <c r="N12">
        <v>1011</v>
      </c>
      <c r="O12" t="s">
        <v>398</v>
      </c>
      <c r="P12" t="s">
        <v>398</v>
      </c>
      <c r="Q12">
        <v>1</v>
      </c>
      <c r="W12">
        <v>0</v>
      </c>
      <c r="X12">
        <v>-1866313122</v>
      </c>
      <c r="Y12">
        <f t="shared" si="1"/>
        <v>0.2</v>
      </c>
      <c r="AA12">
        <v>0</v>
      </c>
      <c r="AB12">
        <v>165.08</v>
      </c>
      <c r="AC12">
        <v>0</v>
      </c>
      <c r="AD12">
        <v>0</v>
      </c>
      <c r="AE12">
        <v>0</v>
      </c>
      <c r="AF12">
        <v>12.31</v>
      </c>
      <c r="AG12">
        <v>0</v>
      </c>
      <c r="AH12">
        <v>0</v>
      </c>
      <c r="AI12">
        <v>1</v>
      </c>
      <c r="AJ12">
        <v>13.41</v>
      </c>
      <c r="AK12">
        <v>45.71</v>
      </c>
      <c r="AL12">
        <v>1</v>
      </c>
      <c r="AM12">
        <v>4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0.16</v>
      </c>
      <c r="AU12" t="s">
        <v>42</v>
      </c>
      <c r="AV12">
        <v>0</v>
      </c>
      <c r="AW12">
        <v>2</v>
      </c>
      <c r="AX12">
        <v>145187287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ROUND(Y12*Source!I30,9)</f>
        <v>0.72</v>
      </c>
      <c r="CY12">
        <f t="shared" si="6"/>
        <v>165.08</v>
      </c>
      <c r="CZ12">
        <f t="shared" si="7"/>
        <v>12.31</v>
      </c>
      <c r="DA12">
        <f t="shared" si="8"/>
        <v>13.41</v>
      </c>
      <c r="DB12">
        <f t="shared" si="2"/>
        <v>2.46</v>
      </c>
      <c r="DC12">
        <f t="shared" si="3"/>
        <v>0</v>
      </c>
      <c r="DD12" t="s">
        <v>3</v>
      </c>
      <c r="DE12" t="s">
        <v>3</v>
      </c>
      <c r="DF12">
        <f t="shared" si="0"/>
        <v>0</v>
      </c>
      <c r="DG12">
        <f t="shared" si="9"/>
        <v>118.86</v>
      </c>
      <c r="DH12">
        <f t="shared" si="4"/>
        <v>0</v>
      </c>
      <c r="DI12">
        <f t="shared" si="5"/>
        <v>0</v>
      </c>
      <c r="DJ12">
        <f t="shared" si="10"/>
        <v>118.86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ROW(Source!A30)</f>
        <v>30</v>
      </c>
      <c r="B13">
        <v>145185703</v>
      </c>
      <c r="C13">
        <v>145187278</v>
      </c>
      <c r="D13">
        <v>140771005</v>
      </c>
      <c r="E13">
        <v>1</v>
      </c>
      <c r="F13">
        <v>1</v>
      </c>
      <c r="G13">
        <v>1</v>
      </c>
      <c r="H13">
        <v>3</v>
      </c>
      <c r="I13" t="s">
        <v>426</v>
      </c>
      <c r="J13" t="s">
        <v>427</v>
      </c>
      <c r="K13" t="s">
        <v>428</v>
      </c>
      <c r="L13">
        <v>1339</v>
      </c>
      <c r="N13">
        <v>1007</v>
      </c>
      <c r="O13" t="s">
        <v>141</v>
      </c>
      <c r="P13" t="s">
        <v>141</v>
      </c>
      <c r="Q13">
        <v>1</v>
      </c>
      <c r="W13">
        <v>0</v>
      </c>
      <c r="X13">
        <v>-1761807714</v>
      </c>
      <c r="Y13">
        <f t="shared" ref="Y13:Y26" si="11">AT13</f>
        <v>1.4</v>
      </c>
      <c r="AA13">
        <v>52.12</v>
      </c>
      <c r="AB13">
        <v>0</v>
      </c>
      <c r="AC13">
        <v>0</v>
      </c>
      <c r="AD13">
        <v>0</v>
      </c>
      <c r="AE13">
        <v>6.22</v>
      </c>
      <c r="AF13">
        <v>0</v>
      </c>
      <c r="AG13">
        <v>0</v>
      </c>
      <c r="AH13">
        <v>0</v>
      </c>
      <c r="AI13">
        <v>8.3800000000000008</v>
      </c>
      <c r="AJ13">
        <v>1</v>
      </c>
      <c r="AK13">
        <v>1</v>
      </c>
      <c r="AL13">
        <v>1</v>
      </c>
      <c r="AM13">
        <v>4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1.4</v>
      </c>
      <c r="AU13" t="s">
        <v>3</v>
      </c>
      <c r="AV13">
        <v>0</v>
      </c>
      <c r="AW13">
        <v>2</v>
      </c>
      <c r="AX13">
        <v>145187288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ROUND(Y13*Source!I30,9)</f>
        <v>5.04</v>
      </c>
      <c r="CY13">
        <f t="shared" ref="CY13:CY26" si="12">AA13</f>
        <v>52.12</v>
      </c>
      <c r="CZ13">
        <f t="shared" ref="CZ13:CZ26" si="13">AE13</f>
        <v>6.22</v>
      </c>
      <c r="DA13">
        <f t="shared" ref="DA13:DA26" si="14">AI13</f>
        <v>8.3800000000000008</v>
      </c>
      <c r="DB13">
        <f t="shared" ref="DB13:DB26" si="15">ROUND(ROUND(AT13*CZ13,2),2)</f>
        <v>8.7100000000000009</v>
      </c>
      <c r="DC13">
        <f t="shared" ref="DC13:DC26" si="16">ROUND(ROUND(AT13*AG13,2),2)</f>
        <v>0</v>
      </c>
      <c r="DD13" t="s">
        <v>3</v>
      </c>
      <c r="DE13" t="s">
        <v>3</v>
      </c>
      <c r="DF13">
        <f t="shared" ref="DF13:DF26" si="17">ROUND(ROUND(AE13*AI13,2)*CX13,2)</f>
        <v>262.68</v>
      </c>
      <c r="DG13">
        <f t="shared" ref="DG13:DG28" si="18">ROUND(ROUND(AF13,2)*CX13,2)</f>
        <v>0</v>
      </c>
      <c r="DH13">
        <f t="shared" ref="DH13:DH27" si="19">ROUND(ROUND(AG13,2)*CX13,2)</f>
        <v>0</v>
      </c>
      <c r="DI13">
        <f t="shared" si="5"/>
        <v>0</v>
      </c>
      <c r="DJ13">
        <f t="shared" ref="DJ13:DJ26" si="20">DF13</f>
        <v>262.68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ROW(Source!A30)</f>
        <v>30</v>
      </c>
      <c r="B14">
        <v>145185703</v>
      </c>
      <c r="C14">
        <v>145187278</v>
      </c>
      <c r="D14">
        <v>140771011</v>
      </c>
      <c r="E14">
        <v>1</v>
      </c>
      <c r="F14">
        <v>1</v>
      </c>
      <c r="G14">
        <v>1</v>
      </c>
      <c r="H14">
        <v>3</v>
      </c>
      <c r="I14" t="s">
        <v>429</v>
      </c>
      <c r="J14" t="s">
        <v>430</v>
      </c>
      <c r="K14" t="s">
        <v>431</v>
      </c>
      <c r="L14">
        <v>1346</v>
      </c>
      <c r="N14">
        <v>1009</v>
      </c>
      <c r="O14" t="s">
        <v>432</v>
      </c>
      <c r="P14" t="s">
        <v>432</v>
      </c>
      <c r="Q14">
        <v>1</v>
      </c>
      <c r="W14">
        <v>0</v>
      </c>
      <c r="X14">
        <v>-2118006079</v>
      </c>
      <c r="Y14">
        <f t="shared" si="11"/>
        <v>0.42</v>
      </c>
      <c r="AA14">
        <v>51.03</v>
      </c>
      <c r="AB14">
        <v>0</v>
      </c>
      <c r="AC14">
        <v>0</v>
      </c>
      <c r="AD14">
        <v>0</v>
      </c>
      <c r="AE14">
        <v>6.09</v>
      </c>
      <c r="AF14">
        <v>0</v>
      </c>
      <c r="AG14">
        <v>0</v>
      </c>
      <c r="AH14">
        <v>0</v>
      </c>
      <c r="AI14">
        <v>8.3800000000000008</v>
      </c>
      <c r="AJ14">
        <v>1</v>
      </c>
      <c r="AK14">
        <v>1</v>
      </c>
      <c r="AL14">
        <v>1</v>
      </c>
      <c r="AM14">
        <v>4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0.42</v>
      </c>
      <c r="AU14" t="s">
        <v>3</v>
      </c>
      <c r="AV14">
        <v>0</v>
      </c>
      <c r="AW14">
        <v>2</v>
      </c>
      <c r="AX14">
        <v>145187289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ROUND(Y14*Source!I30,9)</f>
        <v>1.512</v>
      </c>
      <c r="CY14">
        <f t="shared" si="12"/>
        <v>51.03</v>
      </c>
      <c r="CZ14">
        <f t="shared" si="13"/>
        <v>6.09</v>
      </c>
      <c r="DA14">
        <f t="shared" si="14"/>
        <v>8.3800000000000008</v>
      </c>
      <c r="DB14">
        <f t="shared" si="15"/>
        <v>2.56</v>
      </c>
      <c r="DC14">
        <f t="shared" si="16"/>
        <v>0</v>
      </c>
      <c r="DD14" t="s">
        <v>3</v>
      </c>
      <c r="DE14" t="s">
        <v>3</v>
      </c>
      <c r="DF14">
        <f t="shared" si="17"/>
        <v>77.16</v>
      </c>
      <c r="DG14">
        <f t="shared" si="18"/>
        <v>0</v>
      </c>
      <c r="DH14">
        <f t="shared" si="19"/>
        <v>0</v>
      </c>
      <c r="DI14">
        <f t="shared" si="5"/>
        <v>0</v>
      </c>
      <c r="DJ14">
        <f t="shared" si="20"/>
        <v>77.16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ROW(Source!A30)</f>
        <v>30</v>
      </c>
      <c r="B15">
        <v>145185703</v>
      </c>
      <c r="C15">
        <v>145187278</v>
      </c>
      <c r="D15">
        <v>140773776</v>
      </c>
      <c r="E15">
        <v>1</v>
      </c>
      <c r="F15">
        <v>1</v>
      </c>
      <c r="G15">
        <v>1</v>
      </c>
      <c r="H15">
        <v>3</v>
      </c>
      <c r="I15" t="s">
        <v>433</v>
      </c>
      <c r="J15" t="s">
        <v>434</v>
      </c>
      <c r="K15" t="s">
        <v>435</v>
      </c>
      <c r="L15">
        <v>1348</v>
      </c>
      <c r="N15">
        <v>1009</v>
      </c>
      <c r="O15" t="s">
        <v>21</v>
      </c>
      <c r="P15" t="s">
        <v>21</v>
      </c>
      <c r="Q15">
        <v>1000</v>
      </c>
      <c r="W15">
        <v>0</v>
      </c>
      <c r="X15">
        <v>1163323608</v>
      </c>
      <c r="Y15">
        <f t="shared" si="11"/>
        <v>6.0999999999999997E-4</v>
      </c>
      <c r="AA15">
        <v>86439.78</v>
      </c>
      <c r="AB15">
        <v>0</v>
      </c>
      <c r="AC15">
        <v>0</v>
      </c>
      <c r="AD15">
        <v>0</v>
      </c>
      <c r="AE15">
        <v>10315.01</v>
      </c>
      <c r="AF15">
        <v>0</v>
      </c>
      <c r="AG15">
        <v>0</v>
      </c>
      <c r="AH15">
        <v>0</v>
      </c>
      <c r="AI15">
        <v>8.3800000000000008</v>
      </c>
      <c r="AJ15">
        <v>1</v>
      </c>
      <c r="AK15">
        <v>1</v>
      </c>
      <c r="AL15">
        <v>1</v>
      </c>
      <c r="AM15">
        <v>4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6.0999999999999997E-4</v>
      </c>
      <c r="AU15" t="s">
        <v>3</v>
      </c>
      <c r="AV15">
        <v>0</v>
      </c>
      <c r="AW15">
        <v>2</v>
      </c>
      <c r="AX15">
        <v>145187290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ROUND(Y15*Source!I30,9)</f>
        <v>2.196E-3</v>
      </c>
      <c r="CY15">
        <f t="shared" si="12"/>
        <v>86439.78</v>
      </c>
      <c r="CZ15">
        <f t="shared" si="13"/>
        <v>10315.01</v>
      </c>
      <c r="DA15">
        <f t="shared" si="14"/>
        <v>8.3800000000000008</v>
      </c>
      <c r="DB15">
        <f t="shared" si="15"/>
        <v>6.29</v>
      </c>
      <c r="DC15">
        <f t="shared" si="16"/>
        <v>0</v>
      </c>
      <c r="DD15" t="s">
        <v>3</v>
      </c>
      <c r="DE15" t="s">
        <v>3</v>
      </c>
      <c r="DF15">
        <f t="shared" si="17"/>
        <v>189.82</v>
      </c>
      <c r="DG15">
        <f t="shared" si="18"/>
        <v>0</v>
      </c>
      <c r="DH15">
        <f t="shared" si="19"/>
        <v>0</v>
      </c>
      <c r="DI15">
        <f t="shared" si="5"/>
        <v>0</v>
      </c>
      <c r="DJ15">
        <f t="shared" si="20"/>
        <v>189.82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ROW(Source!A30)</f>
        <v>30</v>
      </c>
      <c r="B16">
        <v>145185703</v>
      </c>
      <c r="C16">
        <v>145187278</v>
      </c>
      <c r="D16">
        <v>140775017</v>
      </c>
      <c r="E16">
        <v>1</v>
      </c>
      <c r="F16">
        <v>1</v>
      </c>
      <c r="G16">
        <v>1</v>
      </c>
      <c r="H16">
        <v>3</v>
      </c>
      <c r="I16" t="s">
        <v>436</v>
      </c>
      <c r="J16" t="s">
        <v>437</v>
      </c>
      <c r="K16" t="s">
        <v>438</v>
      </c>
      <c r="L16">
        <v>1346</v>
      </c>
      <c r="N16">
        <v>1009</v>
      </c>
      <c r="O16" t="s">
        <v>432</v>
      </c>
      <c r="P16" t="s">
        <v>432</v>
      </c>
      <c r="Q16">
        <v>1</v>
      </c>
      <c r="W16">
        <v>0</v>
      </c>
      <c r="X16">
        <v>-1864341761</v>
      </c>
      <c r="Y16">
        <f t="shared" si="11"/>
        <v>2.2000000000000002</v>
      </c>
      <c r="AA16">
        <v>75.760000000000005</v>
      </c>
      <c r="AB16">
        <v>0</v>
      </c>
      <c r="AC16">
        <v>0</v>
      </c>
      <c r="AD16">
        <v>0</v>
      </c>
      <c r="AE16">
        <v>9.0399999999999991</v>
      </c>
      <c r="AF16">
        <v>0</v>
      </c>
      <c r="AG16">
        <v>0</v>
      </c>
      <c r="AH16">
        <v>0</v>
      </c>
      <c r="AI16">
        <v>8.3800000000000008</v>
      </c>
      <c r="AJ16">
        <v>1</v>
      </c>
      <c r="AK16">
        <v>1</v>
      </c>
      <c r="AL16">
        <v>1</v>
      </c>
      <c r="AM16">
        <v>4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2.2000000000000002</v>
      </c>
      <c r="AU16" t="s">
        <v>3</v>
      </c>
      <c r="AV16">
        <v>0</v>
      </c>
      <c r="AW16">
        <v>2</v>
      </c>
      <c r="AX16">
        <v>145187291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ROUND(Y16*Source!I30,9)</f>
        <v>7.92</v>
      </c>
      <c r="CY16">
        <f t="shared" si="12"/>
        <v>75.760000000000005</v>
      </c>
      <c r="CZ16">
        <f t="shared" si="13"/>
        <v>9.0399999999999991</v>
      </c>
      <c r="DA16">
        <f t="shared" si="14"/>
        <v>8.3800000000000008</v>
      </c>
      <c r="DB16">
        <f t="shared" si="15"/>
        <v>19.89</v>
      </c>
      <c r="DC16">
        <f t="shared" si="16"/>
        <v>0</v>
      </c>
      <c r="DD16" t="s">
        <v>3</v>
      </c>
      <c r="DE16" t="s">
        <v>3</v>
      </c>
      <c r="DF16">
        <f t="shared" si="17"/>
        <v>600.02</v>
      </c>
      <c r="DG16">
        <f t="shared" si="18"/>
        <v>0</v>
      </c>
      <c r="DH16">
        <f t="shared" si="19"/>
        <v>0</v>
      </c>
      <c r="DI16">
        <f t="shared" si="5"/>
        <v>0</v>
      </c>
      <c r="DJ16">
        <f t="shared" si="20"/>
        <v>600.02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145185703</v>
      </c>
      <c r="C17">
        <v>145187278</v>
      </c>
      <c r="D17">
        <v>140776229</v>
      </c>
      <c r="E17">
        <v>1</v>
      </c>
      <c r="F17">
        <v>1</v>
      </c>
      <c r="G17">
        <v>1</v>
      </c>
      <c r="H17">
        <v>3</v>
      </c>
      <c r="I17" t="s">
        <v>439</v>
      </c>
      <c r="J17" t="s">
        <v>440</v>
      </c>
      <c r="K17" t="s">
        <v>441</v>
      </c>
      <c r="L17">
        <v>1348</v>
      </c>
      <c r="N17">
        <v>1009</v>
      </c>
      <c r="O17" t="s">
        <v>21</v>
      </c>
      <c r="P17" t="s">
        <v>21</v>
      </c>
      <c r="Q17">
        <v>1000</v>
      </c>
      <c r="W17">
        <v>0</v>
      </c>
      <c r="X17">
        <v>-1671348935</v>
      </c>
      <c r="Y17">
        <f t="shared" si="11"/>
        <v>1.4999999999999999E-4</v>
      </c>
      <c r="AA17">
        <v>317602</v>
      </c>
      <c r="AB17">
        <v>0</v>
      </c>
      <c r="AC17">
        <v>0</v>
      </c>
      <c r="AD17">
        <v>0</v>
      </c>
      <c r="AE17">
        <v>37900</v>
      </c>
      <c r="AF17">
        <v>0</v>
      </c>
      <c r="AG17">
        <v>0</v>
      </c>
      <c r="AH17">
        <v>0</v>
      </c>
      <c r="AI17">
        <v>8.3800000000000008</v>
      </c>
      <c r="AJ17">
        <v>1</v>
      </c>
      <c r="AK17">
        <v>1</v>
      </c>
      <c r="AL17">
        <v>1</v>
      </c>
      <c r="AM17">
        <v>4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1.4999999999999999E-4</v>
      </c>
      <c r="AU17" t="s">
        <v>3</v>
      </c>
      <c r="AV17">
        <v>0</v>
      </c>
      <c r="AW17">
        <v>2</v>
      </c>
      <c r="AX17">
        <v>145187292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ROUND(Y17*Source!I30,9)</f>
        <v>5.4000000000000001E-4</v>
      </c>
      <c r="CY17">
        <f t="shared" si="12"/>
        <v>317602</v>
      </c>
      <c r="CZ17">
        <f t="shared" si="13"/>
        <v>37900</v>
      </c>
      <c r="DA17">
        <f t="shared" si="14"/>
        <v>8.3800000000000008</v>
      </c>
      <c r="DB17">
        <f t="shared" si="15"/>
        <v>5.69</v>
      </c>
      <c r="DC17">
        <f t="shared" si="16"/>
        <v>0</v>
      </c>
      <c r="DD17" t="s">
        <v>3</v>
      </c>
      <c r="DE17" t="s">
        <v>3</v>
      </c>
      <c r="DF17">
        <f t="shared" si="17"/>
        <v>171.51</v>
      </c>
      <c r="DG17">
        <f t="shared" si="18"/>
        <v>0</v>
      </c>
      <c r="DH17">
        <f t="shared" si="19"/>
        <v>0</v>
      </c>
      <c r="DI17">
        <f t="shared" si="5"/>
        <v>0</v>
      </c>
      <c r="DJ17">
        <f t="shared" si="20"/>
        <v>171.51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145185703</v>
      </c>
      <c r="C18">
        <v>145187278</v>
      </c>
      <c r="D18">
        <v>140789856</v>
      </c>
      <c r="E18">
        <v>1</v>
      </c>
      <c r="F18">
        <v>1</v>
      </c>
      <c r="G18">
        <v>1</v>
      </c>
      <c r="H18">
        <v>3</v>
      </c>
      <c r="I18" t="s">
        <v>442</v>
      </c>
      <c r="J18" t="s">
        <v>443</v>
      </c>
      <c r="K18" t="s">
        <v>444</v>
      </c>
      <c r="L18">
        <v>1348</v>
      </c>
      <c r="N18">
        <v>1009</v>
      </c>
      <c r="O18" t="s">
        <v>21</v>
      </c>
      <c r="P18" t="s">
        <v>21</v>
      </c>
      <c r="Q18">
        <v>1000</v>
      </c>
      <c r="W18">
        <v>0</v>
      </c>
      <c r="X18">
        <v>-1915778085</v>
      </c>
      <c r="Y18">
        <f t="shared" si="11"/>
        <v>1.0999999999999999E-2</v>
      </c>
      <c r="AA18">
        <v>64626.559999999998</v>
      </c>
      <c r="AB18">
        <v>0</v>
      </c>
      <c r="AC18">
        <v>0</v>
      </c>
      <c r="AD18">
        <v>0</v>
      </c>
      <c r="AE18">
        <v>7712</v>
      </c>
      <c r="AF18">
        <v>0</v>
      </c>
      <c r="AG18">
        <v>0</v>
      </c>
      <c r="AH18">
        <v>0</v>
      </c>
      <c r="AI18">
        <v>8.3800000000000008</v>
      </c>
      <c r="AJ18">
        <v>1</v>
      </c>
      <c r="AK18">
        <v>1</v>
      </c>
      <c r="AL18">
        <v>1</v>
      </c>
      <c r="AM18">
        <v>4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1.0999999999999999E-2</v>
      </c>
      <c r="AU18" t="s">
        <v>3</v>
      </c>
      <c r="AV18">
        <v>0</v>
      </c>
      <c r="AW18">
        <v>2</v>
      </c>
      <c r="AX18">
        <v>145187293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ROUND(Y18*Source!I30,9)</f>
        <v>3.9600000000000003E-2</v>
      </c>
      <c r="CY18">
        <f t="shared" si="12"/>
        <v>64626.559999999998</v>
      </c>
      <c r="CZ18">
        <f t="shared" si="13"/>
        <v>7712</v>
      </c>
      <c r="DA18">
        <f t="shared" si="14"/>
        <v>8.3800000000000008</v>
      </c>
      <c r="DB18">
        <f t="shared" si="15"/>
        <v>84.83</v>
      </c>
      <c r="DC18">
        <f t="shared" si="16"/>
        <v>0</v>
      </c>
      <c r="DD18" t="s">
        <v>3</v>
      </c>
      <c r="DE18" t="s">
        <v>3</v>
      </c>
      <c r="DF18">
        <f t="shared" si="17"/>
        <v>2559.21</v>
      </c>
      <c r="DG18">
        <f t="shared" si="18"/>
        <v>0</v>
      </c>
      <c r="DH18">
        <f t="shared" si="19"/>
        <v>0</v>
      </c>
      <c r="DI18">
        <f t="shared" si="5"/>
        <v>0</v>
      </c>
      <c r="DJ18">
        <f t="shared" si="20"/>
        <v>2559.21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145185703</v>
      </c>
      <c r="C19">
        <v>145187278</v>
      </c>
      <c r="D19">
        <v>140762187</v>
      </c>
      <c r="E19">
        <v>70</v>
      </c>
      <c r="F19">
        <v>1</v>
      </c>
      <c r="G19">
        <v>1</v>
      </c>
      <c r="H19">
        <v>3</v>
      </c>
      <c r="I19" t="s">
        <v>445</v>
      </c>
      <c r="J19" t="s">
        <v>3</v>
      </c>
      <c r="K19" t="s">
        <v>446</v>
      </c>
      <c r="L19">
        <v>1348</v>
      </c>
      <c r="N19">
        <v>1009</v>
      </c>
      <c r="O19" t="s">
        <v>21</v>
      </c>
      <c r="P19" t="s">
        <v>21</v>
      </c>
      <c r="Q19">
        <v>1000</v>
      </c>
      <c r="W19">
        <v>0</v>
      </c>
      <c r="X19">
        <v>2140265389</v>
      </c>
      <c r="Y19">
        <f t="shared" si="11"/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8.3800000000000008</v>
      </c>
      <c r="AJ19">
        <v>1</v>
      </c>
      <c r="AK19">
        <v>1</v>
      </c>
      <c r="AL19">
        <v>1</v>
      </c>
      <c r="AM19">
        <v>4</v>
      </c>
      <c r="AN19">
        <v>1</v>
      </c>
      <c r="AO19">
        <v>0</v>
      </c>
      <c r="AP19">
        <v>1</v>
      </c>
      <c r="AQ19">
        <v>0</v>
      </c>
      <c r="AR19">
        <v>0</v>
      </c>
      <c r="AS19" t="s">
        <v>3</v>
      </c>
      <c r="AT19">
        <v>0</v>
      </c>
      <c r="AU19" t="s">
        <v>3</v>
      </c>
      <c r="AV19">
        <v>0</v>
      </c>
      <c r="AW19">
        <v>2</v>
      </c>
      <c r="AX19">
        <v>145187294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ROUND(Y19*Source!I30,9)</f>
        <v>0</v>
      </c>
      <c r="CY19">
        <f t="shared" si="12"/>
        <v>0</v>
      </c>
      <c r="CZ19">
        <f t="shared" si="13"/>
        <v>0</v>
      </c>
      <c r="DA19">
        <f t="shared" si="14"/>
        <v>8.3800000000000008</v>
      </c>
      <c r="DB19">
        <f t="shared" si="15"/>
        <v>0</v>
      </c>
      <c r="DC19">
        <f t="shared" si="16"/>
        <v>0</v>
      </c>
      <c r="DD19" t="s">
        <v>3</v>
      </c>
      <c r="DE19" t="s">
        <v>3</v>
      </c>
      <c r="DF19">
        <f t="shared" si="17"/>
        <v>0</v>
      </c>
      <c r="DG19">
        <f t="shared" si="18"/>
        <v>0</v>
      </c>
      <c r="DH19">
        <f t="shared" si="19"/>
        <v>0</v>
      </c>
      <c r="DI19">
        <f t="shared" si="5"/>
        <v>0</v>
      </c>
      <c r="DJ19">
        <f t="shared" si="20"/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145185703</v>
      </c>
      <c r="C20">
        <v>145187278</v>
      </c>
      <c r="D20">
        <v>140791984</v>
      </c>
      <c r="E20">
        <v>1</v>
      </c>
      <c r="F20">
        <v>1</v>
      </c>
      <c r="G20">
        <v>1</v>
      </c>
      <c r="H20">
        <v>3</v>
      </c>
      <c r="I20" t="s">
        <v>447</v>
      </c>
      <c r="J20" t="s">
        <v>448</v>
      </c>
      <c r="K20" t="s">
        <v>449</v>
      </c>
      <c r="L20">
        <v>1302</v>
      </c>
      <c r="N20">
        <v>1003</v>
      </c>
      <c r="O20" t="s">
        <v>450</v>
      </c>
      <c r="P20" t="s">
        <v>450</v>
      </c>
      <c r="Q20">
        <v>10</v>
      </c>
      <c r="W20">
        <v>0</v>
      </c>
      <c r="X20">
        <v>581091037</v>
      </c>
      <c r="Y20">
        <f t="shared" si="11"/>
        <v>1.6E-2</v>
      </c>
      <c r="AA20">
        <v>421.01</v>
      </c>
      <c r="AB20">
        <v>0</v>
      </c>
      <c r="AC20">
        <v>0</v>
      </c>
      <c r="AD20">
        <v>0</v>
      </c>
      <c r="AE20">
        <v>50.24</v>
      </c>
      <c r="AF20">
        <v>0</v>
      </c>
      <c r="AG20">
        <v>0</v>
      </c>
      <c r="AH20">
        <v>0</v>
      </c>
      <c r="AI20">
        <v>8.3800000000000008</v>
      </c>
      <c r="AJ20">
        <v>1</v>
      </c>
      <c r="AK20">
        <v>1</v>
      </c>
      <c r="AL20">
        <v>1</v>
      </c>
      <c r="AM20">
        <v>4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1.6E-2</v>
      </c>
      <c r="AU20" t="s">
        <v>3</v>
      </c>
      <c r="AV20">
        <v>0</v>
      </c>
      <c r="AW20">
        <v>2</v>
      </c>
      <c r="AX20">
        <v>145187295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ROUND(Y20*Source!I30,9)</f>
        <v>5.7599999999999998E-2</v>
      </c>
      <c r="CY20">
        <f t="shared" si="12"/>
        <v>421.01</v>
      </c>
      <c r="CZ20">
        <f t="shared" si="13"/>
        <v>50.24</v>
      </c>
      <c r="DA20">
        <f t="shared" si="14"/>
        <v>8.3800000000000008</v>
      </c>
      <c r="DB20">
        <f t="shared" si="15"/>
        <v>0.8</v>
      </c>
      <c r="DC20">
        <f t="shared" si="16"/>
        <v>0</v>
      </c>
      <c r="DD20" t="s">
        <v>3</v>
      </c>
      <c r="DE20" t="s">
        <v>3</v>
      </c>
      <c r="DF20">
        <f t="shared" si="17"/>
        <v>24.25</v>
      </c>
      <c r="DG20">
        <f t="shared" si="18"/>
        <v>0</v>
      </c>
      <c r="DH20">
        <f t="shared" si="19"/>
        <v>0</v>
      </c>
      <c r="DI20">
        <f t="shared" si="5"/>
        <v>0</v>
      </c>
      <c r="DJ20">
        <f t="shared" si="20"/>
        <v>24.25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ROW(Source!A30)</f>
        <v>30</v>
      </c>
      <c r="B21">
        <v>145185703</v>
      </c>
      <c r="C21">
        <v>145187278</v>
      </c>
      <c r="D21">
        <v>140792339</v>
      </c>
      <c r="E21">
        <v>1</v>
      </c>
      <c r="F21">
        <v>1</v>
      </c>
      <c r="G21">
        <v>1</v>
      </c>
      <c r="H21">
        <v>3</v>
      </c>
      <c r="I21" t="s">
        <v>451</v>
      </c>
      <c r="J21" t="s">
        <v>452</v>
      </c>
      <c r="K21" t="s">
        <v>453</v>
      </c>
      <c r="L21">
        <v>1348</v>
      </c>
      <c r="N21">
        <v>1009</v>
      </c>
      <c r="O21" t="s">
        <v>21</v>
      </c>
      <c r="P21" t="s">
        <v>21</v>
      </c>
      <c r="Q21">
        <v>1000</v>
      </c>
      <c r="W21">
        <v>0</v>
      </c>
      <c r="X21">
        <v>-120483918</v>
      </c>
      <c r="Y21">
        <f t="shared" si="11"/>
        <v>4.0000000000000003E-5</v>
      </c>
      <c r="AA21">
        <v>37334.58</v>
      </c>
      <c r="AB21">
        <v>0</v>
      </c>
      <c r="AC21">
        <v>0</v>
      </c>
      <c r="AD21">
        <v>0</v>
      </c>
      <c r="AE21">
        <v>4455.2</v>
      </c>
      <c r="AF21">
        <v>0</v>
      </c>
      <c r="AG21">
        <v>0</v>
      </c>
      <c r="AH21">
        <v>0</v>
      </c>
      <c r="AI21">
        <v>8.3800000000000008</v>
      </c>
      <c r="AJ21">
        <v>1</v>
      </c>
      <c r="AK21">
        <v>1</v>
      </c>
      <c r="AL21">
        <v>1</v>
      </c>
      <c r="AM21">
        <v>4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4.0000000000000003E-5</v>
      </c>
      <c r="AU21" t="s">
        <v>3</v>
      </c>
      <c r="AV21">
        <v>0</v>
      </c>
      <c r="AW21">
        <v>2</v>
      </c>
      <c r="AX21">
        <v>145187296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ROUND(Y21*Source!I30,9)</f>
        <v>1.44E-4</v>
      </c>
      <c r="CY21">
        <f t="shared" si="12"/>
        <v>37334.58</v>
      </c>
      <c r="CZ21">
        <f t="shared" si="13"/>
        <v>4455.2</v>
      </c>
      <c r="DA21">
        <f t="shared" si="14"/>
        <v>8.3800000000000008</v>
      </c>
      <c r="DB21">
        <f t="shared" si="15"/>
        <v>0.18</v>
      </c>
      <c r="DC21">
        <f t="shared" si="16"/>
        <v>0</v>
      </c>
      <c r="DD21" t="s">
        <v>3</v>
      </c>
      <c r="DE21" t="s">
        <v>3</v>
      </c>
      <c r="DF21">
        <f t="shared" si="17"/>
        <v>5.38</v>
      </c>
      <c r="DG21">
        <f t="shared" si="18"/>
        <v>0</v>
      </c>
      <c r="DH21">
        <f t="shared" si="19"/>
        <v>0</v>
      </c>
      <c r="DI21">
        <f t="shared" si="5"/>
        <v>0</v>
      </c>
      <c r="DJ21">
        <f t="shared" si="20"/>
        <v>5.38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ROW(Source!A30)</f>
        <v>30</v>
      </c>
      <c r="B22">
        <v>145185703</v>
      </c>
      <c r="C22">
        <v>145187278</v>
      </c>
      <c r="D22">
        <v>140762343</v>
      </c>
      <c r="E22">
        <v>70</v>
      </c>
      <c r="F22">
        <v>1</v>
      </c>
      <c r="G22">
        <v>1</v>
      </c>
      <c r="H22">
        <v>3</v>
      </c>
      <c r="I22" t="s">
        <v>454</v>
      </c>
      <c r="J22" t="s">
        <v>3</v>
      </c>
      <c r="K22" t="s">
        <v>455</v>
      </c>
      <c r="L22">
        <v>1348</v>
      </c>
      <c r="N22">
        <v>1009</v>
      </c>
      <c r="O22" t="s">
        <v>21</v>
      </c>
      <c r="P22" t="s">
        <v>21</v>
      </c>
      <c r="Q22">
        <v>1000</v>
      </c>
      <c r="W22">
        <v>0</v>
      </c>
      <c r="X22">
        <v>-2026878615</v>
      </c>
      <c r="Y22">
        <f t="shared" si="11"/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8.3800000000000008</v>
      </c>
      <c r="AJ22">
        <v>1</v>
      </c>
      <c r="AK22">
        <v>1</v>
      </c>
      <c r="AL22">
        <v>1</v>
      </c>
      <c r="AM22">
        <v>4</v>
      </c>
      <c r="AN22">
        <v>1</v>
      </c>
      <c r="AO22">
        <v>0</v>
      </c>
      <c r="AP22">
        <v>1</v>
      </c>
      <c r="AQ22">
        <v>0</v>
      </c>
      <c r="AR22">
        <v>0</v>
      </c>
      <c r="AS22" t="s">
        <v>3</v>
      </c>
      <c r="AT22">
        <v>0</v>
      </c>
      <c r="AU22" t="s">
        <v>3</v>
      </c>
      <c r="AV22">
        <v>0</v>
      </c>
      <c r="AW22">
        <v>2</v>
      </c>
      <c r="AX22">
        <v>145187297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ROUND(Y22*Source!I30,9)</f>
        <v>0</v>
      </c>
      <c r="CY22">
        <f t="shared" si="12"/>
        <v>0</v>
      </c>
      <c r="CZ22">
        <f t="shared" si="13"/>
        <v>0</v>
      </c>
      <c r="DA22">
        <f t="shared" si="14"/>
        <v>8.3800000000000008</v>
      </c>
      <c r="DB22">
        <f t="shared" si="15"/>
        <v>0</v>
      </c>
      <c r="DC22">
        <f t="shared" si="16"/>
        <v>0</v>
      </c>
      <c r="DD22" t="s">
        <v>3</v>
      </c>
      <c r="DE22" t="s">
        <v>3</v>
      </c>
      <c r="DF22">
        <f t="shared" si="17"/>
        <v>0</v>
      </c>
      <c r="DG22">
        <f t="shared" si="18"/>
        <v>0</v>
      </c>
      <c r="DH22">
        <f t="shared" si="19"/>
        <v>0</v>
      </c>
      <c r="DI22">
        <f t="shared" si="5"/>
        <v>0</v>
      </c>
      <c r="DJ22">
        <f t="shared" si="20"/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ROW(Source!A30)</f>
        <v>30</v>
      </c>
      <c r="B23">
        <v>145185703</v>
      </c>
      <c r="C23">
        <v>145187278</v>
      </c>
      <c r="D23">
        <v>140793072</v>
      </c>
      <c r="E23">
        <v>1</v>
      </c>
      <c r="F23">
        <v>1</v>
      </c>
      <c r="G23">
        <v>1</v>
      </c>
      <c r="H23">
        <v>3</v>
      </c>
      <c r="I23" t="s">
        <v>456</v>
      </c>
      <c r="J23" t="s">
        <v>457</v>
      </c>
      <c r="K23" t="s">
        <v>458</v>
      </c>
      <c r="L23">
        <v>1348</v>
      </c>
      <c r="N23">
        <v>1009</v>
      </c>
      <c r="O23" t="s">
        <v>21</v>
      </c>
      <c r="P23" t="s">
        <v>21</v>
      </c>
      <c r="Q23">
        <v>1000</v>
      </c>
      <c r="W23">
        <v>0</v>
      </c>
      <c r="X23">
        <v>834877976</v>
      </c>
      <c r="Y23">
        <f t="shared" si="11"/>
        <v>2.97E-3</v>
      </c>
      <c r="AA23">
        <v>41229.599999999999</v>
      </c>
      <c r="AB23">
        <v>0</v>
      </c>
      <c r="AC23">
        <v>0</v>
      </c>
      <c r="AD23">
        <v>0</v>
      </c>
      <c r="AE23">
        <v>4920</v>
      </c>
      <c r="AF23">
        <v>0</v>
      </c>
      <c r="AG23">
        <v>0</v>
      </c>
      <c r="AH23">
        <v>0</v>
      </c>
      <c r="AI23">
        <v>8.3800000000000008</v>
      </c>
      <c r="AJ23">
        <v>1</v>
      </c>
      <c r="AK23">
        <v>1</v>
      </c>
      <c r="AL23">
        <v>1</v>
      </c>
      <c r="AM23">
        <v>4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2.97E-3</v>
      </c>
      <c r="AU23" t="s">
        <v>3</v>
      </c>
      <c r="AV23">
        <v>0</v>
      </c>
      <c r="AW23">
        <v>2</v>
      </c>
      <c r="AX23">
        <v>145187298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ROUND(Y23*Source!I30,9)</f>
        <v>1.0692E-2</v>
      </c>
      <c r="CY23">
        <f t="shared" si="12"/>
        <v>41229.599999999999</v>
      </c>
      <c r="CZ23">
        <f t="shared" si="13"/>
        <v>4920</v>
      </c>
      <c r="DA23">
        <f t="shared" si="14"/>
        <v>8.3800000000000008</v>
      </c>
      <c r="DB23">
        <f t="shared" si="15"/>
        <v>14.61</v>
      </c>
      <c r="DC23">
        <f t="shared" si="16"/>
        <v>0</v>
      </c>
      <c r="DD23" t="s">
        <v>3</v>
      </c>
      <c r="DE23" t="s">
        <v>3</v>
      </c>
      <c r="DF23">
        <f t="shared" si="17"/>
        <v>440.83</v>
      </c>
      <c r="DG23">
        <f t="shared" si="18"/>
        <v>0</v>
      </c>
      <c r="DH23">
        <f t="shared" si="19"/>
        <v>0</v>
      </c>
      <c r="DI23">
        <f t="shared" si="5"/>
        <v>0</v>
      </c>
      <c r="DJ23">
        <f t="shared" si="20"/>
        <v>440.83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ROW(Source!A30)</f>
        <v>30</v>
      </c>
      <c r="B24">
        <v>145185703</v>
      </c>
      <c r="C24">
        <v>145187278</v>
      </c>
      <c r="D24">
        <v>140796351</v>
      </c>
      <c r="E24">
        <v>1</v>
      </c>
      <c r="F24">
        <v>1</v>
      </c>
      <c r="G24">
        <v>1</v>
      </c>
      <c r="H24">
        <v>3</v>
      </c>
      <c r="I24" t="s">
        <v>459</v>
      </c>
      <c r="J24" t="s">
        <v>460</v>
      </c>
      <c r="K24" t="s">
        <v>461</v>
      </c>
      <c r="L24">
        <v>1339</v>
      </c>
      <c r="N24">
        <v>1007</v>
      </c>
      <c r="O24" t="s">
        <v>141</v>
      </c>
      <c r="P24" t="s">
        <v>141</v>
      </c>
      <c r="Q24">
        <v>1</v>
      </c>
      <c r="W24">
        <v>0</v>
      </c>
      <c r="X24">
        <v>1758287014</v>
      </c>
      <c r="Y24">
        <f t="shared" si="11"/>
        <v>1.2999999999999999E-3</v>
      </c>
      <c r="AA24">
        <v>14246</v>
      </c>
      <c r="AB24">
        <v>0</v>
      </c>
      <c r="AC24">
        <v>0</v>
      </c>
      <c r="AD24">
        <v>0</v>
      </c>
      <c r="AE24">
        <v>1700</v>
      </c>
      <c r="AF24">
        <v>0</v>
      </c>
      <c r="AG24">
        <v>0</v>
      </c>
      <c r="AH24">
        <v>0</v>
      </c>
      <c r="AI24">
        <v>8.3800000000000008</v>
      </c>
      <c r="AJ24">
        <v>1</v>
      </c>
      <c r="AK24">
        <v>1</v>
      </c>
      <c r="AL24">
        <v>1</v>
      </c>
      <c r="AM24">
        <v>4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1.2999999999999999E-3</v>
      </c>
      <c r="AU24" t="s">
        <v>3</v>
      </c>
      <c r="AV24">
        <v>0</v>
      </c>
      <c r="AW24">
        <v>2</v>
      </c>
      <c r="AX24">
        <v>145187299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ROUND(Y24*Source!I30,9)</f>
        <v>4.6800000000000001E-3</v>
      </c>
      <c r="CY24">
        <f t="shared" si="12"/>
        <v>14246</v>
      </c>
      <c r="CZ24">
        <f t="shared" si="13"/>
        <v>1700</v>
      </c>
      <c r="DA24">
        <f t="shared" si="14"/>
        <v>8.3800000000000008</v>
      </c>
      <c r="DB24">
        <f t="shared" si="15"/>
        <v>2.21</v>
      </c>
      <c r="DC24">
        <f t="shared" si="16"/>
        <v>0</v>
      </c>
      <c r="DD24" t="s">
        <v>3</v>
      </c>
      <c r="DE24" t="s">
        <v>3</v>
      </c>
      <c r="DF24">
        <f t="shared" si="17"/>
        <v>66.67</v>
      </c>
      <c r="DG24">
        <f t="shared" si="18"/>
        <v>0</v>
      </c>
      <c r="DH24">
        <f t="shared" si="19"/>
        <v>0</v>
      </c>
      <c r="DI24">
        <f t="shared" si="5"/>
        <v>0</v>
      </c>
      <c r="DJ24">
        <f t="shared" si="20"/>
        <v>66.67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ROW(Source!A30)</f>
        <v>30</v>
      </c>
      <c r="B25">
        <v>145185703</v>
      </c>
      <c r="C25">
        <v>145187278</v>
      </c>
      <c r="D25">
        <v>140804058</v>
      </c>
      <c r="E25">
        <v>1</v>
      </c>
      <c r="F25">
        <v>1</v>
      </c>
      <c r="G25">
        <v>1</v>
      </c>
      <c r="H25">
        <v>3</v>
      </c>
      <c r="I25" t="s">
        <v>462</v>
      </c>
      <c r="J25" t="s">
        <v>463</v>
      </c>
      <c r="K25" t="s">
        <v>464</v>
      </c>
      <c r="L25">
        <v>1348</v>
      </c>
      <c r="N25">
        <v>1009</v>
      </c>
      <c r="O25" t="s">
        <v>21</v>
      </c>
      <c r="P25" t="s">
        <v>21</v>
      </c>
      <c r="Q25">
        <v>1000</v>
      </c>
      <c r="W25">
        <v>0</v>
      </c>
      <c r="X25">
        <v>264248573</v>
      </c>
      <c r="Y25">
        <f t="shared" si="11"/>
        <v>4.6999999999999999E-4</v>
      </c>
      <c r="AA25">
        <v>130895.6</v>
      </c>
      <c r="AB25">
        <v>0</v>
      </c>
      <c r="AC25">
        <v>0</v>
      </c>
      <c r="AD25">
        <v>0</v>
      </c>
      <c r="AE25">
        <v>15620</v>
      </c>
      <c r="AF25">
        <v>0</v>
      </c>
      <c r="AG25">
        <v>0</v>
      </c>
      <c r="AH25">
        <v>0</v>
      </c>
      <c r="AI25">
        <v>8.3800000000000008</v>
      </c>
      <c r="AJ25">
        <v>1</v>
      </c>
      <c r="AK25">
        <v>1</v>
      </c>
      <c r="AL25">
        <v>1</v>
      </c>
      <c r="AM25">
        <v>4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4.6999999999999999E-4</v>
      </c>
      <c r="AU25" t="s">
        <v>3</v>
      </c>
      <c r="AV25">
        <v>0</v>
      </c>
      <c r="AW25">
        <v>2</v>
      </c>
      <c r="AX25">
        <v>145187300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ROUND(Y25*Source!I30,9)</f>
        <v>1.6919999999999999E-3</v>
      </c>
      <c r="CY25">
        <f t="shared" si="12"/>
        <v>130895.6</v>
      </c>
      <c r="CZ25">
        <f t="shared" si="13"/>
        <v>15620</v>
      </c>
      <c r="DA25">
        <f t="shared" si="14"/>
        <v>8.3800000000000008</v>
      </c>
      <c r="DB25">
        <f t="shared" si="15"/>
        <v>7.34</v>
      </c>
      <c r="DC25">
        <f t="shared" si="16"/>
        <v>0</v>
      </c>
      <c r="DD25" t="s">
        <v>3</v>
      </c>
      <c r="DE25" t="s">
        <v>3</v>
      </c>
      <c r="DF25">
        <f t="shared" si="17"/>
        <v>221.48</v>
      </c>
      <c r="DG25">
        <f t="shared" si="18"/>
        <v>0</v>
      </c>
      <c r="DH25">
        <f t="shared" si="19"/>
        <v>0</v>
      </c>
      <c r="DI25">
        <f t="shared" si="5"/>
        <v>0</v>
      </c>
      <c r="DJ25">
        <f t="shared" si="20"/>
        <v>221.48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ROW(Source!A30)</f>
        <v>30</v>
      </c>
      <c r="B26">
        <v>145185703</v>
      </c>
      <c r="C26">
        <v>145187278</v>
      </c>
      <c r="D26">
        <v>140805182</v>
      </c>
      <c r="E26">
        <v>1</v>
      </c>
      <c r="F26">
        <v>1</v>
      </c>
      <c r="G26">
        <v>1</v>
      </c>
      <c r="H26">
        <v>3</v>
      </c>
      <c r="I26" t="s">
        <v>465</v>
      </c>
      <c r="J26" t="s">
        <v>466</v>
      </c>
      <c r="K26" t="s">
        <v>467</v>
      </c>
      <c r="L26">
        <v>1346</v>
      </c>
      <c r="N26">
        <v>1009</v>
      </c>
      <c r="O26" t="s">
        <v>432</v>
      </c>
      <c r="P26" t="s">
        <v>432</v>
      </c>
      <c r="Q26">
        <v>1</v>
      </c>
      <c r="W26">
        <v>0</v>
      </c>
      <c r="X26">
        <v>-1449230318</v>
      </c>
      <c r="Y26">
        <f t="shared" si="11"/>
        <v>0.09</v>
      </c>
      <c r="AA26">
        <v>78.94</v>
      </c>
      <c r="AB26">
        <v>0</v>
      </c>
      <c r="AC26">
        <v>0</v>
      </c>
      <c r="AD26">
        <v>0</v>
      </c>
      <c r="AE26">
        <v>9.42</v>
      </c>
      <c r="AF26">
        <v>0</v>
      </c>
      <c r="AG26">
        <v>0</v>
      </c>
      <c r="AH26">
        <v>0</v>
      </c>
      <c r="AI26">
        <v>8.3800000000000008</v>
      </c>
      <c r="AJ26">
        <v>1</v>
      </c>
      <c r="AK26">
        <v>1</v>
      </c>
      <c r="AL26">
        <v>1</v>
      </c>
      <c r="AM26">
        <v>4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0.09</v>
      </c>
      <c r="AU26" t="s">
        <v>3</v>
      </c>
      <c r="AV26">
        <v>0</v>
      </c>
      <c r="AW26">
        <v>2</v>
      </c>
      <c r="AX26">
        <v>145187301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ROUND(Y26*Source!I30,9)</f>
        <v>0.32400000000000001</v>
      </c>
      <c r="CY26">
        <f t="shared" si="12"/>
        <v>78.94</v>
      </c>
      <c r="CZ26">
        <f t="shared" si="13"/>
        <v>9.42</v>
      </c>
      <c r="DA26">
        <f t="shared" si="14"/>
        <v>8.3800000000000008</v>
      </c>
      <c r="DB26">
        <f t="shared" si="15"/>
        <v>0.85</v>
      </c>
      <c r="DC26">
        <f t="shared" si="16"/>
        <v>0</v>
      </c>
      <c r="DD26" t="s">
        <v>3</v>
      </c>
      <c r="DE26" t="s">
        <v>3</v>
      </c>
      <c r="DF26">
        <f t="shared" si="17"/>
        <v>25.58</v>
      </c>
      <c r="DG26">
        <f t="shared" si="18"/>
        <v>0</v>
      </c>
      <c r="DH26">
        <f t="shared" si="19"/>
        <v>0</v>
      </c>
      <c r="DI26">
        <f t="shared" si="5"/>
        <v>0</v>
      </c>
      <c r="DJ26">
        <f t="shared" si="20"/>
        <v>25.58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ROW(Source!A33)</f>
        <v>33</v>
      </c>
      <c r="B27">
        <v>145185703</v>
      </c>
      <c r="C27">
        <v>145196886</v>
      </c>
      <c r="D27">
        <v>140759979</v>
      </c>
      <c r="E27">
        <v>70</v>
      </c>
      <c r="F27">
        <v>1</v>
      </c>
      <c r="G27">
        <v>1</v>
      </c>
      <c r="H27">
        <v>1</v>
      </c>
      <c r="I27" t="s">
        <v>468</v>
      </c>
      <c r="J27" t="s">
        <v>3</v>
      </c>
      <c r="K27" t="s">
        <v>469</v>
      </c>
      <c r="L27">
        <v>1191</v>
      </c>
      <c r="N27">
        <v>1013</v>
      </c>
      <c r="O27" t="s">
        <v>394</v>
      </c>
      <c r="P27" t="s">
        <v>394</v>
      </c>
      <c r="Q27">
        <v>1</v>
      </c>
      <c r="W27">
        <v>0</v>
      </c>
      <c r="X27">
        <v>1049124552</v>
      </c>
      <c r="Y27">
        <f>(AT27*1.15)</f>
        <v>111.78</v>
      </c>
      <c r="AA27">
        <v>0</v>
      </c>
      <c r="AB27">
        <v>0</v>
      </c>
      <c r="AC27">
        <v>0</v>
      </c>
      <c r="AD27">
        <v>389.91</v>
      </c>
      <c r="AE27">
        <v>0</v>
      </c>
      <c r="AF27">
        <v>0</v>
      </c>
      <c r="AG27">
        <v>0</v>
      </c>
      <c r="AH27">
        <v>8.5299999999999994</v>
      </c>
      <c r="AI27">
        <v>1</v>
      </c>
      <c r="AJ27">
        <v>1</v>
      </c>
      <c r="AK27">
        <v>1</v>
      </c>
      <c r="AL27">
        <v>45.71</v>
      </c>
      <c r="AM27">
        <v>4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97.2</v>
      </c>
      <c r="AU27" t="s">
        <v>43</v>
      </c>
      <c r="AV27">
        <v>1</v>
      </c>
      <c r="AW27">
        <v>2</v>
      </c>
      <c r="AX27">
        <v>145196887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ROUND(Y27*Source!I33,9)</f>
        <v>25.038720000000001</v>
      </c>
      <c r="CY27">
        <f>AD27</f>
        <v>389.91</v>
      </c>
      <c r="CZ27">
        <f>AH27</f>
        <v>8.5299999999999994</v>
      </c>
      <c r="DA27">
        <f>AL27</f>
        <v>45.71</v>
      </c>
      <c r="DB27">
        <f>ROUND((ROUND(AT27*CZ27,2)*1.15),2)</f>
        <v>953.49</v>
      </c>
      <c r="DC27">
        <f>ROUND((ROUND(AT27*AG27,2)*1.15),2)</f>
        <v>0</v>
      </c>
      <c r="DD27" t="s">
        <v>3</v>
      </c>
      <c r="DE27" t="s">
        <v>3</v>
      </c>
      <c r="DF27">
        <f>ROUND(ROUND(AE27,2)*CX27,2)</f>
        <v>0</v>
      </c>
      <c r="DG27">
        <f t="shared" si="18"/>
        <v>0</v>
      </c>
      <c r="DH27">
        <f t="shared" si="19"/>
        <v>0</v>
      </c>
      <c r="DI27">
        <f>ROUND(ROUND(AH27*AL27,2)*CX27,2)</f>
        <v>9762.85</v>
      </c>
      <c r="DJ27">
        <f>DI27</f>
        <v>9762.85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ROW(Source!A33)</f>
        <v>33</v>
      </c>
      <c r="B28">
        <v>145185703</v>
      </c>
      <c r="C28">
        <v>145196886</v>
      </c>
      <c r="D28">
        <v>140760225</v>
      </c>
      <c r="E28">
        <v>70</v>
      </c>
      <c r="F28">
        <v>1</v>
      </c>
      <c r="G28">
        <v>1</v>
      </c>
      <c r="H28">
        <v>1</v>
      </c>
      <c r="I28" t="s">
        <v>403</v>
      </c>
      <c r="J28" t="s">
        <v>3</v>
      </c>
      <c r="K28" t="s">
        <v>404</v>
      </c>
      <c r="L28">
        <v>1191</v>
      </c>
      <c r="N28">
        <v>1013</v>
      </c>
      <c r="O28" t="s">
        <v>394</v>
      </c>
      <c r="P28" t="s">
        <v>394</v>
      </c>
      <c r="Q28">
        <v>1</v>
      </c>
      <c r="W28">
        <v>0</v>
      </c>
      <c r="X28">
        <v>-1417349443</v>
      </c>
      <c r="Y28">
        <f>(AT28*1.25)</f>
        <v>0.33750000000000002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45.71</v>
      </c>
      <c r="AL28">
        <v>1</v>
      </c>
      <c r="AM28">
        <v>4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0.27</v>
      </c>
      <c r="AU28" t="s">
        <v>42</v>
      </c>
      <c r="AV28">
        <v>2</v>
      </c>
      <c r="AW28">
        <v>2</v>
      </c>
      <c r="AX28">
        <v>145196888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ROUND(Y28*Source!I33,9)</f>
        <v>7.5600000000000001E-2</v>
      </c>
      <c r="CY28">
        <f>AD28</f>
        <v>0</v>
      </c>
      <c r="CZ28">
        <f>AH28</f>
        <v>0</v>
      </c>
      <c r="DA28">
        <f>AL28</f>
        <v>1</v>
      </c>
      <c r="DB28">
        <f>ROUND((ROUND(AT28*CZ28,2)*1.25),2)</f>
        <v>0</v>
      </c>
      <c r="DC28">
        <f>ROUND((ROUND(AT28*AG28,2)*1.25),2)</f>
        <v>0</v>
      </c>
      <c r="DD28" t="s">
        <v>3</v>
      </c>
      <c r="DE28" t="s">
        <v>3</v>
      </c>
      <c r="DF28">
        <f>ROUND(ROUND(AE28,2)*CX28,2)</f>
        <v>0</v>
      </c>
      <c r="DG28">
        <f t="shared" si="18"/>
        <v>0</v>
      </c>
      <c r="DH28">
        <f>ROUND(ROUND(AG28*AK28,2)*CX28,2)</f>
        <v>0</v>
      </c>
      <c r="DI28">
        <f t="shared" ref="DI28:DI33" si="21">ROUND(ROUND(AH28,2)*CX28,2)</f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ROW(Source!A33)</f>
        <v>33</v>
      </c>
      <c r="B29">
        <v>145185703</v>
      </c>
      <c r="C29">
        <v>145196886</v>
      </c>
      <c r="D29">
        <v>140922893</v>
      </c>
      <c r="E29">
        <v>1</v>
      </c>
      <c r="F29">
        <v>1</v>
      </c>
      <c r="G29">
        <v>1</v>
      </c>
      <c r="H29">
        <v>2</v>
      </c>
      <c r="I29" t="s">
        <v>470</v>
      </c>
      <c r="J29" t="s">
        <v>471</v>
      </c>
      <c r="K29" t="s">
        <v>472</v>
      </c>
      <c r="L29">
        <v>1367</v>
      </c>
      <c r="N29">
        <v>1011</v>
      </c>
      <c r="O29" t="s">
        <v>398</v>
      </c>
      <c r="P29" t="s">
        <v>398</v>
      </c>
      <c r="Q29">
        <v>1</v>
      </c>
      <c r="W29">
        <v>0</v>
      </c>
      <c r="X29">
        <v>-130837057</v>
      </c>
      <c r="Y29">
        <f>(AT29*1.25)</f>
        <v>0.25</v>
      </c>
      <c r="AA29">
        <v>0</v>
      </c>
      <c r="AB29">
        <v>1158.6199999999999</v>
      </c>
      <c r="AC29">
        <v>617.09</v>
      </c>
      <c r="AD29">
        <v>0</v>
      </c>
      <c r="AE29">
        <v>0</v>
      </c>
      <c r="AF29">
        <v>86.4</v>
      </c>
      <c r="AG29">
        <v>13.5</v>
      </c>
      <c r="AH29">
        <v>0</v>
      </c>
      <c r="AI29">
        <v>1</v>
      </c>
      <c r="AJ29">
        <v>13.41</v>
      </c>
      <c r="AK29">
        <v>45.71</v>
      </c>
      <c r="AL29">
        <v>1</v>
      </c>
      <c r="AM29">
        <v>4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0.2</v>
      </c>
      <c r="AU29" t="s">
        <v>42</v>
      </c>
      <c r="AV29">
        <v>0</v>
      </c>
      <c r="AW29">
        <v>2</v>
      </c>
      <c r="AX29">
        <v>145196889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ROUND(Y29*Source!I33,9)</f>
        <v>5.6000000000000001E-2</v>
      </c>
      <c r="CY29">
        <f>AB29</f>
        <v>1158.6199999999999</v>
      </c>
      <c r="CZ29">
        <f>AF29</f>
        <v>86.4</v>
      </c>
      <c r="DA29">
        <f>AJ29</f>
        <v>13.41</v>
      </c>
      <c r="DB29">
        <f>ROUND((ROUND(AT29*CZ29,2)*1.25),2)</f>
        <v>21.6</v>
      </c>
      <c r="DC29">
        <f>ROUND((ROUND(AT29*AG29,2)*1.25),2)</f>
        <v>3.38</v>
      </c>
      <c r="DD29" t="s">
        <v>3</v>
      </c>
      <c r="DE29" t="s">
        <v>3</v>
      </c>
      <c r="DF29">
        <f>ROUND(ROUND(AE29,2)*CX29,2)</f>
        <v>0</v>
      </c>
      <c r="DG29">
        <f>ROUND(ROUND(AF29*AJ29,2)*CX29,2)</f>
        <v>64.88</v>
      </c>
      <c r="DH29">
        <f>ROUND(ROUND(AG29*AK29,2)*CX29,2)</f>
        <v>34.56</v>
      </c>
      <c r="DI29">
        <f t="shared" si="21"/>
        <v>0</v>
      </c>
      <c r="DJ29">
        <f>DG29</f>
        <v>64.88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ROW(Source!A33)</f>
        <v>33</v>
      </c>
      <c r="B30">
        <v>145185703</v>
      </c>
      <c r="C30">
        <v>145196886</v>
      </c>
      <c r="D30">
        <v>140923885</v>
      </c>
      <c r="E30">
        <v>1</v>
      </c>
      <c r="F30">
        <v>1</v>
      </c>
      <c r="G30">
        <v>1</v>
      </c>
      <c r="H30">
        <v>2</v>
      </c>
      <c r="I30" t="s">
        <v>417</v>
      </c>
      <c r="J30" t="s">
        <v>418</v>
      </c>
      <c r="K30" t="s">
        <v>419</v>
      </c>
      <c r="L30">
        <v>1367</v>
      </c>
      <c r="N30">
        <v>1011</v>
      </c>
      <c r="O30" t="s">
        <v>398</v>
      </c>
      <c r="P30" t="s">
        <v>398</v>
      </c>
      <c r="Q30">
        <v>1</v>
      </c>
      <c r="W30">
        <v>0</v>
      </c>
      <c r="X30">
        <v>509054691</v>
      </c>
      <c r="Y30">
        <f>(AT30*1.25)</f>
        <v>8.7500000000000008E-2</v>
      </c>
      <c r="AA30">
        <v>0</v>
      </c>
      <c r="AB30">
        <v>881.17</v>
      </c>
      <c r="AC30">
        <v>530.24</v>
      </c>
      <c r="AD30">
        <v>0</v>
      </c>
      <c r="AE30">
        <v>0</v>
      </c>
      <c r="AF30">
        <v>65.709999999999994</v>
      </c>
      <c r="AG30">
        <v>11.6</v>
      </c>
      <c r="AH30">
        <v>0</v>
      </c>
      <c r="AI30">
        <v>1</v>
      </c>
      <c r="AJ30">
        <v>13.41</v>
      </c>
      <c r="AK30">
        <v>45.71</v>
      </c>
      <c r="AL30">
        <v>1</v>
      </c>
      <c r="AM30">
        <v>4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7.0000000000000007E-2</v>
      </c>
      <c r="AU30" t="s">
        <v>42</v>
      </c>
      <c r="AV30">
        <v>0</v>
      </c>
      <c r="AW30">
        <v>2</v>
      </c>
      <c r="AX30">
        <v>145196890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ROUND(Y30*Source!I33,9)</f>
        <v>1.9599999999999999E-2</v>
      </c>
      <c r="CY30">
        <f>AB30</f>
        <v>881.17</v>
      </c>
      <c r="CZ30">
        <f>AF30</f>
        <v>65.709999999999994</v>
      </c>
      <c r="DA30">
        <f>AJ30</f>
        <v>13.41</v>
      </c>
      <c r="DB30">
        <f>ROUND((ROUND(AT30*CZ30,2)*1.25),2)</f>
        <v>5.75</v>
      </c>
      <c r="DC30">
        <f>ROUND((ROUND(AT30*AG30,2)*1.25),2)</f>
        <v>1.01</v>
      </c>
      <c r="DD30" t="s">
        <v>3</v>
      </c>
      <c r="DE30" t="s">
        <v>3</v>
      </c>
      <c r="DF30">
        <f>ROUND(ROUND(AE30,2)*CX30,2)</f>
        <v>0</v>
      </c>
      <c r="DG30">
        <f>ROUND(ROUND(AF30*AJ30,2)*CX30,2)</f>
        <v>17.27</v>
      </c>
      <c r="DH30">
        <f>ROUND(ROUND(AG30*AK30,2)*CX30,2)</f>
        <v>10.39</v>
      </c>
      <c r="DI30">
        <f t="shared" si="21"/>
        <v>0</v>
      </c>
      <c r="DJ30">
        <f>DG30</f>
        <v>17.27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ROW(Source!A33)</f>
        <v>33</v>
      </c>
      <c r="B31">
        <v>145185703</v>
      </c>
      <c r="C31">
        <v>145196886</v>
      </c>
      <c r="D31">
        <v>140775136</v>
      </c>
      <c r="E31">
        <v>1</v>
      </c>
      <c r="F31">
        <v>1</v>
      </c>
      <c r="G31">
        <v>1</v>
      </c>
      <c r="H31">
        <v>3</v>
      </c>
      <c r="I31" t="s">
        <v>473</v>
      </c>
      <c r="J31" t="s">
        <v>474</v>
      </c>
      <c r="K31" t="s">
        <v>475</v>
      </c>
      <c r="L31">
        <v>1348</v>
      </c>
      <c r="N31">
        <v>1009</v>
      </c>
      <c r="O31" t="s">
        <v>21</v>
      </c>
      <c r="P31" t="s">
        <v>21</v>
      </c>
      <c r="Q31">
        <v>1000</v>
      </c>
      <c r="W31">
        <v>0</v>
      </c>
      <c r="X31">
        <v>-384732532</v>
      </c>
      <c r="Y31">
        <f>(AT31*0)</f>
        <v>0</v>
      </c>
      <c r="AA31">
        <v>71020.5</v>
      </c>
      <c r="AB31">
        <v>0</v>
      </c>
      <c r="AC31">
        <v>0</v>
      </c>
      <c r="AD31">
        <v>0</v>
      </c>
      <c r="AE31">
        <v>8475</v>
      </c>
      <c r="AF31">
        <v>0</v>
      </c>
      <c r="AG31">
        <v>0</v>
      </c>
      <c r="AH31">
        <v>0</v>
      </c>
      <c r="AI31">
        <v>8.3800000000000008</v>
      </c>
      <c r="AJ31">
        <v>1</v>
      </c>
      <c r="AK31">
        <v>1</v>
      </c>
      <c r="AL31">
        <v>1</v>
      </c>
      <c r="AM31">
        <v>4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4.0000000000000001E-3</v>
      </c>
      <c r="AU31" t="s">
        <v>64</v>
      </c>
      <c r="AV31">
        <v>0</v>
      </c>
      <c r="AW31">
        <v>2</v>
      </c>
      <c r="AX31">
        <v>145196891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ROUND(Y31*Source!I33,9)</f>
        <v>0</v>
      </c>
      <c r="CY31">
        <f>AA31</f>
        <v>71020.5</v>
      </c>
      <c r="CZ31">
        <f>AE31</f>
        <v>8475</v>
      </c>
      <c r="DA31">
        <f>AI31</f>
        <v>8.3800000000000008</v>
      </c>
      <c r="DB31">
        <f>ROUND((ROUND(AT31*CZ31,2)*0),2)</f>
        <v>0</v>
      </c>
      <c r="DC31">
        <f>ROUND((ROUND(AT31*AG31,2)*0),2)</f>
        <v>0</v>
      </c>
      <c r="DD31" t="s">
        <v>3</v>
      </c>
      <c r="DE31" t="s">
        <v>3</v>
      </c>
      <c r="DF31">
        <f>ROUND(ROUND(AE31*AI31,2)*CX31,2)</f>
        <v>0</v>
      </c>
      <c r="DG31">
        <f>ROUND(ROUND(AF31,2)*CX31,2)</f>
        <v>0</v>
      </c>
      <c r="DH31">
        <f>ROUND(ROUND(AG31,2)*CX31,2)</f>
        <v>0</v>
      </c>
      <c r="DI31">
        <f t="shared" si="21"/>
        <v>0</v>
      </c>
      <c r="DJ31">
        <f>DF31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ROW(Source!A33)</f>
        <v>33</v>
      </c>
      <c r="B32">
        <v>145185703</v>
      </c>
      <c r="C32">
        <v>145196886</v>
      </c>
      <c r="D32">
        <v>140792325</v>
      </c>
      <c r="E32">
        <v>1</v>
      </c>
      <c r="F32">
        <v>1</v>
      </c>
      <c r="G32">
        <v>1</v>
      </c>
      <c r="H32">
        <v>3</v>
      </c>
      <c r="I32" t="s">
        <v>476</v>
      </c>
      <c r="J32" t="s">
        <v>477</v>
      </c>
      <c r="K32" t="s">
        <v>478</v>
      </c>
      <c r="L32">
        <v>1348</v>
      </c>
      <c r="N32">
        <v>1009</v>
      </c>
      <c r="O32" t="s">
        <v>21</v>
      </c>
      <c r="P32" t="s">
        <v>21</v>
      </c>
      <c r="Q32">
        <v>1000</v>
      </c>
      <c r="W32">
        <v>0</v>
      </c>
      <c r="X32">
        <v>-581832824</v>
      </c>
      <c r="Y32">
        <f>(AT32*0)</f>
        <v>0</v>
      </c>
      <c r="AA32">
        <v>68632.2</v>
      </c>
      <c r="AB32">
        <v>0</v>
      </c>
      <c r="AC32">
        <v>0</v>
      </c>
      <c r="AD32">
        <v>0</v>
      </c>
      <c r="AE32">
        <v>8190</v>
      </c>
      <c r="AF32">
        <v>0</v>
      </c>
      <c r="AG32">
        <v>0</v>
      </c>
      <c r="AH32">
        <v>0</v>
      </c>
      <c r="AI32">
        <v>8.3800000000000008</v>
      </c>
      <c r="AJ32">
        <v>1</v>
      </c>
      <c r="AK32">
        <v>1</v>
      </c>
      <c r="AL32">
        <v>1</v>
      </c>
      <c r="AM32">
        <v>4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1.2E-2</v>
      </c>
      <c r="AU32" t="s">
        <v>64</v>
      </c>
      <c r="AV32">
        <v>0</v>
      </c>
      <c r="AW32">
        <v>2</v>
      </c>
      <c r="AX32">
        <v>145196892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ROUND(Y32*Source!I33,9)</f>
        <v>0</v>
      </c>
      <c r="CY32">
        <f>AA32</f>
        <v>68632.2</v>
      </c>
      <c r="CZ32">
        <f>AE32</f>
        <v>8190</v>
      </c>
      <c r="DA32">
        <f>AI32</f>
        <v>8.3800000000000008</v>
      </c>
      <c r="DB32">
        <f>ROUND((ROUND(AT32*CZ32,2)*0),2)</f>
        <v>0</v>
      </c>
      <c r="DC32">
        <f>ROUND((ROUND(AT32*AG32,2)*0),2)</f>
        <v>0</v>
      </c>
      <c r="DD32" t="s">
        <v>3</v>
      </c>
      <c r="DE32" t="s">
        <v>3</v>
      </c>
      <c r="DF32">
        <f>ROUND(ROUND(AE32*AI32,2)*CX32,2)</f>
        <v>0</v>
      </c>
      <c r="DG32">
        <f>ROUND(ROUND(AF32,2)*CX32,2)</f>
        <v>0</v>
      </c>
      <c r="DH32">
        <f>ROUND(ROUND(AG32,2)*CX32,2)</f>
        <v>0</v>
      </c>
      <c r="DI32">
        <f t="shared" si="21"/>
        <v>0</v>
      </c>
      <c r="DJ32">
        <f>DF32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ROW(Source!A33)</f>
        <v>33</v>
      </c>
      <c r="B33">
        <v>145185703</v>
      </c>
      <c r="C33">
        <v>145196886</v>
      </c>
      <c r="D33">
        <v>140792570</v>
      </c>
      <c r="E33">
        <v>1</v>
      </c>
      <c r="F33">
        <v>1</v>
      </c>
      <c r="G33">
        <v>1</v>
      </c>
      <c r="H33">
        <v>3</v>
      </c>
      <c r="I33" t="s">
        <v>84</v>
      </c>
      <c r="J33" t="s">
        <v>86</v>
      </c>
      <c r="K33" t="s">
        <v>85</v>
      </c>
      <c r="L33">
        <v>1348</v>
      </c>
      <c r="N33">
        <v>1009</v>
      </c>
      <c r="O33" t="s">
        <v>21</v>
      </c>
      <c r="P33" t="s">
        <v>21</v>
      </c>
      <c r="Q33">
        <v>1000</v>
      </c>
      <c r="W33">
        <v>0</v>
      </c>
      <c r="X33">
        <v>-509681559</v>
      </c>
      <c r="Y33">
        <f>(AT33*0)</f>
        <v>0</v>
      </c>
      <c r="AA33">
        <v>93856</v>
      </c>
      <c r="AB33">
        <v>0</v>
      </c>
      <c r="AC33">
        <v>0</v>
      </c>
      <c r="AD33">
        <v>0</v>
      </c>
      <c r="AE33">
        <v>11200</v>
      </c>
      <c r="AF33">
        <v>0</v>
      </c>
      <c r="AG33">
        <v>0</v>
      </c>
      <c r="AH33">
        <v>0</v>
      </c>
      <c r="AI33">
        <v>8.3800000000000008</v>
      </c>
      <c r="AJ33">
        <v>1</v>
      </c>
      <c r="AK33">
        <v>1</v>
      </c>
      <c r="AL33">
        <v>1</v>
      </c>
      <c r="AM33">
        <v>4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0.56999999999999995</v>
      </c>
      <c r="AU33" t="s">
        <v>64</v>
      </c>
      <c r="AV33">
        <v>0</v>
      </c>
      <c r="AW33">
        <v>2</v>
      </c>
      <c r="AX33">
        <v>145196893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ROUND(Y33*Source!I33,9)</f>
        <v>0</v>
      </c>
      <c r="CY33">
        <f>AA33</f>
        <v>93856</v>
      </c>
      <c r="CZ33">
        <f>AE33</f>
        <v>11200</v>
      </c>
      <c r="DA33">
        <f>AI33</f>
        <v>8.3800000000000008</v>
      </c>
      <c r="DB33">
        <f>ROUND((ROUND(AT33*CZ33,2)*0),2)</f>
        <v>0</v>
      </c>
      <c r="DC33">
        <f>ROUND((ROUND(AT33*AG33,2)*0),2)</f>
        <v>0</v>
      </c>
      <c r="DD33" t="s">
        <v>3</v>
      </c>
      <c r="DE33" t="s">
        <v>3</v>
      </c>
      <c r="DF33">
        <f>ROUND(ROUND(AE33*AI33,2)*CX33,2)</f>
        <v>0</v>
      </c>
      <c r="DG33">
        <f>ROUND(ROUND(AF33,2)*CX33,2)</f>
        <v>0</v>
      </c>
      <c r="DH33">
        <f>ROUND(ROUND(AG33,2)*CX33,2)</f>
        <v>0</v>
      </c>
      <c r="DI33">
        <f t="shared" si="21"/>
        <v>0</v>
      </c>
      <c r="DJ33">
        <f>DF33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ROW(Source!A37)</f>
        <v>37</v>
      </c>
      <c r="B34">
        <v>145185703</v>
      </c>
      <c r="C34">
        <v>145196922</v>
      </c>
      <c r="D34">
        <v>140759979</v>
      </c>
      <c r="E34">
        <v>70</v>
      </c>
      <c r="F34">
        <v>1</v>
      </c>
      <c r="G34">
        <v>1</v>
      </c>
      <c r="H34">
        <v>1</v>
      </c>
      <c r="I34" t="s">
        <v>468</v>
      </c>
      <c r="J34" t="s">
        <v>3</v>
      </c>
      <c r="K34" t="s">
        <v>469</v>
      </c>
      <c r="L34">
        <v>1191</v>
      </c>
      <c r="N34">
        <v>1013</v>
      </c>
      <c r="O34" t="s">
        <v>394</v>
      </c>
      <c r="P34" t="s">
        <v>394</v>
      </c>
      <c r="Q34">
        <v>1</v>
      </c>
      <c r="W34">
        <v>0</v>
      </c>
      <c r="X34">
        <v>1049124552</v>
      </c>
      <c r="Y34">
        <f>(AT34*1.15)</f>
        <v>31.97</v>
      </c>
      <c r="AA34">
        <v>0</v>
      </c>
      <c r="AB34">
        <v>0</v>
      </c>
      <c r="AC34">
        <v>0</v>
      </c>
      <c r="AD34">
        <v>389.91</v>
      </c>
      <c r="AE34">
        <v>0</v>
      </c>
      <c r="AF34">
        <v>0</v>
      </c>
      <c r="AG34">
        <v>0</v>
      </c>
      <c r="AH34">
        <v>8.5299999999999994</v>
      </c>
      <c r="AI34">
        <v>1</v>
      </c>
      <c r="AJ34">
        <v>1</v>
      </c>
      <c r="AK34">
        <v>1</v>
      </c>
      <c r="AL34">
        <v>45.71</v>
      </c>
      <c r="AM34">
        <v>4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27.8</v>
      </c>
      <c r="AU34" t="s">
        <v>43</v>
      </c>
      <c r="AV34">
        <v>1</v>
      </c>
      <c r="AW34">
        <v>2</v>
      </c>
      <c r="AX34">
        <v>145196923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ROUND(Y34*Source!I37,9)</f>
        <v>15.984999999999999</v>
      </c>
      <c r="CY34">
        <f>AD34</f>
        <v>389.91</v>
      </c>
      <c r="CZ34">
        <f>AH34</f>
        <v>8.5299999999999994</v>
      </c>
      <c r="DA34">
        <f>AL34</f>
        <v>45.71</v>
      </c>
      <c r="DB34">
        <f>ROUND((ROUND(AT34*CZ34,2)*1.15),2)</f>
        <v>272.7</v>
      </c>
      <c r="DC34">
        <f>ROUND((ROUND(AT34*AG34,2)*1.15),2)</f>
        <v>0</v>
      </c>
      <c r="DD34" t="s">
        <v>3</v>
      </c>
      <c r="DE34" t="s">
        <v>3</v>
      </c>
      <c r="DF34">
        <f>ROUND(ROUND(AE34,2)*CX34,2)</f>
        <v>0</v>
      </c>
      <c r="DG34">
        <f>ROUND(ROUND(AF34,2)*CX34,2)</f>
        <v>0</v>
      </c>
      <c r="DH34">
        <f>ROUND(ROUND(AG34,2)*CX34,2)</f>
        <v>0</v>
      </c>
      <c r="DI34">
        <f>ROUND(ROUND(AH34*AL34,2)*CX34,2)</f>
        <v>6232.71</v>
      </c>
      <c r="DJ34">
        <f>DI34</f>
        <v>6232.71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ROW(Source!A37)</f>
        <v>37</v>
      </c>
      <c r="B35">
        <v>145185703</v>
      </c>
      <c r="C35">
        <v>145196922</v>
      </c>
      <c r="D35">
        <v>140760225</v>
      </c>
      <c r="E35">
        <v>70</v>
      </c>
      <c r="F35">
        <v>1</v>
      </c>
      <c r="G35">
        <v>1</v>
      </c>
      <c r="H35">
        <v>1</v>
      </c>
      <c r="I35" t="s">
        <v>403</v>
      </c>
      <c r="J35" t="s">
        <v>3</v>
      </c>
      <c r="K35" t="s">
        <v>404</v>
      </c>
      <c r="L35">
        <v>1191</v>
      </c>
      <c r="N35">
        <v>1013</v>
      </c>
      <c r="O35" t="s">
        <v>394</v>
      </c>
      <c r="P35" t="s">
        <v>394</v>
      </c>
      <c r="Q35">
        <v>1</v>
      </c>
      <c r="W35">
        <v>0</v>
      </c>
      <c r="X35">
        <v>-1417349443</v>
      </c>
      <c r="Y35">
        <f>(AT35*1.25)</f>
        <v>0.3125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45.71</v>
      </c>
      <c r="AL35">
        <v>1</v>
      </c>
      <c r="AM35">
        <v>4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0.25</v>
      </c>
      <c r="AU35" t="s">
        <v>42</v>
      </c>
      <c r="AV35">
        <v>2</v>
      </c>
      <c r="AW35">
        <v>2</v>
      </c>
      <c r="AX35">
        <v>145196924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ROUND(Y35*Source!I37,9)</f>
        <v>0.15625</v>
      </c>
      <c r="CY35">
        <f>AD35</f>
        <v>0</v>
      </c>
      <c r="CZ35">
        <f>AH35</f>
        <v>0</v>
      </c>
      <c r="DA35">
        <f>AL35</f>
        <v>1</v>
      </c>
      <c r="DB35">
        <f>ROUND((ROUND(AT35*CZ35,2)*1.25),2)</f>
        <v>0</v>
      </c>
      <c r="DC35">
        <f>ROUND((ROUND(AT35*AG35,2)*1.25),2)</f>
        <v>0</v>
      </c>
      <c r="DD35" t="s">
        <v>3</v>
      </c>
      <c r="DE35" t="s">
        <v>3</v>
      </c>
      <c r="DF35">
        <f>ROUND(ROUND(AE35,2)*CX35,2)</f>
        <v>0</v>
      </c>
      <c r="DG35">
        <f>ROUND(ROUND(AF35,2)*CX35,2)</f>
        <v>0</v>
      </c>
      <c r="DH35">
        <f>ROUND(ROUND(AG35*AK35,2)*CX35,2)</f>
        <v>0</v>
      </c>
      <c r="DI35">
        <f t="shared" ref="DI35:DI41" si="22">ROUND(ROUND(AH35,2)*CX35,2)</f>
        <v>0</v>
      </c>
      <c r="DJ35">
        <f>DI35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ROW(Source!A37)</f>
        <v>37</v>
      </c>
      <c r="B36">
        <v>145185703</v>
      </c>
      <c r="C36">
        <v>145196922</v>
      </c>
      <c r="D36">
        <v>140922893</v>
      </c>
      <c r="E36">
        <v>1</v>
      </c>
      <c r="F36">
        <v>1</v>
      </c>
      <c r="G36">
        <v>1</v>
      </c>
      <c r="H36">
        <v>2</v>
      </c>
      <c r="I36" t="s">
        <v>470</v>
      </c>
      <c r="J36" t="s">
        <v>471</v>
      </c>
      <c r="K36" t="s">
        <v>472</v>
      </c>
      <c r="L36">
        <v>1367</v>
      </c>
      <c r="N36">
        <v>1011</v>
      </c>
      <c r="O36" t="s">
        <v>398</v>
      </c>
      <c r="P36" t="s">
        <v>398</v>
      </c>
      <c r="Q36">
        <v>1</v>
      </c>
      <c r="W36">
        <v>0</v>
      </c>
      <c r="X36">
        <v>-130837057</v>
      </c>
      <c r="Y36">
        <f>(AT36*1.25)</f>
        <v>0.13750000000000001</v>
      </c>
      <c r="AA36">
        <v>0</v>
      </c>
      <c r="AB36">
        <v>1158.6199999999999</v>
      </c>
      <c r="AC36">
        <v>617.09</v>
      </c>
      <c r="AD36">
        <v>0</v>
      </c>
      <c r="AE36">
        <v>0</v>
      </c>
      <c r="AF36">
        <v>86.4</v>
      </c>
      <c r="AG36">
        <v>13.5</v>
      </c>
      <c r="AH36">
        <v>0</v>
      </c>
      <c r="AI36">
        <v>1</v>
      </c>
      <c r="AJ36">
        <v>13.41</v>
      </c>
      <c r="AK36">
        <v>45.71</v>
      </c>
      <c r="AL36">
        <v>1</v>
      </c>
      <c r="AM36">
        <v>4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0.11</v>
      </c>
      <c r="AU36" t="s">
        <v>42</v>
      </c>
      <c r="AV36">
        <v>0</v>
      </c>
      <c r="AW36">
        <v>2</v>
      </c>
      <c r="AX36">
        <v>145196925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ROUND(Y36*Source!I37,9)</f>
        <v>6.8750000000000006E-2</v>
      </c>
      <c r="CY36">
        <f>AB36</f>
        <v>1158.6199999999999</v>
      </c>
      <c r="CZ36">
        <f>AF36</f>
        <v>86.4</v>
      </c>
      <c r="DA36">
        <f>AJ36</f>
        <v>13.41</v>
      </c>
      <c r="DB36">
        <f>ROUND((ROUND(AT36*CZ36,2)*1.25),2)</f>
        <v>11.88</v>
      </c>
      <c r="DC36">
        <f>ROUND((ROUND(AT36*AG36,2)*1.25),2)</f>
        <v>1.86</v>
      </c>
      <c r="DD36" t="s">
        <v>3</v>
      </c>
      <c r="DE36" t="s">
        <v>3</v>
      </c>
      <c r="DF36">
        <f>ROUND(ROUND(AE36,2)*CX36,2)</f>
        <v>0</v>
      </c>
      <c r="DG36">
        <f>ROUND(ROUND(AF36*AJ36,2)*CX36,2)</f>
        <v>79.66</v>
      </c>
      <c r="DH36">
        <f>ROUND(ROUND(AG36*AK36,2)*CX36,2)</f>
        <v>42.42</v>
      </c>
      <c r="DI36">
        <f t="shared" si="22"/>
        <v>0</v>
      </c>
      <c r="DJ36">
        <f>DG36</f>
        <v>79.66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ROW(Source!A37)</f>
        <v>37</v>
      </c>
      <c r="B37">
        <v>145185703</v>
      </c>
      <c r="C37">
        <v>145196922</v>
      </c>
      <c r="D37">
        <v>140922951</v>
      </c>
      <c r="E37">
        <v>1</v>
      </c>
      <c r="F37">
        <v>1</v>
      </c>
      <c r="G37">
        <v>1</v>
      </c>
      <c r="H37">
        <v>2</v>
      </c>
      <c r="I37" t="s">
        <v>408</v>
      </c>
      <c r="J37" t="s">
        <v>409</v>
      </c>
      <c r="K37" t="s">
        <v>410</v>
      </c>
      <c r="L37">
        <v>1367</v>
      </c>
      <c r="N37">
        <v>1011</v>
      </c>
      <c r="O37" t="s">
        <v>398</v>
      </c>
      <c r="P37" t="s">
        <v>398</v>
      </c>
      <c r="Q37">
        <v>1</v>
      </c>
      <c r="W37">
        <v>0</v>
      </c>
      <c r="X37">
        <v>-430484415</v>
      </c>
      <c r="Y37">
        <f>(AT37*1.25)</f>
        <v>6.25E-2</v>
      </c>
      <c r="AA37">
        <v>0</v>
      </c>
      <c r="AB37">
        <v>1547.51</v>
      </c>
      <c r="AC37">
        <v>617.09</v>
      </c>
      <c r="AD37">
        <v>0</v>
      </c>
      <c r="AE37">
        <v>0</v>
      </c>
      <c r="AF37">
        <v>115.4</v>
      </c>
      <c r="AG37">
        <v>13.5</v>
      </c>
      <c r="AH37">
        <v>0</v>
      </c>
      <c r="AI37">
        <v>1</v>
      </c>
      <c r="AJ37">
        <v>13.41</v>
      </c>
      <c r="AK37">
        <v>45.71</v>
      </c>
      <c r="AL37">
        <v>1</v>
      </c>
      <c r="AM37">
        <v>4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0.05</v>
      </c>
      <c r="AU37" t="s">
        <v>42</v>
      </c>
      <c r="AV37">
        <v>0</v>
      </c>
      <c r="AW37">
        <v>2</v>
      </c>
      <c r="AX37">
        <v>145196926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ROUND(Y37*Source!I37,9)</f>
        <v>3.125E-2</v>
      </c>
      <c r="CY37">
        <f>AB37</f>
        <v>1547.51</v>
      </c>
      <c r="CZ37">
        <f>AF37</f>
        <v>115.4</v>
      </c>
      <c r="DA37">
        <f>AJ37</f>
        <v>13.41</v>
      </c>
      <c r="DB37">
        <f>ROUND((ROUND(AT37*CZ37,2)*1.25),2)</f>
        <v>7.21</v>
      </c>
      <c r="DC37">
        <f>ROUND((ROUND(AT37*AG37,2)*1.25),2)</f>
        <v>0.85</v>
      </c>
      <c r="DD37" t="s">
        <v>3</v>
      </c>
      <c r="DE37" t="s">
        <v>3</v>
      </c>
      <c r="DF37">
        <f>ROUND(ROUND(AE37,2)*CX37,2)</f>
        <v>0</v>
      </c>
      <c r="DG37">
        <f>ROUND(ROUND(AF37*AJ37,2)*CX37,2)</f>
        <v>48.36</v>
      </c>
      <c r="DH37">
        <f>ROUND(ROUND(AG37*AK37,2)*CX37,2)</f>
        <v>19.28</v>
      </c>
      <c r="DI37">
        <f t="shared" si="22"/>
        <v>0</v>
      </c>
      <c r="DJ37">
        <f>DG37</f>
        <v>48.36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ROW(Source!A37)</f>
        <v>37</v>
      </c>
      <c r="B38">
        <v>145185703</v>
      </c>
      <c r="C38">
        <v>145196922</v>
      </c>
      <c r="D38">
        <v>140923885</v>
      </c>
      <c r="E38">
        <v>1</v>
      </c>
      <c r="F38">
        <v>1</v>
      </c>
      <c r="G38">
        <v>1</v>
      </c>
      <c r="H38">
        <v>2</v>
      </c>
      <c r="I38" t="s">
        <v>417</v>
      </c>
      <c r="J38" t="s">
        <v>418</v>
      </c>
      <c r="K38" t="s">
        <v>419</v>
      </c>
      <c r="L38">
        <v>1367</v>
      </c>
      <c r="N38">
        <v>1011</v>
      </c>
      <c r="O38" t="s">
        <v>398</v>
      </c>
      <c r="P38" t="s">
        <v>398</v>
      </c>
      <c r="Q38">
        <v>1</v>
      </c>
      <c r="W38">
        <v>0</v>
      </c>
      <c r="X38">
        <v>509054691</v>
      </c>
      <c r="Y38">
        <f>(AT38*1.25)</f>
        <v>0.11249999999999999</v>
      </c>
      <c r="AA38">
        <v>0</v>
      </c>
      <c r="AB38">
        <v>881.17</v>
      </c>
      <c r="AC38">
        <v>530.24</v>
      </c>
      <c r="AD38">
        <v>0</v>
      </c>
      <c r="AE38">
        <v>0</v>
      </c>
      <c r="AF38">
        <v>65.709999999999994</v>
      </c>
      <c r="AG38">
        <v>11.6</v>
      </c>
      <c r="AH38">
        <v>0</v>
      </c>
      <c r="AI38">
        <v>1</v>
      </c>
      <c r="AJ38">
        <v>13.41</v>
      </c>
      <c r="AK38">
        <v>45.71</v>
      </c>
      <c r="AL38">
        <v>1</v>
      </c>
      <c r="AM38">
        <v>4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0.09</v>
      </c>
      <c r="AU38" t="s">
        <v>42</v>
      </c>
      <c r="AV38">
        <v>0</v>
      </c>
      <c r="AW38">
        <v>2</v>
      </c>
      <c r="AX38">
        <v>145196927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ROUND(Y38*Source!I37,9)</f>
        <v>5.6250000000000001E-2</v>
      </c>
      <c r="CY38">
        <f>AB38</f>
        <v>881.17</v>
      </c>
      <c r="CZ38">
        <f>AF38</f>
        <v>65.709999999999994</v>
      </c>
      <c r="DA38">
        <f>AJ38</f>
        <v>13.41</v>
      </c>
      <c r="DB38">
        <f>ROUND((ROUND(AT38*CZ38,2)*1.25),2)</f>
        <v>7.39</v>
      </c>
      <c r="DC38">
        <f>ROUND((ROUND(AT38*AG38,2)*1.25),2)</f>
        <v>1.3</v>
      </c>
      <c r="DD38" t="s">
        <v>3</v>
      </c>
      <c r="DE38" t="s">
        <v>3</v>
      </c>
      <c r="DF38">
        <f>ROUND(ROUND(AE38,2)*CX38,2)</f>
        <v>0</v>
      </c>
      <c r="DG38">
        <f>ROUND(ROUND(AF38*AJ38,2)*CX38,2)</f>
        <v>49.57</v>
      </c>
      <c r="DH38">
        <f>ROUND(ROUND(AG38*AK38,2)*CX38,2)</f>
        <v>29.83</v>
      </c>
      <c r="DI38">
        <f t="shared" si="22"/>
        <v>0</v>
      </c>
      <c r="DJ38">
        <f>DG38</f>
        <v>49.57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ROW(Source!A37)</f>
        <v>37</v>
      </c>
      <c r="B39">
        <v>145185703</v>
      </c>
      <c r="C39">
        <v>145196922</v>
      </c>
      <c r="D39">
        <v>140775112</v>
      </c>
      <c r="E39">
        <v>1</v>
      </c>
      <c r="F39">
        <v>1</v>
      </c>
      <c r="G39">
        <v>1</v>
      </c>
      <c r="H39">
        <v>3</v>
      </c>
      <c r="I39" t="s">
        <v>479</v>
      </c>
      <c r="J39" t="s">
        <v>480</v>
      </c>
      <c r="K39" t="s">
        <v>481</v>
      </c>
      <c r="L39">
        <v>1348</v>
      </c>
      <c r="N39">
        <v>1009</v>
      </c>
      <c r="O39" t="s">
        <v>21</v>
      </c>
      <c r="P39" t="s">
        <v>21</v>
      </c>
      <c r="Q39">
        <v>1000</v>
      </c>
      <c r="W39">
        <v>0</v>
      </c>
      <c r="X39">
        <v>1225468366</v>
      </c>
      <c r="Y39">
        <f>AT39</f>
        <v>3.8E-3</v>
      </c>
      <c r="AA39">
        <v>100375.64</v>
      </c>
      <c r="AB39">
        <v>0</v>
      </c>
      <c r="AC39">
        <v>0</v>
      </c>
      <c r="AD39">
        <v>0</v>
      </c>
      <c r="AE39">
        <v>11978</v>
      </c>
      <c r="AF39">
        <v>0</v>
      </c>
      <c r="AG39">
        <v>0</v>
      </c>
      <c r="AH39">
        <v>0</v>
      </c>
      <c r="AI39">
        <v>8.3800000000000008</v>
      </c>
      <c r="AJ39">
        <v>1</v>
      </c>
      <c r="AK39">
        <v>1</v>
      </c>
      <c r="AL39">
        <v>1</v>
      </c>
      <c r="AM39">
        <v>4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3.8E-3</v>
      </c>
      <c r="AU39" t="s">
        <v>3</v>
      </c>
      <c r="AV39">
        <v>0</v>
      </c>
      <c r="AW39">
        <v>2</v>
      </c>
      <c r="AX39">
        <v>145196928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ROUND(Y39*Source!I37,9)</f>
        <v>1.9E-3</v>
      </c>
      <c r="CY39">
        <f>AA39</f>
        <v>100375.64</v>
      </c>
      <c r="CZ39">
        <f>AE39</f>
        <v>11978</v>
      </c>
      <c r="DA39">
        <f>AI39</f>
        <v>8.3800000000000008</v>
      </c>
      <c r="DB39">
        <f>ROUND(ROUND(AT39*CZ39,2),2)</f>
        <v>45.52</v>
      </c>
      <c r="DC39">
        <f>ROUND(ROUND(AT39*AG39,2),2)</f>
        <v>0</v>
      </c>
      <c r="DD39" t="s">
        <v>3</v>
      </c>
      <c r="DE39" t="s">
        <v>3</v>
      </c>
      <c r="DF39">
        <f>ROUND(ROUND(AE39*AI39,2)*CX39,2)</f>
        <v>190.71</v>
      </c>
      <c r="DG39">
        <f t="shared" ref="DG39:DG51" si="23">ROUND(ROUND(AF39,2)*CX39,2)</f>
        <v>0</v>
      </c>
      <c r="DH39">
        <f t="shared" ref="DH39:DH50" si="24">ROUND(ROUND(AG39,2)*CX39,2)</f>
        <v>0</v>
      </c>
      <c r="DI39">
        <f t="shared" si="22"/>
        <v>0</v>
      </c>
      <c r="DJ39">
        <f>DF39</f>
        <v>190.71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ROW(Source!A37)</f>
        <v>37</v>
      </c>
      <c r="B40">
        <v>145185703</v>
      </c>
      <c r="C40">
        <v>145196922</v>
      </c>
      <c r="D40">
        <v>140790840</v>
      </c>
      <c r="E40">
        <v>1</v>
      </c>
      <c r="F40">
        <v>1</v>
      </c>
      <c r="G40">
        <v>1</v>
      </c>
      <c r="H40">
        <v>3</v>
      </c>
      <c r="I40" t="s">
        <v>482</v>
      </c>
      <c r="J40" t="s">
        <v>483</v>
      </c>
      <c r="K40" t="s">
        <v>484</v>
      </c>
      <c r="L40">
        <v>1348</v>
      </c>
      <c r="N40">
        <v>1009</v>
      </c>
      <c r="O40" t="s">
        <v>21</v>
      </c>
      <c r="P40" t="s">
        <v>21</v>
      </c>
      <c r="Q40">
        <v>1000</v>
      </c>
      <c r="W40">
        <v>0</v>
      </c>
      <c r="X40">
        <v>1175875667</v>
      </c>
      <c r="Y40">
        <f>AT40</f>
        <v>0.16900000000000001</v>
      </c>
      <c r="AA40">
        <v>66847.259999999995</v>
      </c>
      <c r="AB40">
        <v>0</v>
      </c>
      <c r="AC40">
        <v>0</v>
      </c>
      <c r="AD40">
        <v>0</v>
      </c>
      <c r="AE40">
        <v>7977</v>
      </c>
      <c r="AF40">
        <v>0</v>
      </c>
      <c r="AG40">
        <v>0</v>
      </c>
      <c r="AH40">
        <v>0</v>
      </c>
      <c r="AI40">
        <v>8.3800000000000008</v>
      </c>
      <c r="AJ40">
        <v>1</v>
      </c>
      <c r="AK40">
        <v>1</v>
      </c>
      <c r="AL40">
        <v>1</v>
      </c>
      <c r="AM40">
        <v>4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0.16900000000000001</v>
      </c>
      <c r="AU40" t="s">
        <v>3</v>
      </c>
      <c r="AV40">
        <v>0</v>
      </c>
      <c r="AW40">
        <v>2</v>
      </c>
      <c r="AX40">
        <v>145196929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ROUND(Y40*Source!I37,9)</f>
        <v>8.4500000000000006E-2</v>
      </c>
      <c r="CY40">
        <f>AA40</f>
        <v>66847.259999999995</v>
      </c>
      <c r="CZ40">
        <f>AE40</f>
        <v>7977</v>
      </c>
      <c r="DA40">
        <f>AI40</f>
        <v>8.3800000000000008</v>
      </c>
      <c r="DB40">
        <f>ROUND(ROUND(AT40*CZ40,2),2)</f>
        <v>1348.11</v>
      </c>
      <c r="DC40">
        <f>ROUND(ROUND(AT40*AG40,2),2)</f>
        <v>0</v>
      </c>
      <c r="DD40" t="s">
        <v>3</v>
      </c>
      <c r="DE40" t="s">
        <v>3</v>
      </c>
      <c r="DF40">
        <f>ROUND(ROUND(AE40*AI40,2)*CX40,2)</f>
        <v>5648.59</v>
      </c>
      <c r="DG40">
        <f t="shared" si="23"/>
        <v>0</v>
      </c>
      <c r="DH40">
        <f t="shared" si="24"/>
        <v>0</v>
      </c>
      <c r="DI40">
        <f t="shared" si="22"/>
        <v>0</v>
      </c>
      <c r="DJ40">
        <f>DF40</f>
        <v>5648.59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ROW(Source!A37)</f>
        <v>37</v>
      </c>
      <c r="B41">
        <v>145185703</v>
      </c>
      <c r="C41">
        <v>145196922</v>
      </c>
      <c r="D41">
        <v>140792570</v>
      </c>
      <c r="E41">
        <v>1</v>
      </c>
      <c r="F41">
        <v>1</v>
      </c>
      <c r="G41">
        <v>1</v>
      </c>
      <c r="H41">
        <v>3</v>
      </c>
      <c r="I41" t="s">
        <v>84</v>
      </c>
      <c r="J41" t="s">
        <v>86</v>
      </c>
      <c r="K41" t="s">
        <v>85</v>
      </c>
      <c r="L41">
        <v>1348</v>
      </c>
      <c r="N41">
        <v>1009</v>
      </c>
      <c r="O41" t="s">
        <v>21</v>
      </c>
      <c r="P41" t="s">
        <v>21</v>
      </c>
      <c r="Q41">
        <v>1000</v>
      </c>
      <c r="W41">
        <v>1</v>
      </c>
      <c r="X41">
        <v>-509681559</v>
      </c>
      <c r="Y41">
        <f>AT41</f>
        <v>-0.33</v>
      </c>
      <c r="AA41">
        <v>93856</v>
      </c>
      <c r="AB41">
        <v>0</v>
      </c>
      <c r="AC41">
        <v>0</v>
      </c>
      <c r="AD41">
        <v>0</v>
      </c>
      <c r="AE41">
        <v>11200</v>
      </c>
      <c r="AF41">
        <v>0</v>
      </c>
      <c r="AG41">
        <v>0</v>
      </c>
      <c r="AH41">
        <v>0</v>
      </c>
      <c r="AI41">
        <v>8.3800000000000008</v>
      </c>
      <c r="AJ41">
        <v>1</v>
      </c>
      <c r="AK41">
        <v>1</v>
      </c>
      <c r="AL41">
        <v>1</v>
      </c>
      <c r="AM41">
        <v>4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-0.33</v>
      </c>
      <c r="AU41" t="s">
        <v>3</v>
      </c>
      <c r="AV41">
        <v>0</v>
      </c>
      <c r="AW41">
        <v>2</v>
      </c>
      <c r="AX41">
        <v>145196930</v>
      </c>
      <c r="AY41">
        <v>1</v>
      </c>
      <c r="AZ41">
        <v>6144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ROUND(Y41*Source!I37,9)</f>
        <v>-0.16500000000000001</v>
      </c>
      <c r="CY41">
        <f>AA41</f>
        <v>93856</v>
      </c>
      <c r="CZ41">
        <f>AE41</f>
        <v>11200</v>
      </c>
      <c r="DA41">
        <f>AI41</f>
        <v>8.3800000000000008</v>
      </c>
      <c r="DB41">
        <f>ROUND(ROUND(AT41*CZ41,2),2)</f>
        <v>-3696</v>
      </c>
      <c r="DC41">
        <f>ROUND(ROUND(AT41*AG41,2),2)</f>
        <v>0</v>
      </c>
      <c r="DD41" t="s">
        <v>3</v>
      </c>
      <c r="DE41" t="s">
        <v>3</v>
      </c>
      <c r="DF41">
        <f>ROUND(ROUND(AE41*AI41,2)*CX41,2)</f>
        <v>-15486.24</v>
      </c>
      <c r="DG41">
        <f t="shared" si="23"/>
        <v>0</v>
      </c>
      <c r="DH41">
        <f t="shared" si="24"/>
        <v>0</v>
      </c>
      <c r="DI41">
        <f t="shared" si="22"/>
        <v>0</v>
      </c>
      <c r="DJ41">
        <f>DF41</f>
        <v>-15486.24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ROW(Source!A42)</f>
        <v>42</v>
      </c>
      <c r="B42">
        <v>145185703</v>
      </c>
      <c r="C42">
        <v>145196999</v>
      </c>
      <c r="D42">
        <v>140760031</v>
      </c>
      <c r="E42">
        <v>70</v>
      </c>
      <c r="F42">
        <v>1</v>
      </c>
      <c r="G42">
        <v>1</v>
      </c>
      <c r="H42">
        <v>1</v>
      </c>
      <c r="I42" t="s">
        <v>485</v>
      </c>
      <c r="J42" t="s">
        <v>3</v>
      </c>
      <c r="K42" t="s">
        <v>486</v>
      </c>
      <c r="L42">
        <v>1191</v>
      </c>
      <c r="N42">
        <v>1013</v>
      </c>
      <c r="O42" t="s">
        <v>394</v>
      </c>
      <c r="P42" t="s">
        <v>394</v>
      </c>
      <c r="Q42">
        <v>1</v>
      </c>
      <c r="W42">
        <v>0</v>
      </c>
      <c r="X42">
        <v>-1111239348</v>
      </c>
      <c r="Y42">
        <f>(AT42*1.15)</f>
        <v>0.13799999999999998</v>
      </c>
      <c r="AA42">
        <v>0</v>
      </c>
      <c r="AB42">
        <v>0</v>
      </c>
      <c r="AC42">
        <v>0</v>
      </c>
      <c r="AD42">
        <v>439.73</v>
      </c>
      <c r="AE42">
        <v>0</v>
      </c>
      <c r="AF42">
        <v>0</v>
      </c>
      <c r="AG42">
        <v>0</v>
      </c>
      <c r="AH42">
        <v>9.6199999999999992</v>
      </c>
      <c r="AI42">
        <v>1</v>
      </c>
      <c r="AJ42">
        <v>1</v>
      </c>
      <c r="AK42">
        <v>1</v>
      </c>
      <c r="AL42">
        <v>45.71</v>
      </c>
      <c r="AM42">
        <v>4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0.12</v>
      </c>
      <c r="AU42" t="s">
        <v>43</v>
      </c>
      <c r="AV42">
        <v>1</v>
      </c>
      <c r="AW42">
        <v>2</v>
      </c>
      <c r="AX42">
        <v>145197000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ROUND(Y42*Source!I42,9)</f>
        <v>6.0030000000000001</v>
      </c>
      <c r="CY42">
        <f>AD42</f>
        <v>439.73</v>
      </c>
      <c r="CZ42">
        <f>AH42</f>
        <v>9.6199999999999992</v>
      </c>
      <c r="DA42">
        <f>AL42</f>
        <v>45.71</v>
      </c>
      <c r="DB42">
        <f>ROUND((ROUND(AT42*CZ42,2)*1.15),2)</f>
        <v>1.32</v>
      </c>
      <c r="DC42">
        <f>ROUND((ROUND(AT42*AG42,2)*1.15),2)</f>
        <v>0</v>
      </c>
      <c r="DD42" t="s">
        <v>3</v>
      </c>
      <c r="DE42" t="s">
        <v>3</v>
      </c>
      <c r="DF42">
        <f>ROUND(ROUND(AE42,2)*CX42,2)</f>
        <v>0</v>
      </c>
      <c r="DG42">
        <f t="shared" si="23"/>
        <v>0</v>
      </c>
      <c r="DH42">
        <f t="shared" si="24"/>
        <v>0</v>
      </c>
      <c r="DI42">
        <f>ROUND(ROUND(AH42*AL42,2)*CX42,2)</f>
        <v>2639.7</v>
      </c>
      <c r="DJ42">
        <f>DI42</f>
        <v>2639.7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ROW(Source!A42)</f>
        <v>42</v>
      </c>
      <c r="B43">
        <v>145185703</v>
      </c>
      <c r="C43">
        <v>145196999</v>
      </c>
      <c r="D43">
        <v>140775147</v>
      </c>
      <c r="E43">
        <v>1</v>
      </c>
      <c r="F43">
        <v>1</v>
      </c>
      <c r="G43">
        <v>1</v>
      </c>
      <c r="H43">
        <v>3</v>
      </c>
      <c r="I43" t="s">
        <v>487</v>
      </c>
      <c r="J43" t="s">
        <v>488</v>
      </c>
      <c r="K43" t="s">
        <v>489</v>
      </c>
      <c r="L43">
        <v>1425</v>
      </c>
      <c r="N43">
        <v>1013</v>
      </c>
      <c r="O43" t="s">
        <v>490</v>
      </c>
      <c r="P43" t="s">
        <v>490</v>
      </c>
      <c r="Q43">
        <v>1</v>
      </c>
      <c r="W43">
        <v>0</v>
      </c>
      <c r="X43">
        <v>1791993213</v>
      </c>
      <c r="Y43">
        <f>AT43</f>
        <v>0.2</v>
      </c>
      <c r="AA43">
        <v>326.82</v>
      </c>
      <c r="AB43">
        <v>0</v>
      </c>
      <c r="AC43">
        <v>0</v>
      </c>
      <c r="AD43">
        <v>0</v>
      </c>
      <c r="AE43">
        <v>39</v>
      </c>
      <c r="AF43">
        <v>0</v>
      </c>
      <c r="AG43">
        <v>0</v>
      </c>
      <c r="AH43">
        <v>0</v>
      </c>
      <c r="AI43">
        <v>8.3800000000000008</v>
      </c>
      <c r="AJ43">
        <v>1</v>
      </c>
      <c r="AK43">
        <v>1</v>
      </c>
      <c r="AL43">
        <v>1</v>
      </c>
      <c r="AM43">
        <v>4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0.2</v>
      </c>
      <c r="AU43" t="s">
        <v>3</v>
      </c>
      <c r="AV43">
        <v>0</v>
      </c>
      <c r="AW43">
        <v>2</v>
      </c>
      <c r="AX43">
        <v>145197001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ROUND(Y43*Source!I42,9)</f>
        <v>8.6999999999999993</v>
      </c>
      <c r="CY43">
        <f>AA43</f>
        <v>326.82</v>
      </c>
      <c r="CZ43">
        <f>AE43</f>
        <v>39</v>
      </c>
      <c r="DA43">
        <f>AI43</f>
        <v>8.3800000000000008</v>
      </c>
      <c r="DB43">
        <f>ROUND(ROUND(AT43*CZ43,2),2)</f>
        <v>7.8</v>
      </c>
      <c r="DC43">
        <f>ROUND(ROUND(AT43*AG43,2),2)</f>
        <v>0</v>
      </c>
      <c r="DD43" t="s">
        <v>3</v>
      </c>
      <c r="DE43" t="s">
        <v>3</v>
      </c>
      <c r="DF43">
        <f>ROUND(ROUND(AE43*AI43,2)*CX43,2)</f>
        <v>2843.33</v>
      </c>
      <c r="DG43">
        <f t="shared" si="23"/>
        <v>0</v>
      </c>
      <c r="DH43">
        <f t="shared" si="24"/>
        <v>0</v>
      </c>
      <c r="DI43">
        <f>ROUND(ROUND(AH43,2)*CX43,2)</f>
        <v>0</v>
      </c>
      <c r="DJ43">
        <f>DF43</f>
        <v>2843.33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ROW(Source!A42)</f>
        <v>42</v>
      </c>
      <c r="B44">
        <v>145185703</v>
      </c>
      <c r="C44">
        <v>145196999</v>
      </c>
      <c r="D44">
        <v>140762129</v>
      </c>
      <c r="E44">
        <v>70</v>
      </c>
      <c r="F44">
        <v>1</v>
      </c>
      <c r="G44">
        <v>1</v>
      </c>
      <c r="H44">
        <v>3</v>
      </c>
      <c r="I44" t="s">
        <v>491</v>
      </c>
      <c r="J44" t="s">
        <v>3</v>
      </c>
      <c r="K44" t="s">
        <v>492</v>
      </c>
      <c r="L44">
        <v>1301</v>
      </c>
      <c r="N44">
        <v>1003</v>
      </c>
      <c r="O44" t="s">
        <v>72</v>
      </c>
      <c r="P44" t="s">
        <v>72</v>
      </c>
      <c r="Q44">
        <v>1</v>
      </c>
      <c r="W44">
        <v>0</v>
      </c>
      <c r="X44">
        <v>-105719074</v>
      </c>
      <c r="Y44">
        <f>AT44</f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8.3800000000000008</v>
      </c>
      <c r="AJ44">
        <v>1</v>
      </c>
      <c r="AK44">
        <v>1</v>
      </c>
      <c r="AL44">
        <v>1</v>
      </c>
      <c r="AM44">
        <v>4</v>
      </c>
      <c r="AN44">
        <v>0</v>
      </c>
      <c r="AO44">
        <v>0</v>
      </c>
      <c r="AP44">
        <v>1</v>
      </c>
      <c r="AQ44">
        <v>0</v>
      </c>
      <c r="AR44">
        <v>0</v>
      </c>
      <c r="AS44" t="s">
        <v>3</v>
      </c>
      <c r="AT44">
        <v>1</v>
      </c>
      <c r="AU44" t="s">
        <v>3</v>
      </c>
      <c r="AV44">
        <v>0</v>
      </c>
      <c r="AW44">
        <v>2</v>
      </c>
      <c r="AX44">
        <v>145197002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ROUND(Y44*Source!I42,9)</f>
        <v>43.5</v>
      </c>
      <c r="CY44">
        <f>AA44</f>
        <v>0</v>
      </c>
      <c r="CZ44">
        <f>AE44</f>
        <v>0</v>
      </c>
      <c r="DA44">
        <f>AI44</f>
        <v>8.3800000000000008</v>
      </c>
      <c r="DB44">
        <f>ROUND(ROUND(AT44*CZ44,2),2)</f>
        <v>0</v>
      </c>
      <c r="DC44">
        <f>ROUND(ROUND(AT44*AG44,2),2)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23"/>
        <v>0</v>
      </c>
      <c r="DH44">
        <f t="shared" si="24"/>
        <v>0</v>
      </c>
      <c r="DI44">
        <f>ROUND(ROUND(AH44,2)*CX44,2)</f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ROW(Source!A42)</f>
        <v>42</v>
      </c>
      <c r="B45">
        <v>145185703</v>
      </c>
      <c r="C45">
        <v>145196999</v>
      </c>
      <c r="D45">
        <v>140762174</v>
      </c>
      <c r="E45">
        <v>70</v>
      </c>
      <c r="F45">
        <v>1</v>
      </c>
      <c r="G45">
        <v>1</v>
      </c>
      <c r="H45">
        <v>3</v>
      </c>
      <c r="I45" t="s">
        <v>493</v>
      </c>
      <c r="J45" t="s">
        <v>3</v>
      </c>
      <c r="K45" t="s">
        <v>494</v>
      </c>
      <c r="L45">
        <v>1371</v>
      </c>
      <c r="N45">
        <v>1013</v>
      </c>
      <c r="O45" t="s">
        <v>112</v>
      </c>
      <c r="P45" t="s">
        <v>112</v>
      </c>
      <c r="Q45">
        <v>1</v>
      </c>
      <c r="W45">
        <v>0</v>
      </c>
      <c r="X45">
        <v>-2098852436</v>
      </c>
      <c r="Y45">
        <f>AT45</f>
        <v>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8.3800000000000008</v>
      </c>
      <c r="AJ45">
        <v>1</v>
      </c>
      <c r="AK45">
        <v>1</v>
      </c>
      <c r="AL45">
        <v>1</v>
      </c>
      <c r="AM45">
        <v>4</v>
      </c>
      <c r="AN45">
        <v>0</v>
      </c>
      <c r="AO45">
        <v>0</v>
      </c>
      <c r="AP45">
        <v>1</v>
      </c>
      <c r="AQ45">
        <v>0</v>
      </c>
      <c r="AR45">
        <v>0</v>
      </c>
      <c r="AS45" t="s">
        <v>3</v>
      </c>
      <c r="AT45">
        <v>2</v>
      </c>
      <c r="AU45" t="s">
        <v>3</v>
      </c>
      <c r="AV45">
        <v>0</v>
      </c>
      <c r="AW45">
        <v>2</v>
      </c>
      <c r="AX45">
        <v>145197003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ROUND(Y45*Source!I42,9)</f>
        <v>87</v>
      </c>
      <c r="CY45">
        <f>AA45</f>
        <v>0</v>
      </c>
      <c r="CZ45">
        <f>AE45</f>
        <v>0</v>
      </c>
      <c r="DA45">
        <f>AI45</f>
        <v>8.3800000000000008</v>
      </c>
      <c r="DB45">
        <f>ROUND(ROUND(AT45*CZ45,2),2)</f>
        <v>0</v>
      </c>
      <c r="DC45">
        <f>ROUND(ROUND(AT45*AG45,2),2)</f>
        <v>0</v>
      </c>
      <c r="DD45" t="s">
        <v>3</v>
      </c>
      <c r="DE45" t="s">
        <v>3</v>
      </c>
      <c r="DF45">
        <f>ROUND(ROUND(AE45*AI45,2)*CX45,2)</f>
        <v>0</v>
      </c>
      <c r="DG45">
        <f t="shared" si="23"/>
        <v>0</v>
      </c>
      <c r="DH45">
        <f t="shared" si="24"/>
        <v>0</v>
      </c>
      <c r="DI45">
        <f>ROUND(ROUND(AH45,2)*CX45,2)</f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ROW(Source!A46)</f>
        <v>46</v>
      </c>
      <c r="B46">
        <v>145185703</v>
      </c>
      <c r="C46">
        <v>145197018</v>
      </c>
      <c r="D46">
        <v>140760031</v>
      </c>
      <c r="E46">
        <v>70</v>
      </c>
      <c r="F46">
        <v>1</v>
      </c>
      <c r="G46">
        <v>1</v>
      </c>
      <c r="H46">
        <v>1</v>
      </c>
      <c r="I46" t="s">
        <v>485</v>
      </c>
      <c r="J46" t="s">
        <v>3</v>
      </c>
      <c r="K46" t="s">
        <v>486</v>
      </c>
      <c r="L46">
        <v>1191</v>
      </c>
      <c r="N46">
        <v>1013</v>
      </c>
      <c r="O46" t="s">
        <v>394</v>
      </c>
      <c r="P46" t="s">
        <v>394</v>
      </c>
      <c r="Q46">
        <v>1</v>
      </c>
      <c r="W46">
        <v>0</v>
      </c>
      <c r="X46">
        <v>-1111239348</v>
      </c>
      <c r="Y46">
        <f>(AT46*1.15)</f>
        <v>0.20699999999999999</v>
      </c>
      <c r="AA46">
        <v>0</v>
      </c>
      <c r="AB46">
        <v>0</v>
      </c>
      <c r="AC46">
        <v>0</v>
      </c>
      <c r="AD46">
        <v>439.73</v>
      </c>
      <c r="AE46">
        <v>0</v>
      </c>
      <c r="AF46">
        <v>0</v>
      </c>
      <c r="AG46">
        <v>0</v>
      </c>
      <c r="AH46">
        <v>9.6199999999999992</v>
      </c>
      <c r="AI46">
        <v>1</v>
      </c>
      <c r="AJ46">
        <v>1</v>
      </c>
      <c r="AK46">
        <v>1</v>
      </c>
      <c r="AL46">
        <v>45.71</v>
      </c>
      <c r="AM46">
        <v>4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0.18</v>
      </c>
      <c r="AU46" t="s">
        <v>43</v>
      </c>
      <c r="AV46">
        <v>1</v>
      </c>
      <c r="AW46">
        <v>2</v>
      </c>
      <c r="AX46">
        <v>145197019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ROUND(Y46*Source!I46,9)</f>
        <v>1.0349999999999999</v>
      </c>
      <c r="CY46">
        <f>AD46</f>
        <v>439.73</v>
      </c>
      <c r="CZ46">
        <f>AH46</f>
        <v>9.6199999999999992</v>
      </c>
      <c r="DA46">
        <f>AL46</f>
        <v>45.71</v>
      </c>
      <c r="DB46">
        <f>ROUND((ROUND(AT46*CZ46,2)*1.15),2)</f>
        <v>1.99</v>
      </c>
      <c r="DC46">
        <f>ROUND((ROUND(AT46*AG46,2)*1.15),2)</f>
        <v>0</v>
      </c>
      <c r="DD46" t="s">
        <v>3</v>
      </c>
      <c r="DE46" t="s">
        <v>3</v>
      </c>
      <c r="DF46">
        <f>ROUND(ROUND(AE46,2)*CX46,2)</f>
        <v>0</v>
      </c>
      <c r="DG46">
        <f t="shared" si="23"/>
        <v>0</v>
      </c>
      <c r="DH46">
        <f t="shared" si="24"/>
        <v>0</v>
      </c>
      <c r="DI46">
        <f>ROUND(ROUND(AH46*AL46,2)*CX46,2)</f>
        <v>455.12</v>
      </c>
      <c r="DJ46">
        <f>DI46</f>
        <v>455.12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ROW(Source!A46)</f>
        <v>46</v>
      </c>
      <c r="B47">
        <v>145185703</v>
      </c>
      <c r="C47">
        <v>145197018</v>
      </c>
      <c r="D47">
        <v>140762174</v>
      </c>
      <c r="E47">
        <v>70</v>
      </c>
      <c r="F47">
        <v>1</v>
      </c>
      <c r="G47">
        <v>1</v>
      </c>
      <c r="H47">
        <v>3</v>
      </c>
      <c r="I47" t="s">
        <v>493</v>
      </c>
      <c r="J47" t="s">
        <v>3</v>
      </c>
      <c r="K47" t="s">
        <v>494</v>
      </c>
      <c r="L47">
        <v>1371</v>
      </c>
      <c r="N47">
        <v>1013</v>
      </c>
      <c r="O47" t="s">
        <v>112</v>
      </c>
      <c r="P47" t="s">
        <v>112</v>
      </c>
      <c r="Q47">
        <v>1</v>
      </c>
      <c r="W47">
        <v>0</v>
      </c>
      <c r="X47">
        <v>-2098852436</v>
      </c>
      <c r="Y47">
        <f>AT47</f>
        <v>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8.3800000000000008</v>
      </c>
      <c r="AJ47">
        <v>1</v>
      </c>
      <c r="AK47">
        <v>1</v>
      </c>
      <c r="AL47">
        <v>1</v>
      </c>
      <c r="AM47">
        <v>4</v>
      </c>
      <c r="AN47">
        <v>0</v>
      </c>
      <c r="AO47">
        <v>0</v>
      </c>
      <c r="AP47">
        <v>1</v>
      </c>
      <c r="AQ47">
        <v>0</v>
      </c>
      <c r="AR47">
        <v>0</v>
      </c>
      <c r="AS47" t="s">
        <v>3</v>
      </c>
      <c r="AT47">
        <v>1</v>
      </c>
      <c r="AU47" t="s">
        <v>3</v>
      </c>
      <c r="AV47">
        <v>0</v>
      </c>
      <c r="AW47">
        <v>2</v>
      </c>
      <c r="AX47">
        <v>145197020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ROUND(Y47*Source!I46,9)</f>
        <v>5</v>
      </c>
      <c r="CY47">
        <f>AA47</f>
        <v>0</v>
      </c>
      <c r="CZ47">
        <f>AE47</f>
        <v>0</v>
      </c>
      <c r="DA47">
        <f>AI47</f>
        <v>8.3800000000000008</v>
      </c>
      <c r="DB47">
        <f>ROUND(ROUND(AT47*CZ47,2),2)</f>
        <v>0</v>
      </c>
      <c r="DC47">
        <f>ROUND(ROUND(AT47*AG47,2),2)</f>
        <v>0</v>
      </c>
      <c r="DD47" t="s">
        <v>3</v>
      </c>
      <c r="DE47" t="s">
        <v>3</v>
      </c>
      <c r="DF47">
        <f>ROUND(ROUND(AE47*AI47,2)*CX47,2)</f>
        <v>0</v>
      </c>
      <c r="DG47">
        <f t="shared" si="23"/>
        <v>0</v>
      </c>
      <c r="DH47">
        <f t="shared" si="24"/>
        <v>0</v>
      </c>
      <c r="DI47">
        <f>ROUND(ROUND(AH47,2)*CX47,2)</f>
        <v>0</v>
      </c>
      <c r="DJ47">
        <f>DF47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ROW(Source!A48)</f>
        <v>48</v>
      </c>
      <c r="B48">
        <v>145185703</v>
      </c>
      <c r="C48">
        <v>145197025</v>
      </c>
      <c r="D48">
        <v>140760031</v>
      </c>
      <c r="E48">
        <v>70</v>
      </c>
      <c r="F48">
        <v>1</v>
      </c>
      <c r="G48">
        <v>1</v>
      </c>
      <c r="H48">
        <v>1</v>
      </c>
      <c r="I48" t="s">
        <v>485</v>
      </c>
      <c r="J48" t="s">
        <v>3</v>
      </c>
      <c r="K48" t="s">
        <v>486</v>
      </c>
      <c r="L48">
        <v>1191</v>
      </c>
      <c r="N48">
        <v>1013</v>
      </c>
      <c r="O48" t="s">
        <v>394</v>
      </c>
      <c r="P48" t="s">
        <v>394</v>
      </c>
      <c r="Q48">
        <v>1</v>
      </c>
      <c r="W48">
        <v>0</v>
      </c>
      <c r="X48">
        <v>-1111239348</v>
      </c>
      <c r="Y48">
        <f>(AT48*1.15)</f>
        <v>0.13799999999999998</v>
      </c>
      <c r="AA48">
        <v>0</v>
      </c>
      <c r="AB48">
        <v>0</v>
      </c>
      <c r="AC48">
        <v>0</v>
      </c>
      <c r="AD48">
        <v>439.73</v>
      </c>
      <c r="AE48">
        <v>0</v>
      </c>
      <c r="AF48">
        <v>0</v>
      </c>
      <c r="AG48">
        <v>0</v>
      </c>
      <c r="AH48">
        <v>9.6199999999999992</v>
      </c>
      <c r="AI48">
        <v>1</v>
      </c>
      <c r="AJ48">
        <v>1</v>
      </c>
      <c r="AK48">
        <v>1</v>
      </c>
      <c r="AL48">
        <v>45.71</v>
      </c>
      <c r="AM48">
        <v>4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0.12</v>
      </c>
      <c r="AU48" t="s">
        <v>43</v>
      </c>
      <c r="AV48">
        <v>1</v>
      </c>
      <c r="AW48">
        <v>2</v>
      </c>
      <c r="AX48">
        <v>145197026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ROUND(Y48*Source!I48,9)</f>
        <v>1.38</v>
      </c>
      <c r="CY48">
        <f>AD48</f>
        <v>439.73</v>
      </c>
      <c r="CZ48">
        <f>AH48</f>
        <v>9.6199999999999992</v>
      </c>
      <c r="DA48">
        <f>AL48</f>
        <v>45.71</v>
      </c>
      <c r="DB48">
        <f>ROUND((ROUND(AT48*CZ48,2)*1.15),2)</f>
        <v>1.32</v>
      </c>
      <c r="DC48">
        <f>ROUND((ROUND(AT48*AG48,2)*1.15),2)</f>
        <v>0</v>
      </c>
      <c r="DD48" t="s">
        <v>3</v>
      </c>
      <c r="DE48" t="s">
        <v>3</v>
      </c>
      <c r="DF48">
        <f>ROUND(ROUND(AE48,2)*CX48,2)</f>
        <v>0</v>
      </c>
      <c r="DG48">
        <f t="shared" si="23"/>
        <v>0</v>
      </c>
      <c r="DH48">
        <f t="shared" si="24"/>
        <v>0</v>
      </c>
      <c r="DI48">
        <f>ROUND(ROUND(AH48*AL48,2)*CX48,2)</f>
        <v>606.83000000000004</v>
      </c>
      <c r="DJ48">
        <f>DI48</f>
        <v>606.83000000000004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ROW(Source!A48)</f>
        <v>48</v>
      </c>
      <c r="B49">
        <v>145185703</v>
      </c>
      <c r="C49">
        <v>145197025</v>
      </c>
      <c r="D49">
        <v>140762174</v>
      </c>
      <c r="E49">
        <v>70</v>
      </c>
      <c r="F49">
        <v>1</v>
      </c>
      <c r="G49">
        <v>1</v>
      </c>
      <c r="H49">
        <v>3</v>
      </c>
      <c r="I49" t="s">
        <v>493</v>
      </c>
      <c r="J49" t="s">
        <v>3</v>
      </c>
      <c r="K49" t="s">
        <v>494</v>
      </c>
      <c r="L49">
        <v>1371</v>
      </c>
      <c r="N49">
        <v>1013</v>
      </c>
      <c r="O49" t="s">
        <v>112</v>
      </c>
      <c r="P49" t="s">
        <v>112</v>
      </c>
      <c r="Q49">
        <v>1</v>
      </c>
      <c r="W49">
        <v>0</v>
      </c>
      <c r="X49">
        <v>-2098852436</v>
      </c>
      <c r="Y49">
        <f>AT49</f>
        <v>1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8.3800000000000008</v>
      </c>
      <c r="AJ49">
        <v>1</v>
      </c>
      <c r="AK49">
        <v>1</v>
      </c>
      <c r="AL49">
        <v>1</v>
      </c>
      <c r="AM49">
        <v>4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3</v>
      </c>
      <c r="AT49">
        <v>1</v>
      </c>
      <c r="AU49" t="s">
        <v>3</v>
      </c>
      <c r="AV49">
        <v>0</v>
      </c>
      <c r="AW49">
        <v>2</v>
      </c>
      <c r="AX49">
        <v>145197027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ROUND(Y49*Source!I48,9)</f>
        <v>10</v>
      </c>
      <c r="CY49">
        <f>AA49</f>
        <v>0</v>
      </c>
      <c r="CZ49">
        <f>AE49</f>
        <v>0</v>
      </c>
      <c r="DA49">
        <f>AI49</f>
        <v>8.3800000000000008</v>
      </c>
      <c r="DB49">
        <f>ROUND(ROUND(AT49*CZ49,2),2)</f>
        <v>0</v>
      </c>
      <c r="DC49">
        <f>ROUND(ROUND(AT49*AG49,2),2)</f>
        <v>0</v>
      </c>
      <c r="DD49" t="s">
        <v>3</v>
      </c>
      <c r="DE49" t="s">
        <v>3</v>
      </c>
      <c r="DF49">
        <f>ROUND(ROUND(AE49*AI49,2)*CX49,2)</f>
        <v>0</v>
      </c>
      <c r="DG49">
        <f t="shared" si="23"/>
        <v>0</v>
      </c>
      <c r="DH49">
        <f t="shared" si="24"/>
        <v>0</v>
      </c>
      <c r="DI49">
        <f>ROUND(ROUND(AH49,2)*CX49,2)</f>
        <v>0</v>
      </c>
      <c r="DJ49">
        <f>DF49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ROW(Source!A50)</f>
        <v>50</v>
      </c>
      <c r="B50">
        <v>145185703</v>
      </c>
      <c r="C50">
        <v>145197251</v>
      </c>
      <c r="D50">
        <v>140759979</v>
      </c>
      <c r="E50">
        <v>70</v>
      </c>
      <c r="F50">
        <v>1</v>
      </c>
      <c r="G50">
        <v>1</v>
      </c>
      <c r="H50">
        <v>1</v>
      </c>
      <c r="I50" t="s">
        <v>468</v>
      </c>
      <c r="J50" t="s">
        <v>3</v>
      </c>
      <c r="K50" t="s">
        <v>469</v>
      </c>
      <c r="L50">
        <v>1191</v>
      </c>
      <c r="N50">
        <v>1013</v>
      </c>
      <c r="O50" t="s">
        <v>394</v>
      </c>
      <c r="P50" t="s">
        <v>394</v>
      </c>
      <c r="Q50">
        <v>1</v>
      </c>
      <c r="W50">
        <v>0</v>
      </c>
      <c r="X50">
        <v>1049124552</v>
      </c>
      <c r="Y50">
        <f>(AT50*1.15)</f>
        <v>111.78</v>
      </c>
      <c r="AA50">
        <v>0</v>
      </c>
      <c r="AB50">
        <v>0</v>
      </c>
      <c r="AC50">
        <v>0</v>
      </c>
      <c r="AD50">
        <v>389.91</v>
      </c>
      <c r="AE50">
        <v>0</v>
      </c>
      <c r="AF50">
        <v>0</v>
      </c>
      <c r="AG50">
        <v>0</v>
      </c>
      <c r="AH50">
        <v>8.5299999999999994</v>
      </c>
      <c r="AI50">
        <v>1</v>
      </c>
      <c r="AJ50">
        <v>1</v>
      </c>
      <c r="AK50">
        <v>1</v>
      </c>
      <c r="AL50">
        <v>45.71</v>
      </c>
      <c r="AM50">
        <v>4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97.2</v>
      </c>
      <c r="AU50" t="s">
        <v>43</v>
      </c>
      <c r="AV50">
        <v>1</v>
      </c>
      <c r="AW50">
        <v>2</v>
      </c>
      <c r="AX50">
        <v>145197252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ROUND(Y50*Source!I50,9)</f>
        <v>5.0301</v>
      </c>
      <c r="CY50">
        <f>AD50</f>
        <v>389.91</v>
      </c>
      <c r="CZ50">
        <f>AH50</f>
        <v>8.5299999999999994</v>
      </c>
      <c r="DA50">
        <f>AL50</f>
        <v>45.71</v>
      </c>
      <c r="DB50">
        <f>ROUND((ROUND(AT50*CZ50,2)*1.15),2)</f>
        <v>953.49</v>
      </c>
      <c r="DC50">
        <f>ROUND((ROUND(AT50*AG50,2)*1.15),2)</f>
        <v>0</v>
      </c>
      <c r="DD50" t="s">
        <v>3</v>
      </c>
      <c r="DE50" t="s">
        <v>3</v>
      </c>
      <c r="DF50">
        <f>ROUND(ROUND(AE50,2)*CX50,2)</f>
        <v>0</v>
      </c>
      <c r="DG50">
        <f t="shared" si="23"/>
        <v>0</v>
      </c>
      <c r="DH50">
        <f t="shared" si="24"/>
        <v>0</v>
      </c>
      <c r="DI50">
        <f>ROUND(ROUND(AH50*AL50,2)*CX50,2)</f>
        <v>1961.29</v>
      </c>
      <c r="DJ50">
        <f>DI50</f>
        <v>1961.29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ROW(Source!A50)</f>
        <v>50</v>
      </c>
      <c r="B51">
        <v>145185703</v>
      </c>
      <c r="C51">
        <v>145197251</v>
      </c>
      <c r="D51">
        <v>140760225</v>
      </c>
      <c r="E51">
        <v>70</v>
      </c>
      <c r="F51">
        <v>1</v>
      </c>
      <c r="G51">
        <v>1</v>
      </c>
      <c r="H51">
        <v>1</v>
      </c>
      <c r="I51" t="s">
        <v>403</v>
      </c>
      <c r="J51" t="s">
        <v>3</v>
      </c>
      <c r="K51" t="s">
        <v>404</v>
      </c>
      <c r="L51">
        <v>1191</v>
      </c>
      <c r="N51">
        <v>1013</v>
      </c>
      <c r="O51" t="s">
        <v>394</v>
      </c>
      <c r="P51" t="s">
        <v>394</v>
      </c>
      <c r="Q51">
        <v>1</v>
      </c>
      <c r="W51">
        <v>0</v>
      </c>
      <c r="X51">
        <v>-1417349443</v>
      </c>
      <c r="Y51">
        <f>(AT51*1.25)</f>
        <v>0.33750000000000002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45.71</v>
      </c>
      <c r="AL51">
        <v>1</v>
      </c>
      <c r="AM51">
        <v>4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0.27</v>
      </c>
      <c r="AU51" t="s">
        <v>42</v>
      </c>
      <c r="AV51">
        <v>2</v>
      </c>
      <c r="AW51">
        <v>2</v>
      </c>
      <c r="AX51">
        <v>145197253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ROUND(Y51*Source!I50,9)</f>
        <v>1.51875E-2</v>
      </c>
      <c r="CY51">
        <f>AD51</f>
        <v>0</v>
      </c>
      <c r="CZ51">
        <f>AH51</f>
        <v>0</v>
      </c>
      <c r="DA51">
        <f>AL51</f>
        <v>1</v>
      </c>
      <c r="DB51">
        <f>ROUND((ROUND(AT51*CZ51,2)*1.25),2)</f>
        <v>0</v>
      </c>
      <c r="DC51">
        <f>ROUND((ROUND(AT51*AG51,2)*1.25),2)</f>
        <v>0</v>
      </c>
      <c r="DD51" t="s">
        <v>3</v>
      </c>
      <c r="DE51" t="s">
        <v>3</v>
      </c>
      <c r="DF51">
        <f>ROUND(ROUND(AE51,2)*CX51,2)</f>
        <v>0</v>
      </c>
      <c r="DG51">
        <f t="shared" si="23"/>
        <v>0</v>
      </c>
      <c r="DH51">
        <f>ROUND(ROUND(AG51*AK51,2)*CX51,2)</f>
        <v>0</v>
      </c>
      <c r="DI51">
        <f t="shared" ref="DI51:DI56" si="25">ROUND(ROUND(AH51,2)*CX51,2)</f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ROW(Source!A50)</f>
        <v>50</v>
      </c>
      <c r="B52">
        <v>145185703</v>
      </c>
      <c r="C52">
        <v>145197251</v>
      </c>
      <c r="D52">
        <v>140922893</v>
      </c>
      <c r="E52">
        <v>1</v>
      </c>
      <c r="F52">
        <v>1</v>
      </c>
      <c r="G52">
        <v>1</v>
      </c>
      <c r="H52">
        <v>2</v>
      </c>
      <c r="I52" t="s">
        <v>470</v>
      </c>
      <c r="J52" t="s">
        <v>471</v>
      </c>
      <c r="K52" t="s">
        <v>472</v>
      </c>
      <c r="L52">
        <v>1367</v>
      </c>
      <c r="N52">
        <v>1011</v>
      </c>
      <c r="O52" t="s">
        <v>398</v>
      </c>
      <c r="P52" t="s">
        <v>398</v>
      </c>
      <c r="Q52">
        <v>1</v>
      </c>
      <c r="W52">
        <v>0</v>
      </c>
      <c r="X52">
        <v>-130837057</v>
      </c>
      <c r="Y52">
        <f>(AT52*1.25)</f>
        <v>0.25</v>
      </c>
      <c r="AA52">
        <v>0</v>
      </c>
      <c r="AB52">
        <v>1158.6199999999999</v>
      </c>
      <c r="AC52">
        <v>617.09</v>
      </c>
      <c r="AD52">
        <v>0</v>
      </c>
      <c r="AE52">
        <v>0</v>
      </c>
      <c r="AF52">
        <v>86.4</v>
      </c>
      <c r="AG52">
        <v>13.5</v>
      </c>
      <c r="AH52">
        <v>0</v>
      </c>
      <c r="AI52">
        <v>1</v>
      </c>
      <c r="AJ52">
        <v>13.41</v>
      </c>
      <c r="AK52">
        <v>45.71</v>
      </c>
      <c r="AL52">
        <v>1</v>
      </c>
      <c r="AM52">
        <v>4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0.2</v>
      </c>
      <c r="AU52" t="s">
        <v>42</v>
      </c>
      <c r="AV52">
        <v>0</v>
      </c>
      <c r="AW52">
        <v>2</v>
      </c>
      <c r="AX52">
        <v>145197254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ROUND(Y52*Source!I50,9)</f>
        <v>1.125E-2</v>
      </c>
      <c r="CY52">
        <f>AB52</f>
        <v>1158.6199999999999</v>
      </c>
      <c r="CZ52">
        <f>AF52</f>
        <v>86.4</v>
      </c>
      <c r="DA52">
        <f>AJ52</f>
        <v>13.41</v>
      </c>
      <c r="DB52">
        <f>ROUND((ROUND(AT52*CZ52,2)*1.25),2)</f>
        <v>21.6</v>
      </c>
      <c r="DC52">
        <f>ROUND((ROUND(AT52*AG52,2)*1.25),2)</f>
        <v>3.38</v>
      </c>
      <c r="DD52" t="s">
        <v>3</v>
      </c>
      <c r="DE52" t="s">
        <v>3</v>
      </c>
      <c r="DF52">
        <f>ROUND(ROUND(AE52,2)*CX52,2)</f>
        <v>0</v>
      </c>
      <c r="DG52">
        <f>ROUND(ROUND(AF52*AJ52,2)*CX52,2)</f>
        <v>13.03</v>
      </c>
      <c r="DH52">
        <f>ROUND(ROUND(AG52*AK52,2)*CX52,2)</f>
        <v>6.94</v>
      </c>
      <c r="DI52">
        <f t="shared" si="25"/>
        <v>0</v>
      </c>
      <c r="DJ52">
        <f>DG52</f>
        <v>13.03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ROW(Source!A50)</f>
        <v>50</v>
      </c>
      <c r="B53">
        <v>145185703</v>
      </c>
      <c r="C53">
        <v>145197251</v>
      </c>
      <c r="D53">
        <v>140923885</v>
      </c>
      <c r="E53">
        <v>1</v>
      </c>
      <c r="F53">
        <v>1</v>
      </c>
      <c r="G53">
        <v>1</v>
      </c>
      <c r="H53">
        <v>2</v>
      </c>
      <c r="I53" t="s">
        <v>417</v>
      </c>
      <c r="J53" t="s">
        <v>418</v>
      </c>
      <c r="K53" t="s">
        <v>419</v>
      </c>
      <c r="L53">
        <v>1367</v>
      </c>
      <c r="N53">
        <v>1011</v>
      </c>
      <c r="O53" t="s">
        <v>398</v>
      </c>
      <c r="P53" t="s">
        <v>398</v>
      </c>
      <c r="Q53">
        <v>1</v>
      </c>
      <c r="W53">
        <v>0</v>
      </c>
      <c r="X53">
        <v>509054691</v>
      </c>
      <c r="Y53">
        <f>(AT53*1.25)</f>
        <v>8.7500000000000008E-2</v>
      </c>
      <c r="AA53">
        <v>0</v>
      </c>
      <c r="AB53">
        <v>881.17</v>
      </c>
      <c r="AC53">
        <v>530.24</v>
      </c>
      <c r="AD53">
        <v>0</v>
      </c>
      <c r="AE53">
        <v>0</v>
      </c>
      <c r="AF53">
        <v>65.709999999999994</v>
      </c>
      <c r="AG53">
        <v>11.6</v>
      </c>
      <c r="AH53">
        <v>0</v>
      </c>
      <c r="AI53">
        <v>1</v>
      </c>
      <c r="AJ53">
        <v>13.41</v>
      </c>
      <c r="AK53">
        <v>45.71</v>
      </c>
      <c r="AL53">
        <v>1</v>
      </c>
      <c r="AM53">
        <v>4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7.0000000000000007E-2</v>
      </c>
      <c r="AU53" t="s">
        <v>42</v>
      </c>
      <c r="AV53">
        <v>0</v>
      </c>
      <c r="AW53">
        <v>2</v>
      </c>
      <c r="AX53">
        <v>145197255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ROUND(Y53*Source!I50,9)</f>
        <v>3.9375E-3</v>
      </c>
      <c r="CY53">
        <f>AB53</f>
        <v>881.17</v>
      </c>
      <c r="CZ53">
        <f>AF53</f>
        <v>65.709999999999994</v>
      </c>
      <c r="DA53">
        <f>AJ53</f>
        <v>13.41</v>
      </c>
      <c r="DB53">
        <f>ROUND((ROUND(AT53*CZ53,2)*1.25),2)</f>
        <v>5.75</v>
      </c>
      <c r="DC53">
        <f>ROUND((ROUND(AT53*AG53,2)*1.25),2)</f>
        <v>1.01</v>
      </c>
      <c r="DD53" t="s">
        <v>3</v>
      </c>
      <c r="DE53" t="s">
        <v>3</v>
      </c>
      <c r="DF53">
        <f>ROUND(ROUND(AE53,2)*CX53,2)</f>
        <v>0</v>
      </c>
      <c r="DG53">
        <f>ROUND(ROUND(AF53*AJ53,2)*CX53,2)</f>
        <v>3.47</v>
      </c>
      <c r="DH53">
        <f>ROUND(ROUND(AG53*AK53,2)*CX53,2)</f>
        <v>2.09</v>
      </c>
      <c r="DI53">
        <f t="shared" si="25"/>
        <v>0</v>
      </c>
      <c r="DJ53">
        <f>DG53</f>
        <v>3.47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ROW(Source!A50)</f>
        <v>50</v>
      </c>
      <c r="B54">
        <v>145185703</v>
      </c>
      <c r="C54">
        <v>145197251</v>
      </c>
      <c r="D54">
        <v>140775136</v>
      </c>
      <c r="E54">
        <v>1</v>
      </c>
      <c r="F54">
        <v>1</v>
      </c>
      <c r="G54">
        <v>1</v>
      </c>
      <c r="H54">
        <v>3</v>
      </c>
      <c r="I54" t="s">
        <v>473</v>
      </c>
      <c r="J54" t="s">
        <v>474</v>
      </c>
      <c r="K54" t="s">
        <v>475</v>
      </c>
      <c r="L54">
        <v>1348</v>
      </c>
      <c r="N54">
        <v>1009</v>
      </c>
      <c r="O54" t="s">
        <v>21</v>
      </c>
      <c r="P54" t="s">
        <v>21</v>
      </c>
      <c r="Q54">
        <v>1000</v>
      </c>
      <c r="W54">
        <v>0</v>
      </c>
      <c r="X54">
        <v>-384732532</v>
      </c>
      <c r="Y54">
        <f t="shared" ref="Y54:Y63" si="26">AT54</f>
        <v>4.0000000000000001E-3</v>
      </c>
      <c r="AA54">
        <v>71020.5</v>
      </c>
      <c r="AB54">
        <v>0</v>
      </c>
      <c r="AC54">
        <v>0</v>
      </c>
      <c r="AD54">
        <v>0</v>
      </c>
      <c r="AE54">
        <v>8475</v>
      </c>
      <c r="AF54">
        <v>0</v>
      </c>
      <c r="AG54">
        <v>0</v>
      </c>
      <c r="AH54">
        <v>0</v>
      </c>
      <c r="AI54">
        <v>8.3800000000000008</v>
      </c>
      <c r="AJ54">
        <v>1</v>
      </c>
      <c r="AK54">
        <v>1</v>
      </c>
      <c r="AL54">
        <v>1</v>
      </c>
      <c r="AM54">
        <v>4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4.0000000000000001E-3</v>
      </c>
      <c r="AU54" t="s">
        <v>3</v>
      </c>
      <c r="AV54">
        <v>0</v>
      </c>
      <c r="AW54">
        <v>2</v>
      </c>
      <c r="AX54">
        <v>145197256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ROUND(Y54*Source!I50,9)</f>
        <v>1.8000000000000001E-4</v>
      </c>
      <c r="CY54">
        <f>AA54</f>
        <v>71020.5</v>
      </c>
      <c r="CZ54">
        <f>AE54</f>
        <v>8475</v>
      </c>
      <c r="DA54">
        <f>AI54</f>
        <v>8.3800000000000008</v>
      </c>
      <c r="DB54">
        <f t="shared" ref="DB54:DB63" si="27">ROUND(ROUND(AT54*CZ54,2),2)</f>
        <v>33.9</v>
      </c>
      <c r="DC54">
        <f t="shared" ref="DC54:DC63" si="28">ROUND(ROUND(AT54*AG54,2),2)</f>
        <v>0</v>
      </c>
      <c r="DD54" t="s">
        <v>3</v>
      </c>
      <c r="DE54" t="s">
        <v>3</v>
      </c>
      <c r="DF54">
        <f>ROUND(ROUND(AE54*AI54,2)*CX54,2)</f>
        <v>12.78</v>
      </c>
      <c r="DG54">
        <f>ROUND(ROUND(AF54,2)*CX54,2)</f>
        <v>0</v>
      </c>
      <c r="DH54">
        <f>ROUND(ROUND(AG54,2)*CX54,2)</f>
        <v>0</v>
      </c>
      <c r="DI54">
        <f t="shared" si="25"/>
        <v>0</v>
      </c>
      <c r="DJ54">
        <f>DF54</f>
        <v>12.78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ROW(Source!A50)</f>
        <v>50</v>
      </c>
      <c r="B55">
        <v>145185703</v>
      </c>
      <c r="C55">
        <v>145197251</v>
      </c>
      <c r="D55">
        <v>140792325</v>
      </c>
      <c r="E55">
        <v>1</v>
      </c>
      <c r="F55">
        <v>1</v>
      </c>
      <c r="G55">
        <v>1</v>
      </c>
      <c r="H55">
        <v>3</v>
      </c>
      <c r="I55" t="s">
        <v>476</v>
      </c>
      <c r="J55" t="s">
        <v>477</v>
      </c>
      <c r="K55" t="s">
        <v>478</v>
      </c>
      <c r="L55">
        <v>1348</v>
      </c>
      <c r="N55">
        <v>1009</v>
      </c>
      <c r="O55" t="s">
        <v>21</v>
      </c>
      <c r="P55" t="s">
        <v>21</v>
      </c>
      <c r="Q55">
        <v>1000</v>
      </c>
      <c r="W55">
        <v>0</v>
      </c>
      <c r="X55">
        <v>-581832824</v>
      </c>
      <c r="Y55">
        <f t="shared" si="26"/>
        <v>1.2E-2</v>
      </c>
      <c r="AA55">
        <v>68632.2</v>
      </c>
      <c r="AB55">
        <v>0</v>
      </c>
      <c r="AC55">
        <v>0</v>
      </c>
      <c r="AD55">
        <v>0</v>
      </c>
      <c r="AE55">
        <v>8190</v>
      </c>
      <c r="AF55">
        <v>0</v>
      </c>
      <c r="AG55">
        <v>0</v>
      </c>
      <c r="AH55">
        <v>0</v>
      </c>
      <c r="AI55">
        <v>8.3800000000000008</v>
      </c>
      <c r="AJ55">
        <v>1</v>
      </c>
      <c r="AK55">
        <v>1</v>
      </c>
      <c r="AL55">
        <v>1</v>
      </c>
      <c r="AM55">
        <v>4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1.2E-2</v>
      </c>
      <c r="AU55" t="s">
        <v>3</v>
      </c>
      <c r="AV55">
        <v>0</v>
      </c>
      <c r="AW55">
        <v>2</v>
      </c>
      <c r="AX55">
        <v>145197257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ROUND(Y55*Source!I50,9)</f>
        <v>5.4000000000000001E-4</v>
      </c>
      <c r="CY55">
        <f>AA55</f>
        <v>68632.2</v>
      </c>
      <c r="CZ55">
        <f>AE55</f>
        <v>8190</v>
      </c>
      <c r="DA55">
        <f>AI55</f>
        <v>8.3800000000000008</v>
      </c>
      <c r="DB55">
        <f t="shared" si="27"/>
        <v>98.28</v>
      </c>
      <c r="DC55">
        <f t="shared" si="28"/>
        <v>0</v>
      </c>
      <c r="DD55" t="s">
        <v>3</v>
      </c>
      <c r="DE55" t="s">
        <v>3</v>
      </c>
      <c r="DF55">
        <f>ROUND(ROUND(AE55*AI55,2)*CX55,2)</f>
        <v>37.06</v>
      </c>
      <c r="DG55">
        <f>ROUND(ROUND(AF55,2)*CX55,2)</f>
        <v>0</v>
      </c>
      <c r="DH55">
        <f>ROUND(ROUND(AG55,2)*CX55,2)</f>
        <v>0</v>
      </c>
      <c r="DI55">
        <f t="shared" si="25"/>
        <v>0</v>
      </c>
      <c r="DJ55">
        <f>DF55</f>
        <v>37.06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ROW(Source!A50)</f>
        <v>50</v>
      </c>
      <c r="B56">
        <v>145185703</v>
      </c>
      <c r="C56">
        <v>145197251</v>
      </c>
      <c r="D56">
        <v>140792570</v>
      </c>
      <c r="E56">
        <v>1</v>
      </c>
      <c r="F56">
        <v>1</v>
      </c>
      <c r="G56">
        <v>1</v>
      </c>
      <c r="H56">
        <v>3</v>
      </c>
      <c r="I56" t="s">
        <v>84</v>
      </c>
      <c r="J56" t="s">
        <v>86</v>
      </c>
      <c r="K56" t="s">
        <v>85</v>
      </c>
      <c r="L56">
        <v>1348</v>
      </c>
      <c r="N56">
        <v>1009</v>
      </c>
      <c r="O56" t="s">
        <v>21</v>
      </c>
      <c r="P56" t="s">
        <v>21</v>
      </c>
      <c r="Q56">
        <v>1000</v>
      </c>
      <c r="W56">
        <v>1</v>
      </c>
      <c r="X56">
        <v>-509681559</v>
      </c>
      <c r="Y56">
        <f t="shared" si="26"/>
        <v>-0.56999999999999995</v>
      </c>
      <c r="AA56">
        <v>93856</v>
      </c>
      <c r="AB56">
        <v>0</v>
      </c>
      <c r="AC56">
        <v>0</v>
      </c>
      <c r="AD56">
        <v>0</v>
      </c>
      <c r="AE56">
        <v>11200</v>
      </c>
      <c r="AF56">
        <v>0</v>
      </c>
      <c r="AG56">
        <v>0</v>
      </c>
      <c r="AH56">
        <v>0</v>
      </c>
      <c r="AI56">
        <v>8.3800000000000008</v>
      </c>
      <c r="AJ56">
        <v>1</v>
      </c>
      <c r="AK56">
        <v>1</v>
      </c>
      <c r="AL56">
        <v>1</v>
      </c>
      <c r="AM56">
        <v>4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-0.56999999999999995</v>
      </c>
      <c r="AU56" t="s">
        <v>3</v>
      </c>
      <c r="AV56">
        <v>0</v>
      </c>
      <c r="AW56">
        <v>2</v>
      </c>
      <c r="AX56">
        <v>145197258</v>
      </c>
      <c r="AY56">
        <v>1</v>
      </c>
      <c r="AZ56">
        <v>6144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ROUND(Y56*Source!I50,9)</f>
        <v>-2.5649999999999999E-2</v>
      </c>
      <c r="CY56">
        <f>AA56</f>
        <v>93856</v>
      </c>
      <c r="CZ56">
        <f>AE56</f>
        <v>11200</v>
      </c>
      <c r="DA56">
        <f>AI56</f>
        <v>8.3800000000000008</v>
      </c>
      <c r="DB56">
        <f t="shared" si="27"/>
        <v>-6384</v>
      </c>
      <c r="DC56">
        <f t="shared" si="28"/>
        <v>0</v>
      </c>
      <c r="DD56" t="s">
        <v>3</v>
      </c>
      <c r="DE56" t="s">
        <v>3</v>
      </c>
      <c r="DF56">
        <f>ROUND(ROUND(AE56*AI56,2)*CX56,2)</f>
        <v>-2407.41</v>
      </c>
      <c r="DG56">
        <f>ROUND(ROUND(AF56,2)*CX56,2)</f>
        <v>0</v>
      </c>
      <c r="DH56">
        <f>ROUND(ROUND(AG56,2)*CX56,2)</f>
        <v>0</v>
      </c>
      <c r="DI56">
        <f t="shared" si="25"/>
        <v>0</v>
      </c>
      <c r="DJ56">
        <f>DF56</f>
        <v>-2407.41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ROW(Source!A54)</f>
        <v>54</v>
      </c>
      <c r="B57">
        <v>145185703</v>
      </c>
      <c r="C57">
        <v>145197330</v>
      </c>
      <c r="D57">
        <v>140759945</v>
      </c>
      <c r="E57">
        <v>70</v>
      </c>
      <c r="F57">
        <v>1</v>
      </c>
      <c r="G57">
        <v>1</v>
      </c>
      <c r="H57">
        <v>1</v>
      </c>
      <c r="I57" t="s">
        <v>495</v>
      </c>
      <c r="J57" t="s">
        <v>3</v>
      </c>
      <c r="K57" t="s">
        <v>496</v>
      </c>
      <c r="L57">
        <v>1191</v>
      </c>
      <c r="N57">
        <v>1013</v>
      </c>
      <c r="O57" t="s">
        <v>394</v>
      </c>
      <c r="P57" t="s">
        <v>394</v>
      </c>
      <c r="Q57">
        <v>1</v>
      </c>
      <c r="W57">
        <v>0</v>
      </c>
      <c r="X57">
        <v>-366857280</v>
      </c>
      <c r="Y57">
        <f t="shared" si="26"/>
        <v>138.49</v>
      </c>
      <c r="AA57">
        <v>0</v>
      </c>
      <c r="AB57">
        <v>0</v>
      </c>
      <c r="AC57">
        <v>0</v>
      </c>
      <c r="AD57">
        <v>362.94</v>
      </c>
      <c r="AE57">
        <v>0</v>
      </c>
      <c r="AF57">
        <v>0</v>
      </c>
      <c r="AG57">
        <v>0</v>
      </c>
      <c r="AH57">
        <v>7.94</v>
      </c>
      <c r="AI57">
        <v>1</v>
      </c>
      <c r="AJ57">
        <v>1</v>
      </c>
      <c r="AK57">
        <v>1</v>
      </c>
      <c r="AL57">
        <v>45.71</v>
      </c>
      <c r="AM57">
        <v>4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138.49</v>
      </c>
      <c r="AU57" t="s">
        <v>3</v>
      </c>
      <c r="AV57">
        <v>1</v>
      </c>
      <c r="AW57">
        <v>2</v>
      </c>
      <c r="AX57">
        <v>145197331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ROUND(Y57*Source!I54,9)</f>
        <v>138.49</v>
      </c>
      <c r="CY57">
        <f>AD57</f>
        <v>362.94</v>
      </c>
      <c r="CZ57">
        <f>AH57</f>
        <v>7.94</v>
      </c>
      <c r="DA57">
        <f>AL57</f>
        <v>45.71</v>
      </c>
      <c r="DB57">
        <f t="shared" si="27"/>
        <v>1099.6099999999999</v>
      </c>
      <c r="DC57">
        <f t="shared" si="28"/>
        <v>0</v>
      </c>
      <c r="DD57" t="s">
        <v>3</v>
      </c>
      <c r="DE57" t="s">
        <v>3</v>
      </c>
      <c r="DF57">
        <f>ROUND(ROUND(AE57,2)*CX57,2)</f>
        <v>0</v>
      </c>
      <c r="DG57">
        <f>ROUND(ROUND(AF57,2)*CX57,2)</f>
        <v>0</v>
      </c>
      <c r="DH57">
        <f>ROUND(ROUND(AG57,2)*CX57,2)</f>
        <v>0</v>
      </c>
      <c r="DI57">
        <f>ROUND(ROUND(AH57*AL57,2)*CX57,2)</f>
        <v>50263.56</v>
      </c>
      <c r="DJ57">
        <f>DI57</f>
        <v>50263.56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ROW(Source!A54)</f>
        <v>54</v>
      </c>
      <c r="B58">
        <v>145185703</v>
      </c>
      <c r="C58">
        <v>145197330</v>
      </c>
      <c r="D58">
        <v>140760225</v>
      </c>
      <c r="E58">
        <v>70</v>
      </c>
      <c r="F58">
        <v>1</v>
      </c>
      <c r="G58">
        <v>1</v>
      </c>
      <c r="H58">
        <v>1</v>
      </c>
      <c r="I58" t="s">
        <v>403</v>
      </c>
      <c r="J58" t="s">
        <v>3</v>
      </c>
      <c r="K58" t="s">
        <v>404</v>
      </c>
      <c r="L58">
        <v>1191</v>
      </c>
      <c r="N58">
        <v>1013</v>
      </c>
      <c r="O58" t="s">
        <v>394</v>
      </c>
      <c r="P58" t="s">
        <v>394</v>
      </c>
      <c r="Q58">
        <v>1</v>
      </c>
      <c r="W58">
        <v>0</v>
      </c>
      <c r="X58">
        <v>-1417349443</v>
      </c>
      <c r="Y58">
        <f t="shared" si="26"/>
        <v>1.1200000000000001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45.71</v>
      </c>
      <c r="AL58">
        <v>1</v>
      </c>
      <c r="AM58">
        <v>4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1.1200000000000001</v>
      </c>
      <c r="AU58" t="s">
        <v>3</v>
      </c>
      <c r="AV58">
        <v>2</v>
      </c>
      <c r="AW58">
        <v>2</v>
      </c>
      <c r="AX58">
        <v>145197332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ROUND(Y58*Source!I54,9)</f>
        <v>1.1200000000000001</v>
      </c>
      <c r="CY58">
        <f>AD58</f>
        <v>0</v>
      </c>
      <c r="CZ58">
        <f>AH58</f>
        <v>0</v>
      </c>
      <c r="DA58">
        <f>AL58</f>
        <v>1</v>
      </c>
      <c r="DB58">
        <f t="shared" si="27"/>
        <v>0</v>
      </c>
      <c r="DC58">
        <f t="shared" si="28"/>
        <v>0</v>
      </c>
      <c r="DD58" t="s">
        <v>3</v>
      </c>
      <c r="DE58" t="s">
        <v>3</v>
      </c>
      <c r="DF58">
        <f>ROUND(ROUND(AE58,2)*CX58,2)</f>
        <v>0</v>
      </c>
      <c r="DG58">
        <f>ROUND(ROUND(AF58,2)*CX58,2)</f>
        <v>0</v>
      </c>
      <c r="DH58">
        <f>ROUND(ROUND(AG58*AK58,2)*CX58,2)</f>
        <v>0</v>
      </c>
      <c r="DI58">
        <f t="shared" ref="DI58:DI63" si="29">ROUND(ROUND(AH58,2)*CX58,2)</f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ROW(Source!A54)</f>
        <v>54</v>
      </c>
      <c r="B59">
        <v>145185703</v>
      </c>
      <c r="C59">
        <v>145197330</v>
      </c>
      <c r="D59">
        <v>140923086</v>
      </c>
      <c r="E59">
        <v>1</v>
      </c>
      <c r="F59">
        <v>1</v>
      </c>
      <c r="G59">
        <v>1</v>
      </c>
      <c r="H59">
        <v>2</v>
      </c>
      <c r="I59" t="s">
        <v>497</v>
      </c>
      <c r="J59" t="s">
        <v>498</v>
      </c>
      <c r="K59" t="s">
        <v>499</v>
      </c>
      <c r="L59">
        <v>1367</v>
      </c>
      <c r="N59">
        <v>1011</v>
      </c>
      <c r="O59" t="s">
        <v>398</v>
      </c>
      <c r="P59" t="s">
        <v>398</v>
      </c>
      <c r="Q59">
        <v>1</v>
      </c>
      <c r="W59">
        <v>0</v>
      </c>
      <c r="X59">
        <v>208619310</v>
      </c>
      <c r="Y59">
        <f t="shared" si="26"/>
        <v>1.56</v>
      </c>
      <c r="AA59">
        <v>0</v>
      </c>
      <c r="AB59">
        <v>22.8</v>
      </c>
      <c r="AC59">
        <v>0</v>
      </c>
      <c r="AD59">
        <v>0</v>
      </c>
      <c r="AE59">
        <v>0</v>
      </c>
      <c r="AF59">
        <v>1.7</v>
      </c>
      <c r="AG59">
        <v>0</v>
      </c>
      <c r="AH59">
        <v>0</v>
      </c>
      <c r="AI59">
        <v>1</v>
      </c>
      <c r="AJ59">
        <v>13.41</v>
      </c>
      <c r="AK59">
        <v>45.71</v>
      </c>
      <c r="AL59">
        <v>1</v>
      </c>
      <c r="AM59">
        <v>4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1.56</v>
      </c>
      <c r="AU59" t="s">
        <v>3</v>
      </c>
      <c r="AV59">
        <v>0</v>
      </c>
      <c r="AW59">
        <v>2</v>
      </c>
      <c r="AX59">
        <v>145197333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ROUND(Y59*Source!I54,9)</f>
        <v>1.56</v>
      </c>
      <c r="CY59">
        <f>AB59</f>
        <v>22.8</v>
      </c>
      <c r="CZ59">
        <f>AF59</f>
        <v>1.7</v>
      </c>
      <c r="DA59">
        <f>AJ59</f>
        <v>13.41</v>
      </c>
      <c r="DB59">
        <f t="shared" si="27"/>
        <v>2.65</v>
      </c>
      <c r="DC59">
        <f t="shared" si="28"/>
        <v>0</v>
      </c>
      <c r="DD59" t="s">
        <v>3</v>
      </c>
      <c r="DE59" t="s">
        <v>3</v>
      </c>
      <c r="DF59">
        <f>ROUND(ROUND(AE59,2)*CX59,2)</f>
        <v>0</v>
      </c>
      <c r="DG59">
        <f>ROUND(ROUND(AF59*AJ59,2)*CX59,2)</f>
        <v>35.57</v>
      </c>
      <c r="DH59">
        <f>ROUND(ROUND(AG59*AK59,2)*CX59,2)</f>
        <v>0</v>
      </c>
      <c r="DI59">
        <f t="shared" si="29"/>
        <v>0</v>
      </c>
      <c r="DJ59">
        <f>DG59</f>
        <v>35.57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ROW(Source!A54)</f>
        <v>54</v>
      </c>
      <c r="B60">
        <v>145185703</v>
      </c>
      <c r="C60">
        <v>145197330</v>
      </c>
      <c r="D60">
        <v>140923885</v>
      </c>
      <c r="E60">
        <v>1</v>
      </c>
      <c r="F60">
        <v>1</v>
      </c>
      <c r="G60">
        <v>1</v>
      </c>
      <c r="H60">
        <v>2</v>
      </c>
      <c r="I60" t="s">
        <v>417</v>
      </c>
      <c r="J60" t="s">
        <v>418</v>
      </c>
      <c r="K60" t="s">
        <v>419</v>
      </c>
      <c r="L60">
        <v>1367</v>
      </c>
      <c r="N60">
        <v>1011</v>
      </c>
      <c r="O60" t="s">
        <v>398</v>
      </c>
      <c r="P60" t="s">
        <v>398</v>
      </c>
      <c r="Q60">
        <v>1</v>
      </c>
      <c r="W60">
        <v>0</v>
      </c>
      <c r="X60">
        <v>509054691</v>
      </c>
      <c r="Y60">
        <f t="shared" si="26"/>
        <v>1.1200000000000001</v>
      </c>
      <c r="AA60">
        <v>0</v>
      </c>
      <c r="AB60">
        <v>881.17</v>
      </c>
      <c r="AC60">
        <v>530.24</v>
      </c>
      <c r="AD60">
        <v>0</v>
      </c>
      <c r="AE60">
        <v>0</v>
      </c>
      <c r="AF60">
        <v>65.709999999999994</v>
      </c>
      <c r="AG60">
        <v>11.6</v>
      </c>
      <c r="AH60">
        <v>0</v>
      </c>
      <c r="AI60">
        <v>1</v>
      </c>
      <c r="AJ60">
        <v>13.41</v>
      </c>
      <c r="AK60">
        <v>45.71</v>
      </c>
      <c r="AL60">
        <v>1</v>
      </c>
      <c r="AM60">
        <v>4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1.1200000000000001</v>
      </c>
      <c r="AU60" t="s">
        <v>3</v>
      </c>
      <c r="AV60">
        <v>0</v>
      </c>
      <c r="AW60">
        <v>2</v>
      </c>
      <c r="AX60">
        <v>145197334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ROUND(Y60*Source!I54,9)</f>
        <v>1.1200000000000001</v>
      </c>
      <c r="CY60">
        <f>AB60</f>
        <v>881.17</v>
      </c>
      <c r="CZ60">
        <f>AF60</f>
        <v>65.709999999999994</v>
      </c>
      <c r="DA60">
        <f>AJ60</f>
        <v>13.41</v>
      </c>
      <c r="DB60">
        <f t="shared" si="27"/>
        <v>73.599999999999994</v>
      </c>
      <c r="DC60">
        <f t="shared" si="28"/>
        <v>12.99</v>
      </c>
      <c r="DD60" t="s">
        <v>3</v>
      </c>
      <c r="DE60" t="s">
        <v>3</v>
      </c>
      <c r="DF60">
        <f>ROUND(ROUND(AE60,2)*CX60,2)</f>
        <v>0</v>
      </c>
      <c r="DG60">
        <f>ROUND(ROUND(AF60*AJ60,2)*CX60,2)</f>
        <v>986.91</v>
      </c>
      <c r="DH60">
        <f>ROUND(ROUND(AG60*AK60,2)*CX60,2)</f>
        <v>593.87</v>
      </c>
      <c r="DI60">
        <f t="shared" si="29"/>
        <v>0</v>
      </c>
      <c r="DJ60">
        <f>DG60</f>
        <v>986.91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ROW(Source!A54)</f>
        <v>54</v>
      </c>
      <c r="B61">
        <v>145185703</v>
      </c>
      <c r="C61">
        <v>145197330</v>
      </c>
      <c r="D61">
        <v>140775118</v>
      </c>
      <c r="E61">
        <v>1</v>
      </c>
      <c r="F61">
        <v>1</v>
      </c>
      <c r="G61">
        <v>1</v>
      </c>
      <c r="H61">
        <v>3</v>
      </c>
      <c r="I61" t="s">
        <v>500</v>
      </c>
      <c r="J61" t="s">
        <v>501</v>
      </c>
      <c r="K61" t="s">
        <v>502</v>
      </c>
      <c r="L61">
        <v>1348</v>
      </c>
      <c r="N61">
        <v>1009</v>
      </c>
      <c r="O61" t="s">
        <v>21</v>
      </c>
      <c r="P61" t="s">
        <v>21</v>
      </c>
      <c r="Q61">
        <v>1000</v>
      </c>
      <c r="W61">
        <v>0</v>
      </c>
      <c r="X61">
        <v>-45966985</v>
      </c>
      <c r="Y61">
        <f t="shared" si="26"/>
        <v>1E-3</v>
      </c>
      <c r="AA61">
        <v>100375.64</v>
      </c>
      <c r="AB61">
        <v>0</v>
      </c>
      <c r="AC61">
        <v>0</v>
      </c>
      <c r="AD61">
        <v>0</v>
      </c>
      <c r="AE61">
        <v>11978</v>
      </c>
      <c r="AF61">
        <v>0</v>
      </c>
      <c r="AG61">
        <v>0</v>
      </c>
      <c r="AH61">
        <v>0</v>
      </c>
      <c r="AI61">
        <v>8.3800000000000008</v>
      </c>
      <c r="AJ61">
        <v>1</v>
      </c>
      <c r="AK61">
        <v>1</v>
      </c>
      <c r="AL61">
        <v>1</v>
      </c>
      <c r="AM61">
        <v>4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1E-3</v>
      </c>
      <c r="AU61" t="s">
        <v>3</v>
      </c>
      <c r="AV61">
        <v>0</v>
      </c>
      <c r="AW61">
        <v>2</v>
      </c>
      <c r="AX61">
        <v>145197335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ROUND(Y61*Source!I54,9)</f>
        <v>1E-3</v>
      </c>
      <c r="CY61">
        <f>AA61</f>
        <v>100375.64</v>
      </c>
      <c r="CZ61">
        <f>AE61</f>
        <v>11978</v>
      </c>
      <c r="DA61">
        <f>AI61</f>
        <v>8.3800000000000008</v>
      </c>
      <c r="DB61">
        <f t="shared" si="27"/>
        <v>11.98</v>
      </c>
      <c r="DC61">
        <f t="shared" si="28"/>
        <v>0</v>
      </c>
      <c r="DD61" t="s">
        <v>3</v>
      </c>
      <c r="DE61" t="s">
        <v>3</v>
      </c>
      <c r="DF61">
        <f>ROUND(ROUND(AE61*AI61,2)*CX61,2)</f>
        <v>100.38</v>
      </c>
      <c r="DG61">
        <f>ROUND(ROUND(AF61,2)*CX61,2)</f>
        <v>0</v>
      </c>
      <c r="DH61">
        <f>ROUND(ROUND(AG61,2)*CX61,2)</f>
        <v>0</v>
      </c>
      <c r="DI61">
        <f t="shared" si="29"/>
        <v>0</v>
      </c>
      <c r="DJ61">
        <f>DF61</f>
        <v>100.38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ROW(Source!A54)</f>
        <v>54</v>
      </c>
      <c r="B62">
        <v>145185703</v>
      </c>
      <c r="C62">
        <v>145197330</v>
      </c>
      <c r="D62">
        <v>140762576</v>
      </c>
      <c r="E62">
        <v>70</v>
      </c>
      <c r="F62">
        <v>1</v>
      </c>
      <c r="G62">
        <v>1</v>
      </c>
      <c r="H62">
        <v>3</v>
      </c>
      <c r="I62" t="s">
        <v>503</v>
      </c>
      <c r="J62" t="s">
        <v>3</v>
      </c>
      <c r="K62" t="s">
        <v>504</v>
      </c>
      <c r="L62">
        <v>1339</v>
      </c>
      <c r="N62">
        <v>1007</v>
      </c>
      <c r="O62" t="s">
        <v>141</v>
      </c>
      <c r="P62" t="s">
        <v>141</v>
      </c>
      <c r="Q62">
        <v>1</v>
      </c>
      <c r="W62">
        <v>0</v>
      </c>
      <c r="X62">
        <v>-1347765820</v>
      </c>
      <c r="Y62">
        <f t="shared" si="26"/>
        <v>5.2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8.3800000000000008</v>
      </c>
      <c r="AJ62">
        <v>1</v>
      </c>
      <c r="AK62">
        <v>1</v>
      </c>
      <c r="AL62">
        <v>1</v>
      </c>
      <c r="AM62">
        <v>4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5.2</v>
      </c>
      <c r="AU62" t="s">
        <v>3</v>
      </c>
      <c r="AV62">
        <v>0</v>
      </c>
      <c r="AW62">
        <v>2</v>
      </c>
      <c r="AX62">
        <v>145197336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ROUND(Y62*Source!I54,9)</f>
        <v>5.2</v>
      </c>
      <c r="CY62">
        <f>AA62</f>
        <v>0</v>
      </c>
      <c r="CZ62">
        <f>AE62</f>
        <v>0</v>
      </c>
      <c r="DA62">
        <f>AI62</f>
        <v>8.3800000000000008</v>
      </c>
      <c r="DB62">
        <f t="shared" si="27"/>
        <v>0</v>
      </c>
      <c r="DC62">
        <f t="shared" si="28"/>
        <v>0</v>
      </c>
      <c r="DD62" t="s">
        <v>3</v>
      </c>
      <c r="DE62" t="s">
        <v>3</v>
      </c>
      <c r="DF62">
        <f>ROUND(ROUND(AE62*AI62,2)*CX62,2)</f>
        <v>0</v>
      </c>
      <c r="DG62">
        <f>ROUND(ROUND(AF62,2)*CX62,2)</f>
        <v>0</v>
      </c>
      <c r="DH62">
        <f>ROUND(ROUND(AG62,2)*CX62,2)</f>
        <v>0</v>
      </c>
      <c r="DI62">
        <f t="shared" si="29"/>
        <v>0</v>
      </c>
      <c r="DJ62">
        <f>DF62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ROW(Source!A54)</f>
        <v>54</v>
      </c>
      <c r="B63">
        <v>145185703</v>
      </c>
      <c r="C63">
        <v>145197330</v>
      </c>
      <c r="D63">
        <v>140765020</v>
      </c>
      <c r="E63">
        <v>70</v>
      </c>
      <c r="F63">
        <v>1</v>
      </c>
      <c r="G63">
        <v>1</v>
      </c>
      <c r="H63">
        <v>3</v>
      </c>
      <c r="I63" t="s">
        <v>399</v>
      </c>
      <c r="J63" t="s">
        <v>3</v>
      </c>
      <c r="K63" t="s">
        <v>400</v>
      </c>
      <c r="L63">
        <v>1348</v>
      </c>
      <c r="N63">
        <v>1009</v>
      </c>
      <c r="O63" t="s">
        <v>21</v>
      </c>
      <c r="P63" t="s">
        <v>21</v>
      </c>
      <c r="Q63">
        <v>1000</v>
      </c>
      <c r="W63">
        <v>0</v>
      </c>
      <c r="X63">
        <v>2102561428</v>
      </c>
      <c r="Y63">
        <f t="shared" si="26"/>
        <v>2.83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8.3800000000000008</v>
      </c>
      <c r="AJ63">
        <v>1</v>
      </c>
      <c r="AK63">
        <v>1</v>
      </c>
      <c r="AL63">
        <v>1</v>
      </c>
      <c r="AM63">
        <v>4</v>
      </c>
      <c r="AN63">
        <v>0</v>
      </c>
      <c r="AO63">
        <v>0</v>
      </c>
      <c r="AP63">
        <v>0</v>
      </c>
      <c r="AQ63">
        <v>0</v>
      </c>
      <c r="AR63">
        <v>0</v>
      </c>
      <c r="AS63" t="s">
        <v>3</v>
      </c>
      <c r="AT63">
        <v>2.83</v>
      </c>
      <c r="AU63" t="s">
        <v>3</v>
      </c>
      <c r="AV63">
        <v>0</v>
      </c>
      <c r="AW63">
        <v>2</v>
      </c>
      <c r="AX63">
        <v>145197337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ROUND(Y63*Source!I54,9)</f>
        <v>2.83</v>
      </c>
      <c r="CY63">
        <f>AA63</f>
        <v>0</v>
      </c>
      <c r="CZ63">
        <f>AE63</f>
        <v>0</v>
      </c>
      <c r="DA63">
        <f>AI63</f>
        <v>8.3800000000000008</v>
      </c>
      <c r="DB63">
        <f t="shared" si="27"/>
        <v>0</v>
      </c>
      <c r="DC63">
        <f t="shared" si="28"/>
        <v>0</v>
      </c>
      <c r="DD63" t="s">
        <v>3</v>
      </c>
      <c r="DE63" t="s">
        <v>3</v>
      </c>
      <c r="DF63">
        <f>ROUND(ROUND(AE63*AI63,2)*CX63,2)</f>
        <v>0</v>
      </c>
      <c r="DG63">
        <f>ROUND(ROUND(AF63,2)*CX63,2)</f>
        <v>0</v>
      </c>
      <c r="DH63">
        <f>ROUND(ROUND(AG63,2)*CX63,2)</f>
        <v>0</v>
      </c>
      <c r="DI63">
        <f t="shared" si="29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ROW(Source!A56)</f>
        <v>56</v>
      </c>
      <c r="B64">
        <v>145185703</v>
      </c>
      <c r="C64">
        <v>145197338</v>
      </c>
      <c r="D64">
        <v>140759985</v>
      </c>
      <c r="E64">
        <v>70</v>
      </c>
      <c r="F64">
        <v>1</v>
      </c>
      <c r="G64">
        <v>1</v>
      </c>
      <c r="H64">
        <v>1</v>
      </c>
      <c r="I64" t="s">
        <v>401</v>
      </c>
      <c r="J64" t="s">
        <v>3</v>
      </c>
      <c r="K64" t="s">
        <v>402</v>
      </c>
      <c r="L64">
        <v>1191</v>
      </c>
      <c r="N64">
        <v>1013</v>
      </c>
      <c r="O64" t="s">
        <v>394</v>
      </c>
      <c r="P64" t="s">
        <v>394</v>
      </c>
      <c r="Q64">
        <v>1</v>
      </c>
      <c r="W64">
        <v>0</v>
      </c>
      <c r="X64">
        <v>784619160</v>
      </c>
      <c r="Y64">
        <f>(AT64*1.15)</f>
        <v>4.6345000000000001</v>
      </c>
      <c r="AA64">
        <v>0</v>
      </c>
      <c r="AB64">
        <v>0</v>
      </c>
      <c r="AC64">
        <v>0</v>
      </c>
      <c r="AD64">
        <v>399.51</v>
      </c>
      <c r="AE64">
        <v>0</v>
      </c>
      <c r="AF64">
        <v>0</v>
      </c>
      <c r="AG64">
        <v>0</v>
      </c>
      <c r="AH64">
        <v>8.74</v>
      </c>
      <c r="AI64">
        <v>1</v>
      </c>
      <c r="AJ64">
        <v>1</v>
      </c>
      <c r="AK64">
        <v>1</v>
      </c>
      <c r="AL64">
        <v>45.71</v>
      </c>
      <c r="AM64">
        <v>4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4.03</v>
      </c>
      <c r="AU64" t="s">
        <v>43</v>
      </c>
      <c r="AV64">
        <v>1</v>
      </c>
      <c r="AW64">
        <v>2</v>
      </c>
      <c r="AX64">
        <v>145197339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ROUND(Y64*Source!I56,9)</f>
        <v>14.320605</v>
      </c>
      <c r="CY64">
        <f>AD64</f>
        <v>399.51</v>
      </c>
      <c r="CZ64">
        <f>AH64</f>
        <v>8.74</v>
      </c>
      <c r="DA64">
        <f>AL64</f>
        <v>45.71</v>
      </c>
      <c r="DB64">
        <f>ROUND((ROUND(AT64*CZ64,2)*1.15),2)</f>
        <v>40.5</v>
      </c>
      <c r="DC64">
        <f>ROUND((ROUND(AT64*AG64,2)*1.15),2)</f>
        <v>0</v>
      </c>
      <c r="DD64" t="s">
        <v>3</v>
      </c>
      <c r="DE64" t="s">
        <v>3</v>
      </c>
      <c r="DF64">
        <f>ROUND(ROUND(AE64,2)*CX64,2)</f>
        <v>0</v>
      </c>
      <c r="DG64">
        <f>ROUND(ROUND(AF64,2)*CX64,2)</f>
        <v>0</v>
      </c>
      <c r="DH64">
        <f>ROUND(ROUND(AG64,2)*CX64,2)</f>
        <v>0</v>
      </c>
      <c r="DI64">
        <f>ROUND(ROUND(AH64*AL64,2)*CX64,2)</f>
        <v>5721.22</v>
      </c>
      <c r="DJ64">
        <f>DI64</f>
        <v>5721.22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ROW(Source!A56)</f>
        <v>56</v>
      </c>
      <c r="B65">
        <v>145185703</v>
      </c>
      <c r="C65">
        <v>145197338</v>
      </c>
      <c r="D65">
        <v>140760225</v>
      </c>
      <c r="E65">
        <v>70</v>
      </c>
      <c r="F65">
        <v>1</v>
      </c>
      <c r="G65">
        <v>1</v>
      </c>
      <c r="H65">
        <v>1</v>
      </c>
      <c r="I65" t="s">
        <v>403</v>
      </c>
      <c r="J65" t="s">
        <v>3</v>
      </c>
      <c r="K65" t="s">
        <v>404</v>
      </c>
      <c r="L65">
        <v>1191</v>
      </c>
      <c r="N65">
        <v>1013</v>
      </c>
      <c r="O65" t="s">
        <v>394</v>
      </c>
      <c r="P65" t="s">
        <v>394</v>
      </c>
      <c r="Q65">
        <v>1</v>
      </c>
      <c r="W65">
        <v>0</v>
      </c>
      <c r="X65">
        <v>-1417349443</v>
      </c>
      <c r="Y65">
        <f>(AT65*1.25)</f>
        <v>7.4999999999999997E-2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45.71</v>
      </c>
      <c r="AL65">
        <v>1</v>
      </c>
      <c r="AM65">
        <v>4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0.06</v>
      </c>
      <c r="AU65" t="s">
        <v>42</v>
      </c>
      <c r="AV65">
        <v>2</v>
      </c>
      <c r="AW65">
        <v>2</v>
      </c>
      <c r="AX65">
        <v>145197340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ROUND(Y65*Source!I56,9)</f>
        <v>0.23175000000000001</v>
      </c>
      <c r="CY65">
        <f>AD65</f>
        <v>0</v>
      </c>
      <c r="CZ65">
        <f>AH65</f>
        <v>0</v>
      </c>
      <c r="DA65">
        <f>AL65</f>
        <v>1</v>
      </c>
      <c r="DB65">
        <f>ROUND((ROUND(AT65*CZ65,2)*1.25),2)</f>
        <v>0</v>
      </c>
      <c r="DC65">
        <f>ROUND((ROUND(AT65*AG65,2)*1.25),2)</f>
        <v>0</v>
      </c>
      <c r="DD65" t="s">
        <v>3</v>
      </c>
      <c r="DE65" t="s">
        <v>3</v>
      </c>
      <c r="DF65">
        <f>ROUND(ROUND(AE65,2)*CX65,2)</f>
        <v>0</v>
      </c>
      <c r="DG65">
        <f>ROUND(ROUND(AF65,2)*CX65,2)</f>
        <v>0</v>
      </c>
      <c r="DH65">
        <f>ROUND(ROUND(AG65*AK65,2)*CX65,2)</f>
        <v>0</v>
      </c>
      <c r="DI65">
        <f t="shared" ref="DI65:DI70" si="30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ROW(Source!A56)</f>
        <v>56</v>
      </c>
      <c r="B66">
        <v>145185703</v>
      </c>
      <c r="C66">
        <v>145197338</v>
      </c>
      <c r="D66">
        <v>140922951</v>
      </c>
      <c r="E66">
        <v>1</v>
      </c>
      <c r="F66">
        <v>1</v>
      </c>
      <c r="G66">
        <v>1</v>
      </c>
      <c r="H66">
        <v>2</v>
      </c>
      <c r="I66" t="s">
        <v>408</v>
      </c>
      <c r="J66" t="s">
        <v>409</v>
      </c>
      <c r="K66" t="s">
        <v>410</v>
      </c>
      <c r="L66">
        <v>1367</v>
      </c>
      <c r="N66">
        <v>1011</v>
      </c>
      <c r="O66" t="s">
        <v>398</v>
      </c>
      <c r="P66" t="s">
        <v>398</v>
      </c>
      <c r="Q66">
        <v>1</v>
      </c>
      <c r="W66">
        <v>0</v>
      </c>
      <c r="X66">
        <v>-430484415</v>
      </c>
      <c r="Y66">
        <f>(AT66*1.25)</f>
        <v>2.5000000000000001E-2</v>
      </c>
      <c r="AA66">
        <v>0</v>
      </c>
      <c r="AB66">
        <v>1547.51</v>
      </c>
      <c r="AC66">
        <v>617.09</v>
      </c>
      <c r="AD66">
        <v>0</v>
      </c>
      <c r="AE66">
        <v>0</v>
      </c>
      <c r="AF66">
        <v>115.4</v>
      </c>
      <c r="AG66">
        <v>13.5</v>
      </c>
      <c r="AH66">
        <v>0</v>
      </c>
      <c r="AI66">
        <v>1</v>
      </c>
      <c r="AJ66">
        <v>13.41</v>
      </c>
      <c r="AK66">
        <v>45.71</v>
      </c>
      <c r="AL66">
        <v>1</v>
      </c>
      <c r="AM66">
        <v>4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0.02</v>
      </c>
      <c r="AU66" t="s">
        <v>42</v>
      </c>
      <c r="AV66">
        <v>0</v>
      </c>
      <c r="AW66">
        <v>2</v>
      </c>
      <c r="AX66">
        <v>145197341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ROUND(Y66*Source!I56,9)</f>
        <v>7.7249999999999999E-2</v>
      </c>
      <c r="CY66">
        <f>AB66</f>
        <v>1547.51</v>
      </c>
      <c r="CZ66">
        <f>AF66</f>
        <v>115.4</v>
      </c>
      <c r="DA66">
        <f>AJ66</f>
        <v>13.41</v>
      </c>
      <c r="DB66">
        <f>ROUND((ROUND(AT66*CZ66,2)*1.25),2)</f>
        <v>2.89</v>
      </c>
      <c r="DC66">
        <f>ROUND((ROUND(AT66*AG66,2)*1.25),2)</f>
        <v>0.34</v>
      </c>
      <c r="DD66" t="s">
        <v>3</v>
      </c>
      <c r="DE66" t="s">
        <v>3</v>
      </c>
      <c r="DF66">
        <f>ROUND(ROUND(AE66,2)*CX66,2)</f>
        <v>0</v>
      </c>
      <c r="DG66">
        <f>ROUND(ROUND(AF66*AJ66,2)*CX66,2)</f>
        <v>119.55</v>
      </c>
      <c r="DH66">
        <f>ROUND(ROUND(AG66*AK66,2)*CX66,2)</f>
        <v>47.67</v>
      </c>
      <c r="DI66">
        <f t="shared" si="30"/>
        <v>0</v>
      </c>
      <c r="DJ66">
        <f>DG66</f>
        <v>119.55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ROW(Source!A56)</f>
        <v>56</v>
      </c>
      <c r="B67">
        <v>145185703</v>
      </c>
      <c r="C67">
        <v>145197338</v>
      </c>
      <c r="D67">
        <v>140923885</v>
      </c>
      <c r="E67">
        <v>1</v>
      </c>
      <c r="F67">
        <v>1</v>
      </c>
      <c r="G67">
        <v>1</v>
      </c>
      <c r="H67">
        <v>2</v>
      </c>
      <c r="I67" t="s">
        <v>417</v>
      </c>
      <c r="J67" t="s">
        <v>418</v>
      </c>
      <c r="K67" t="s">
        <v>419</v>
      </c>
      <c r="L67">
        <v>1367</v>
      </c>
      <c r="N67">
        <v>1011</v>
      </c>
      <c r="O67" t="s">
        <v>398</v>
      </c>
      <c r="P67" t="s">
        <v>398</v>
      </c>
      <c r="Q67">
        <v>1</v>
      </c>
      <c r="W67">
        <v>0</v>
      </c>
      <c r="X67">
        <v>509054691</v>
      </c>
      <c r="Y67">
        <f>(AT67*1.25)</f>
        <v>0.05</v>
      </c>
      <c r="AA67">
        <v>0</v>
      </c>
      <c r="AB67">
        <v>881.17</v>
      </c>
      <c r="AC67">
        <v>530.24</v>
      </c>
      <c r="AD67">
        <v>0</v>
      </c>
      <c r="AE67">
        <v>0</v>
      </c>
      <c r="AF67">
        <v>65.709999999999994</v>
      </c>
      <c r="AG67">
        <v>11.6</v>
      </c>
      <c r="AH67">
        <v>0</v>
      </c>
      <c r="AI67">
        <v>1</v>
      </c>
      <c r="AJ67">
        <v>13.41</v>
      </c>
      <c r="AK67">
        <v>45.71</v>
      </c>
      <c r="AL67">
        <v>1</v>
      </c>
      <c r="AM67">
        <v>4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0.04</v>
      </c>
      <c r="AU67" t="s">
        <v>42</v>
      </c>
      <c r="AV67">
        <v>0</v>
      </c>
      <c r="AW67">
        <v>2</v>
      </c>
      <c r="AX67">
        <v>145197342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ROUND(Y67*Source!I56,9)</f>
        <v>0.1545</v>
      </c>
      <c r="CY67">
        <f>AB67</f>
        <v>881.17</v>
      </c>
      <c r="CZ67">
        <f>AF67</f>
        <v>65.709999999999994</v>
      </c>
      <c r="DA67">
        <f>AJ67</f>
        <v>13.41</v>
      </c>
      <c r="DB67">
        <f>ROUND((ROUND(AT67*CZ67,2)*1.25),2)</f>
        <v>3.29</v>
      </c>
      <c r="DC67">
        <f>ROUND((ROUND(AT67*AG67,2)*1.25),2)</f>
        <v>0.57999999999999996</v>
      </c>
      <c r="DD67" t="s">
        <v>3</v>
      </c>
      <c r="DE67" t="s">
        <v>3</v>
      </c>
      <c r="DF67">
        <f>ROUND(ROUND(AE67,2)*CX67,2)</f>
        <v>0</v>
      </c>
      <c r="DG67">
        <f>ROUND(ROUND(AF67*AJ67,2)*CX67,2)</f>
        <v>136.13999999999999</v>
      </c>
      <c r="DH67">
        <f>ROUND(ROUND(AG67*AK67,2)*CX67,2)</f>
        <v>81.92</v>
      </c>
      <c r="DI67">
        <f t="shared" si="30"/>
        <v>0</v>
      </c>
      <c r="DJ67">
        <f>DG67</f>
        <v>136.13999999999999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ROW(Source!A56)</f>
        <v>56</v>
      </c>
      <c r="B68">
        <v>145185703</v>
      </c>
      <c r="C68">
        <v>145197338</v>
      </c>
      <c r="D68">
        <v>140924530</v>
      </c>
      <c r="E68">
        <v>1</v>
      </c>
      <c r="F68">
        <v>1</v>
      </c>
      <c r="G68">
        <v>1</v>
      </c>
      <c r="H68">
        <v>2</v>
      </c>
      <c r="I68" t="s">
        <v>505</v>
      </c>
      <c r="J68" t="s">
        <v>506</v>
      </c>
      <c r="K68" t="s">
        <v>507</v>
      </c>
      <c r="L68">
        <v>1367</v>
      </c>
      <c r="N68">
        <v>1011</v>
      </c>
      <c r="O68" t="s">
        <v>398</v>
      </c>
      <c r="P68" t="s">
        <v>398</v>
      </c>
      <c r="Q68">
        <v>1</v>
      </c>
      <c r="W68">
        <v>0</v>
      </c>
      <c r="X68">
        <v>316008196</v>
      </c>
      <c r="Y68">
        <f>(AT68*1.25)</f>
        <v>1.5249999999999999</v>
      </c>
      <c r="AA68">
        <v>0</v>
      </c>
      <c r="AB68">
        <v>36.21</v>
      </c>
      <c r="AC68">
        <v>0</v>
      </c>
      <c r="AD68">
        <v>0</v>
      </c>
      <c r="AE68">
        <v>0</v>
      </c>
      <c r="AF68">
        <v>2.7</v>
      </c>
      <c r="AG68">
        <v>0</v>
      </c>
      <c r="AH68">
        <v>0</v>
      </c>
      <c r="AI68">
        <v>1</v>
      </c>
      <c r="AJ68">
        <v>13.41</v>
      </c>
      <c r="AK68">
        <v>45.71</v>
      </c>
      <c r="AL68">
        <v>1</v>
      </c>
      <c r="AM68">
        <v>4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1.22</v>
      </c>
      <c r="AU68" t="s">
        <v>42</v>
      </c>
      <c r="AV68">
        <v>0</v>
      </c>
      <c r="AW68">
        <v>2</v>
      </c>
      <c r="AX68">
        <v>145197343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ROUND(Y68*Source!I56,9)</f>
        <v>4.71225</v>
      </c>
      <c r="CY68">
        <f>AB68</f>
        <v>36.21</v>
      </c>
      <c r="CZ68">
        <f>AF68</f>
        <v>2.7</v>
      </c>
      <c r="DA68">
        <f>AJ68</f>
        <v>13.41</v>
      </c>
      <c r="DB68">
        <f>ROUND((ROUND(AT68*CZ68,2)*1.25),2)</f>
        <v>4.1100000000000003</v>
      </c>
      <c r="DC68">
        <f>ROUND((ROUND(AT68*AG68,2)*1.25),2)</f>
        <v>0</v>
      </c>
      <c r="DD68" t="s">
        <v>3</v>
      </c>
      <c r="DE68" t="s">
        <v>3</v>
      </c>
      <c r="DF68">
        <f>ROUND(ROUND(AE68,2)*CX68,2)</f>
        <v>0</v>
      </c>
      <c r="DG68">
        <f>ROUND(ROUND(AF68*AJ68,2)*CX68,2)</f>
        <v>170.63</v>
      </c>
      <c r="DH68">
        <f>ROUND(ROUND(AG68*AK68,2)*CX68,2)</f>
        <v>0</v>
      </c>
      <c r="DI68">
        <f t="shared" si="30"/>
        <v>0</v>
      </c>
      <c r="DJ68">
        <f>DG68</f>
        <v>170.63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ROW(Source!A56)</f>
        <v>56</v>
      </c>
      <c r="B69">
        <v>145185703</v>
      </c>
      <c r="C69">
        <v>145197338</v>
      </c>
      <c r="D69">
        <v>140771314</v>
      </c>
      <c r="E69">
        <v>1</v>
      </c>
      <c r="F69">
        <v>1</v>
      </c>
      <c r="G69">
        <v>1</v>
      </c>
      <c r="H69">
        <v>3</v>
      </c>
      <c r="I69" t="s">
        <v>152</v>
      </c>
      <c r="J69" t="s">
        <v>154</v>
      </c>
      <c r="K69" t="s">
        <v>153</v>
      </c>
      <c r="L69">
        <v>1348</v>
      </c>
      <c r="N69">
        <v>1009</v>
      </c>
      <c r="O69" t="s">
        <v>21</v>
      </c>
      <c r="P69" t="s">
        <v>21</v>
      </c>
      <c r="Q69">
        <v>1000</v>
      </c>
      <c r="W69">
        <v>1</v>
      </c>
      <c r="X69">
        <v>-1616928744</v>
      </c>
      <c r="Y69">
        <f t="shared" ref="Y69:Y81" si="31">AT69</f>
        <v>-8.9999999999999993E-3</v>
      </c>
      <c r="AA69">
        <v>160058</v>
      </c>
      <c r="AB69">
        <v>0</v>
      </c>
      <c r="AC69">
        <v>0</v>
      </c>
      <c r="AD69">
        <v>0</v>
      </c>
      <c r="AE69">
        <v>19100</v>
      </c>
      <c r="AF69">
        <v>0</v>
      </c>
      <c r="AG69">
        <v>0</v>
      </c>
      <c r="AH69">
        <v>0</v>
      </c>
      <c r="AI69">
        <v>8.3800000000000008</v>
      </c>
      <c r="AJ69">
        <v>1</v>
      </c>
      <c r="AK69">
        <v>1</v>
      </c>
      <c r="AL69">
        <v>1</v>
      </c>
      <c r="AM69">
        <v>4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-8.9999999999999993E-3</v>
      </c>
      <c r="AU69" t="s">
        <v>3</v>
      </c>
      <c r="AV69">
        <v>0</v>
      </c>
      <c r="AW69">
        <v>2</v>
      </c>
      <c r="AX69">
        <v>145197344</v>
      </c>
      <c r="AY69">
        <v>1</v>
      </c>
      <c r="AZ69">
        <v>6144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ROUND(Y69*Source!I56,9)</f>
        <v>-2.7810000000000001E-2</v>
      </c>
      <c r="CY69">
        <f>AA69</f>
        <v>160058</v>
      </c>
      <c r="CZ69">
        <f>AE69</f>
        <v>19100</v>
      </c>
      <c r="DA69">
        <f>AI69</f>
        <v>8.3800000000000008</v>
      </c>
      <c r="DB69">
        <f t="shared" ref="DB69:DB81" si="32">ROUND(ROUND(AT69*CZ69,2),2)</f>
        <v>-171.9</v>
      </c>
      <c r="DC69">
        <f t="shared" ref="DC69:DC81" si="33">ROUND(ROUND(AT69*AG69,2),2)</f>
        <v>0</v>
      </c>
      <c r="DD69" t="s">
        <v>3</v>
      </c>
      <c r="DE69" t="s">
        <v>3</v>
      </c>
      <c r="DF69">
        <f>ROUND(ROUND(AE69*AI69,2)*CX69,2)</f>
        <v>-4451.21</v>
      </c>
      <c r="DG69">
        <f>ROUND(ROUND(AF69,2)*CX69,2)</f>
        <v>0</v>
      </c>
      <c r="DH69">
        <f>ROUND(ROUND(AG69,2)*CX69,2)</f>
        <v>0</v>
      </c>
      <c r="DI69">
        <f t="shared" si="30"/>
        <v>0</v>
      </c>
      <c r="DJ69">
        <f>DF69</f>
        <v>-4451.21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ROW(Source!A56)</f>
        <v>56</v>
      </c>
      <c r="B70">
        <v>145185703</v>
      </c>
      <c r="C70">
        <v>145197338</v>
      </c>
      <c r="D70">
        <v>140772680</v>
      </c>
      <c r="E70">
        <v>1</v>
      </c>
      <c r="F70">
        <v>1</v>
      </c>
      <c r="G70">
        <v>1</v>
      </c>
      <c r="H70">
        <v>3</v>
      </c>
      <c r="I70" t="s">
        <v>508</v>
      </c>
      <c r="J70" t="s">
        <v>509</v>
      </c>
      <c r="K70" t="s">
        <v>510</v>
      </c>
      <c r="L70">
        <v>1339</v>
      </c>
      <c r="N70">
        <v>1007</v>
      </c>
      <c r="O70" t="s">
        <v>141</v>
      </c>
      <c r="P70" t="s">
        <v>141</v>
      </c>
      <c r="Q70">
        <v>1</v>
      </c>
      <c r="W70">
        <v>0</v>
      </c>
      <c r="X70">
        <v>-143474561</v>
      </c>
      <c r="Y70">
        <f t="shared" si="31"/>
        <v>0.16</v>
      </c>
      <c r="AA70">
        <v>20.45</v>
      </c>
      <c r="AB70">
        <v>0</v>
      </c>
      <c r="AC70">
        <v>0</v>
      </c>
      <c r="AD70">
        <v>0</v>
      </c>
      <c r="AE70">
        <v>2.44</v>
      </c>
      <c r="AF70">
        <v>0</v>
      </c>
      <c r="AG70">
        <v>0</v>
      </c>
      <c r="AH70">
        <v>0</v>
      </c>
      <c r="AI70">
        <v>8.3800000000000008</v>
      </c>
      <c r="AJ70">
        <v>1</v>
      </c>
      <c r="AK70">
        <v>1</v>
      </c>
      <c r="AL70">
        <v>1</v>
      </c>
      <c r="AM70">
        <v>4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0.16</v>
      </c>
      <c r="AU70" t="s">
        <v>3</v>
      </c>
      <c r="AV70">
        <v>0</v>
      </c>
      <c r="AW70">
        <v>2</v>
      </c>
      <c r="AX70">
        <v>145197345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ROUND(Y70*Source!I56,9)</f>
        <v>0.49440000000000001</v>
      </c>
      <c r="CY70">
        <f>AA70</f>
        <v>20.45</v>
      </c>
      <c r="CZ70">
        <f>AE70</f>
        <v>2.44</v>
      </c>
      <c r="DA70">
        <f>AI70</f>
        <v>8.3800000000000008</v>
      </c>
      <c r="DB70">
        <f t="shared" si="32"/>
        <v>0.39</v>
      </c>
      <c r="DC70">
        <f t="shared" si="33"/>
        <v>0</v>
      </c>
      <c r="DD70" t="s">
        <v>3</v>
      </c>
      <c r="DE70" t="s">
        <v>3</v>
      </c>
      <c r="DF70">
        <f>ROUND(ROUND(AE70*AI70,2)*CX70,2)</f>
        <v>10.11</v>
      </c>
      <c r="DG70">
        <f>ROUND(ROUND(AF70,2)*CX70,2)</f>
        <v>0</v>
      </c>
      <c r="DH70">
        <f>ROUND(ROUND(AG70,2)*CX70,2)</f>
        <v>0</v>
      </c>
      <c r="DI70">
        <f t="shared" si="30"/>
        <v>0</v>
      </c>
      <c r="DJ70">
        <f>DF70</f>
        <v>10.11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ROW(Source!A59)</f>
        <v>59</v>
      </c>
      <c r="B71">
        <v>145185703</v>
      </c>
      <c r="C71">
        <v>145197355</v>
      </c>
      <c r="D71">
        <v>140759979</v>
      </c>
      <c r="E71">
        <v>70</v>
      </c>
      <c r="F71">
        <v>1</v>
      </c>
      <c r="G71">
        <v>1</v>
      </c>
      <c r="H71">
        <v>1</v>
      </c>
      <c r="I71" t="s">
        <v>468</v>
      </c>
      <c r="J71" t="s">
        <v>3</v>
      </c>
      <c r="K71" t="s">
        <v>469</v>
      </c>
      <c r="L71">
        <v>1191</v>
      </c>
      <c r="N71">
        <v>1013</v>
      </c>
      <c r="O71" t="s">
        <v>394</v>
      </c>
      <c r="P71" t="s">
        <v>394</v>
      </c>
      <c r="Q71">
        <v>1</v>
      </c>
      <c r="W71">
        <v>0</v>
      </c>
      <c r="X71">
        <v>1049124552</v>
      </c>
      <c r="Y71">
        <f t="shared" si="31"/>
        <v>70.25</v>
      </c>
      <c r="AA71">
        <v>0</v>
      </c>
      <c r="AB71">
        <v>0</v>
      </c>
      <c r="AC71">
        <v>0</v>
      </c>
      <c r="AD71">
        <v>389.91</v>
      </c>
      <c r="AE71">
        <v>0</v>
      </c>
      <c r="AF71">
        <v>0</v>
      </c>
      <c r="AG71">
        <v>0</v>
      </c>
      <c r="AH71">
        <v>8.5299999999999994</v>
      </c>
      <c r="AI71">
        <v>1</v>
      </c>
      <c r="AJ71">
        <v>1</v>
      </c>
      <c r="AK71">
        <v>1</v>
      </c>
      <c r="AL71">
        <v>45.71</v>
      </c>
      <c r="AM71">
        <v>4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70.25</v>
      </c>
      <c r="AU71" t="s">
        <v>3</v>
      </c>
      <c r="AV71">
        <v>1</v>
      </c>
      <c r="AW71">
        <v>2</v>
      </c>
      <c r="AX71">
        <v>145197356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ROUND(Y71*Source!I59,9)</f>
        <v>20.196874999999999</v>
      </c>
      <c r="CY71">
        <f>AD71</f>
        <v>389.91</v>
      </c>
      <c r="CZ71">
        <f>AH71</f>
        <v>8.5299999999999994</v>
      </c>
      <c r="DA71">
        <f>AL71</f>
        <v>45.71</v>
      </c>
      <c r="DB71">
        <f t="shared" si="32"/>
        <v>599.23</v>
      </c>
      <c r="DC71">
        <f t="shared" si="33"/>
        <v>0</v>
      </c>
      <c r="DD71" t="s">
        <v>3</v>
      </c>
      <c r="DE71" t="s">
        <v>3</v>
      </c>
      <c r="DF71">
        <f>ROUND(ROUND(AE71,2)*CX71,2)</f>
        <v>0</v>
      </c>
      <c r="DG71">
        <f>ROUND(ROUND(AF71,2)*CX71,2)</f>
        <v>0</v>
      </c>
      <c r="DH71">
        <f>ROUND(ROUND(AG71,2)*CX71,2)</f>
        <v>0</v>
      </c>
      <c r="DI71">
        <f>ROUND(ROUND(AH71*AL71,2)*CX71,2)</f>
        <v>7874.96</v>
      </c>
      <c r="DJ71">
        <f>DI71</f>
        <v>7874.96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ROW(Source!A59)</f>
        <v>59</v>
      </c>
      <c r="B72">
        <v>145185703</v>
      </c>
      <c r="C72">
        <v>145197355</v>
      </c>
      <c r="D72">
        <v>140760225</v>
      </c>
      <c r="E72">
        <v>70</v>
      </c>
      <c r="F72">
        <v>1</v>
      </c>
      <c r="G72">
        <v>1</v>
      </c>
      <c r="H72">
        <v>1</v>
      </c>
      <c r="I72" t="s">
        <v>403</v>
      </c>
      <c r="J72" t="s">
        <v>3</v>
      </c>
      <c r="K72" t="s">
        <v>404</v>
      </c>
      <c r="L72">
        <v>1191</v>
      </c>
      <c r="N72">
        <v>1013</v>
      </c>
      <c r="O72" t="s">
        <v>394</v>
      </c>
      <c r="P72" t="s">
        <v>394</v>
      </c>
      <c r="Q72">
        <v>1</v>
      </c>
      <c r="W72">
        <v>0</v>
      </c>
      <c r="X72">
        <v>-1417349443</v>
      </c>
      <c r="Y72">
        <f t="shared" si="31"/>
        <v>0.25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45.71</v>
      </c>
      <c r="AL72">
        <v>1</v>
      </c>
      <c r="AM72">
        <v>4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0.25</v>
      </c>
      <c r="AU72" t="s">
        <v>3</v>
      </c>
      <c r="AV72">
        <v>2</v>
      </c>
      <c r="AW72">
        <v>2</v>
      </c>
      <c r="AX72">
        <v>145197357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ROUND(Y72*Source!I59,9)</f>
        <v>7.1874999999999994E-2</v>
      </c>
      <c r="CY72">
        <f>AD72</f>
        <v>0</v>
      </c>
      <c r="CZ72">
        <f>AH72</f>
        <v>0</v>
      </c>
      <c r="DA72">
        <f>AL72</f>
        <v>1</v>
      </c>
      <c r="DB72">
        <f t="shared" si="32"/>
        <v>0</v>
      </c>
      <c r="DC72">
        <f t="shared" si="33"/>
        <v>0</v>
      </c>
      <c r="DD72" t="s">
        <v>3</v>
      </c>
      <c r="DE72" t="s">
        <v>3</v>
      </c>
      <c r="DF72">
        <f>ROUND(ROUND(AE72,2)*CX72,2)</f>
        <v>0</v>
      </c>
      <c r="DG72">
        <f>ROUND(ROUND(AF72,2)*CX72,2)</f>
        <v>0</v>
      </c>
      <c r="DH72">
        <f>ROUND(ROUND(AG72*AK72,2)*CX72,2)</f>
        <v>0</v>
      </c>
      <c r="DI72">
        <f t="shared" ref="DI72:DI78" si="34">ROUND(ROUND(AH72,2)*CX72,2)</f>
        <v>0</v>
      </c>
      <c r="DJ72">
        <f>DI72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ROW(Source!A59)</f>
        <v>59</v>
      </c>
      <c r="B73">
        <v>145185703</v>
      </c>
      <c r="C73">
        <v>145197355</v>
      </c>
      <c r="D73">
        <v>140923145</v>
      </c>
      <c r="E73">
        <v>1</v>
      </c>
      <c r="F73">
        <v>1</v>
      </c>
      <c r="G73">
        <v>1</v>
      </c>
      <c r="H73">
        <v>2</v>
      </c>
      <c r="I73" t="s">
        <v>511</v>
      </c>
      <c r="J73" t="s">
        <v>512</v>
      </c>
      <c r="K73" t="s">
        <v>513</v>
      </c>
      <c r="L73">
        <v>1367</v>
      </c>
      <c r="N73">
        <v>1011</v>
      </c>
      <c r="O73" t="s">
        <v>398</v>
      </c>
      <c r="P73" t="s">
        <v>398</v>
      </c>
      <c r="Q73">
        <v>1</v>
      </c>
      <c r="W73">
        <v>0</v>
      </c>
      <c r="X73">
        <v>1232162608</v>
      </c>
      <c r="Y73">
        <f t="shared" si="31"/>
        <v>0.18</v>
      </c>
      <c r="AA73">
        <v>0</v>
      </c>
      <c r="AB73">
        <v>419.2</v>
      </c>
      <c r="AC73">
        <v>617.09</v>
      </c>
      <c r="AD73">
        <v>0</v>
      </c>
      <c r="AE73">
        <v>0</v>
      </c>
      <c r="AF73">
        <v>31.26</v>
      </c>
      <c r="AG73">
        <v>13.5</v>
      </c>
      <c r="AH73">
        <v>0</v>
      </c>
      <c r="AI73">
        <v>1</v>
      </c>
      <c r="AJ73">
        <v>13.41</v>
      </c>
      <c r="AK73">
        <v>45.71</v>
      </c>
      <c r="AL73">
        <v>1</v>
      </c>
      <c r="AM73">
        <v>4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0.18</v>
      </c>
      <c r="AU73" t="s">
        <v>3</v>
      </c>
      <c r="AV73">
        <v>0</v>
      </c>
      <c r="AW73">
        <v>2</v>
      </c>
      <c r="AX73">
        <v>145197358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ROUND(Y73*Source!I59,9)</f>
        <v>5.1749999999999997E-2</v>
      </c>
      <c r="CY73">
        <f>AB73</f>
        <v>419.2</v>
      </c>
      <c r="CZ73">
        <f>AF73</f>
        <v>31.26</v>
      </c>
      <c r="DA73">
        <f>AJ73</f>
        <v>13.41</v>
      </c>
      <c r="DB73">
        <f t="shared" si="32"/>
        <v>5.63</v>
      </c>
      <c r="DC73">
        <f t="shared" si="33"/>
        <v>2.4300000000000002</v>
      </c>
      <c r="DD73" t="s">
        <v>3</v>
      </c>
      <c r="DE73" t="s">
        <v>3</v>
      </c>
      <c r="DF73">
        <f>ROUND(ROUND(AE73,2)*CX73,2)</f>
        <v>0</v>
      </c>
      <c r="DG73">
        <f>ROUND(ROUND(AF73*AJ73,2)*CX73,2)</f>
        <v>21.69</v>
      </c>
      <c r="DH73">
        <f>ROUND(ROUND(AG73*AK73,2)*CX73,2)</f>
        <v>31.93</v>
      </c>
      <c r="DI73">
        <f t="shared" si="34"/>
        <v>0</v>
      </c>
      <c r="DJ73">
        <f>DG73</f>
        <v>21.69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ROW(Source!A59)</f>
        <v>59</v>
      </c>
      <c r="B74">
        <v>145185703</v>
      </c>
      <c r="C74">
        <v>145197355</v>
      </c>
      <c r="D74">
        <v>140923885</v>
      </c>
      <c r="E74">
        <v>1</v>
      </c>
      <c r="F74">
        <v>1</v>
      </c>
      <c r="G74">
        <v>1</v>
      </c>
      <c r="H74">
        <v>2</v>
      </c>
      <c r="I74" t="s">
        <v>417</v>
      </c>
      <c r="J74" t="s">
        <v>418</v>
      </c>
      <c r="K74" t="s">
        <v>419</v>
      </c>
      <c r="L74">
        <v>1367</v>
      </c>
      <c r="N74">
        <v>1011</v>
      </c>
      <c r="O74" t="s">
        <v>398</v>
      </c>
      <c r="P74" t="s">
        <v>398</v>
      </c>
      <c r="Q74">
        <v>1</v>
      </c>
      <c r="W74">
        <v>0</v>
      </c>
      <c r="X74">
        <v>509054691</v>
      </c>
      <c r="Y74">
        <f t="shared" si="31"/>
        <v>7.0000000000000007E-2</v>
      </c>
      <c r="AA74">
        <v>0</v>
      </c>
      <c r="AB74">
        <v>881.17</v>
      </c>
      <c r="AC74">
        <v>530.24</v>
      </c>
      <c r="AD74">
        <v>0</v>
      </c>
      <c r="AE74">
        <v>0</v>
      </c>
      <c r="AF74">
        <v>65.709999999999994</v>
      </c>
      <c r="AG74">
        <v>11.6</v>
      </c>
      <c r="AH74">
        <v>0</v>
      </c>
      <c r="AI74">
        <v>1</v>
      </c>
      <c r="AJ74">
        <v>13.41</v>
      </c>
      <c r="AK74">
        <v>45.71</v>
      </c>
      <c r="AL74">
        <v>1</v>
      </c>
      <c r="AM74">
        <v>4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7.0000000000000007E-2</v>
      </c>
      <c r="AU74" t="s">
        <v>3</v>
      </c>
      <c r="AV74">
        <v>0</v>
      </c>
      <c r="AW74">
        <v>2</v>
      </c>
      <c r="AX74">
        <v>145197359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ROUND(Y74*Source!I59,9)</f>
        <v>2.0125000000000001E-2</v>
      </c>
      <c r="CY74">
        <f>AB74</f>
        <v>881.17</v>
      </c>
      <c r="CZ74">
        <f>AF74</f>
        <v>65.709999999999994</v>
      </c>
      <c r="DA74">
        <f>AJ74</f>
        <v>13.41</v>
      </c>
      <c r="DB74">
        <f t="shared" si="32"/>
        <v>4.5999999999999996</v>
      </c>
      <c r="DC74">
        <f t="shared" si="33"/>
        <v>0.81</v>
      </c>
      <c r="DD74" t="s">
        <v>3</v>
      </c>
      <c r="DE74" t="s">
        <v>3</v>
      </c>
      <c r="DF74">
        <f>ROUND(ROUND(AE74,2)*CX74,2)</f>
        <v>0</v>
      </c>
      <c r="DG74">
        <f>ROUND(ROUND(AF74*AJ74,2)*CX74,2)</f>
        <v>17.73</v>
      </c>
      <c r="DH74">
        <f>ROUND(ROUND(AG74*AK74,2)*CX74,2)</f>
        <v>10.67</v>
      </c>
      <c r="DI74">
        <f t="shared" si="34"/>
        <v>0</v>
      </c>
      <c r="DJ74">
        <f>DG74</f>
        <v>17.73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ROW(Source!A59)</f>
        <v>59</v>
      </c>
      <c r="B75">
        <v>145185703</v>
      </c>
      <c r="C75">
        <v>145197355</v>
      </c>
      <c r="D75">
        <v>140775118</v>
      </c>
      <c r="E75">
        <v>1</v>
      </c>
      <c r="F75">
        <v>1</v>
      </c>
      <c r="G75">
        <v>1</v>
      </c>
      <c r="H75">
        <v>3</v>
      </c>
      <c r="I75" t="s">
        <v>500</v>
      </c>
      <c r="J75" t="s">
        <v>501</v>
      </c>
      <c r="K75" t="s">
        <v>502</v>
      </c>
      <c r="L75">
        <v>1348</v>
      </c>
      <c r="N75">
        <v>1009</v>
      </c>
      <c r="O75" t="s">
        <v>21</v>
      </c>
      <c r="P75" t="s">
        <v>21</v>
      </c>
      <c r="Q75">
        <v>1000</v>
      </c>
      <c r="W75">
        <v>0</v>
      </c>
      <c r="X75">
        <v>-45966985</v>
      </c>
      <c r="Y75">
        <f t="shared" si="31"/>
        <v>4.0000000000000001E-3</v>
      </c>
      <c r="AA75">
        <v>100375.64</v>
      </c>
      <c r="AB75">
        <v>0</v>
      </c>
      <c r="AC75">
        <v>0</v>
      </c>
      <c r="AD75">
        <v>0</v>
      </c>
      <c r="AE75">
        <v>11978</v>
      </c>
      <c r="AF75">
        <v>0</v>
      </c>
      <c r="AG75">
        <v>0</v>
      </c>
      <c r="AH75">
        <v>0</v>
      </c>
      <c r="AI75">
        <v>8.3800000000000008</v>
      </c>
      <c r="AJ75">
        <v>1</v>
      </c>
      <c r="AK75">
        <v>1</v>
      </c>
      <c r="AL75">
        <v>1</v>
      </c>
      <c r="AM75">
        <v>4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4.0000000000000001E-3</v>
      </c>
      <c r="AU75" t="s">
        <v>3</v>
      </c>
      <c r="AV75">
        <v>0</v>
      </c>
      <c r="AW75">
        <v>2</v>
      </c>
      <c r="AX75">
        <v>145197360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ROUND(Y75*Source!I59,9)</f>
        <v>1.15E-3</v>
      </c>
      <c r="CY75">
        <f>AA75</f>
        <v>100375.64</v>
      </c>
      <c r="CZ75">
        <f>AE75</f>
        <v>11978</v>
      </c>
      <c r="DA75">
        <f>AI75</f>
        <v>8.3800000000000008</v>
      </c>
      <c r="DB75">
        <f t="shared" si="32"/>
        <v>47.91</v>
      </c>
      <c r="DC75">
        <f t="shared" si="33"/>
        <v>0</v>
      </c>
      <c r="DD75" t="s">
        <v>3</v>
      </c>
      <c r="DE75" t="s">
        <v>3</v>
      </c>
      <c r="DF75">
        <f>ROUND(ROUND(AE75*AI75,2)*CX75,2)</f>
        <v>115.43</v>
      </c>
      <c r="DG75">
        <f>ROUND(ROUND(AF75,2)*CX75,2)</f>
        <v>0</v>
      </c>
      <c r="DH75">
        <f>ROUND(ROUND(AG75,2)*CX75,2)</f>
        <v>0</v>
      </c>
      <c r="DI75">
        <f t="shared" si="34"/>
        <v>0</v>
      </c>
      <c r="DJ75">
        <f>DF75</f>
        <v>115.43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ROW(Source!A59)</f>
        <v>59</v>
      </c>
      <c r="B76">
        <v>145185703</v>
      </c>
      <c r="C76">
        <v>145197355</v>
      </c>
      <c r="D76">
        <v>140792324</v>
      </c>
      <c r="E76">
        <v>1</v>
      </c>
      <c r="F76">
        <v>1</v>
      </c>
      <c r="G76">
        <v>1</v>
      </c>
      <c r="H76">
        <v>3</v>
      </c>
      <c r="I76" t="s">
        <v>514</v>
      </c>
      <c r="J76" t="s">
        <v>515</v>
      </c>
      <c r="K76" t="s">
        <v>516</v>
      </c>
      <c r="L76">
        <v>1348</v>
      </c>
      <c r="N76">
        <v>1009</v>
      </c>
      <c r="O76" t="s">
        <v>21</v>
      </c>
      <c r="P76" t="s">
        <v>21</v>
      </c>
      <c r="Q76">
        <v>1000</v>
      </c>
      <c r="W76">
        <v>0</v>
      </c>
      <c r="X76">
        <v>660354419</v>
      </c>
      <c r="Y76">
        <f t="shared" si="31"/>
        <v>1.2E-2</v>
      </c>
      <c r="AA76">
        <v>67232.740000000005</v>
      </c>
      <c r="AB76">
        <v>0</v>
      </c>
      <c r="AC76">
        <v>0</v>
      </c>
      <c r="AD76">
        <v>0</v>
      </c>
      <c r="AE76">
        <v>8023</v>
      </c>
      <c r="AF76">
        <v>0</v>
      </c>
      <c r="AG76">
        <v>0</v>
      </c>
      <c r="AH76">
        <v>0</v>
      </c>
      <c r="AI76">
        <v>8.3800000000000008</v>
      </c>
      <c r="AJ76">
        <v>1</v>
      </c>
      <c r="AK76">
        <v>1</v>
      </c>
      <c r="AL76">
        <v>1</v>
      </c>
      <c r="AM76">
        <v>4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1.2E-2</v>
      </c>
      <c r="AU76" t="s">
        <v>3</v>
      </c>
      <c r="AV76">
        <v>0</v>
      </c>
      <c r="AW76">
        <v>2</v>
      </c>
      <c r="AX76">
        <v>145197361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ROUND(Y76*Source!I59,9)</f>
        <v>3.4499999999999999E-3</v>
      </c>
      <c r="CY76">
        <f>AA76</f>
        <v>67232.740000000005</v>
      </c>
      <c r="CZ76">
        <f>AE76</f>
        <v>8023</v>
      </c>
      <c r="DA76">
        <f>AI76</f>
        <v>8.3800000000000008</v>
      </c>
      <c r="DB76">
        <f t="shared" si="32"/>
        <v>96.28</v>
      </c>
      <c r="DC76">
        <f t="shared" si="33"/>
        <v>0</v>
      </c>
      <c r="DD76" t="s">
        <v>3</v>
      </c>
      <c r="DE76" t="s">
        <v>3</v>
      </c>
      <c r="DF76">
        <f>ROUND(ROUND(AE76*AI76,2)*CX76,2)</f>
        <v>231.95</v>
      </c>
      <c r="DG76">
        <f>ROUND(ROUND(AF76,2)*CX76,2)</f>
        <v>0</v>
      </c>
      <c r="DH76">
        <f>ROUND(ROUND(AG76,2)*CX76,2)</f>
        <v>0</v>
      </c>
      <c r="DI76">
        <f t="shared" si="34"/>
        <v>0</v>
      </c>
      <c r="DJ76">
        <f>DF76</f>
        <v>231.95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ROW(Source!A59)</f>
        <v>59</v>
      </c>
      <c r="B77">
        <v>145185703</v>
      </c>
      <c r="C77">
        <v>145197355</v>
      </c>
      <c r="D77">
        <v>140762309</v>
      </c>
      <c r="E77">
        <v>70</v>
      </c>
      <c r="F77">
        <v>1</v>
      </c>
      <c r="G77">
        <v>1</v>
      </c>
      <c r="H77">
        <v>3</v>
      </c>
      <c r="I77" t="s">
        <v>517</v>
      </c>
      <c r="J77" t="s">
        <v>3</v>
      </c>
      <c r="K77" t="s">
        <v>518</v>
      </c>
      <c r="L77">
        <v>1348</v>
      </c>
      <c r="N77">
        <v>1009</v>
      </c>
      <c r="O77" t="s">
        <v>21</v>
      </c>
      <c r="P77" t="s">
        <v>21</v>
      </c>
      <c r="Q77">
        <v>1000</v>
      </c>
      <c r="W77">
        <v>0</v>
      </c>
      <c r="X77">
        <v>789990620</v>
      </c>
      <c r="Y77">
        <f t="shared" si="31"/>
        <v>0.41199999999999998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8.3800000000000008</v>
      </c>
      <c r="AJ77">
        <v>1</v>
      </c>
      <c r="AK77">
        <v>1</v>
      </c>
      <c r="AL77">
        <v>1</v>
      </c>
      <c r="AM77">
        <v>4</v>
      </c>
      <c r="AN77">
        <v>0</v>
      </c>
      <c r="AO77">
        <v>0</v>
      </c>
      <c r="AP77">
        <v>0</v>
      </c>
      <c r="AQ77">
        <v>0</v>
      </c>
      <c r="AR77">
        <v>0</v>
      </c>
      <c r="AS77" t="s">
        <v>3</v>
      </c>
      <c r="AT77">
        <v>0.41199999999999998</v>
      </c>
      <c r="AU77" t="s">
        <v>3</v>
      </c>
      <c r="AV77">
        <v>0</v>
      </c>
      <c r="AW77">
        <v>2</v>
      </c>
      <c r="AX77">
        <v>145197362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ROUND(Y77*Source!I59,9)</f>
        <v>0.11845</v>
      </c>
      <c r="CY77">
        <f>AA77</f>
        <v>0</v>
      </c>
      <c r="CZ77">
        <f>AE77</f>
        <v>0</v>
      </c>
      <c r="DA77">
        <f>AI77</f>
        <v>8.3800000000000008</v>
      </c>
      <c r="DB77">
        <f t="shared" si="32"/>
        <v>0</v>
      </c>
      <c r="DC77">
        <f t="shared" si="33"/>
        <v>0</v>
      </c>
      <c r="DD77" t="s">
        <v>3</v>
      </c>
      <c r="DE77" t="s">
        <v>3</v>
      </c>
      <c r="DF77">
        <f>ROUND(ROUND(AE77*AI77,2)*CX77,2)</f>
        <v>0</v>
      </c>
      <c r="DG77">
        <f>ROUND(ROUND(AF77,2)*CX77,2)</f>
        <v>0</v>
      </c>
      <c r="DH77">
        <f>ROUND(ROUND(AG77,2)*CX77,2)</f>
        <v>0</v>
      </c>
      <c r="DI77">
        <f t="shared" si="34"/>
        <v>0</v>
      </c>
      <c r="DJ77">
        <f>DF77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ROW(Source!A59)</f>
        <v>59</v>
      </c>
      <c r="B78">
        <v>145185703</v>
      </c>
      <c r="C78">
        <v>145197355</v>
      </c>
      <c r="D78">
        <v>140765020</v>
      </c>
      <c r="E78">
        <v>70</v>
      </c>
      <c r="F78">
        <v>1</v>
      </c>
      <c r="G78">
        <v>1</v>
      </c>
      <c r="H78">
        <v>3</v>
      </c>
      <c r="I78" t="s">
        <v>399</v>
      </c>
      <c r="J78" t="s">
        <v>3</v>
      </c>
      <c r="K78" t="s">
        <v>400</v>
      </c>
      <c r="L78">
        <v>1348</v>
      </c>
      <c r="N78">
        <v>1009</v>
      </c>
      <c r="O78" t="s">
        <v>21</v>
      </c>
      <c r="P78" t="s">
        <v>21</v>
      </c>
      <c r="Q78">
        <v>1000</v>
      </c>
      <c r="W78">
        <v>0</v>
      </c>
      <c r="X78">
        <v>2102561428</v>
      </c>
      <c r="Y78">
        <f t="shared" si="31"/>
        <v>0.49199999999999999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8.3800000000000008</v>
      </c>
      <c r="AJ78">
        <v>1</v>
      </c>
      <c r="AK78">
        <v>1</v>
      </c>
      <c r="AL78">
        <v>1</v>
      </c>
      <c r="AM78">
        <v>4</v>
      </c>
      <c r="AN78">
        <v>0</v>
      </c>
      <c r="AO78">
        <v>0</v>
      </c>
      <c r="AP78">
        <v>0</v>
      </c>
      <c r="AQ78">
        <v>0</v>
      </c>
      <c r="AR78">
        <v>0</v>
      </c>
      <c r="AS78" t="s">
        <v>3</v>
      </c>
      <c r="AT78">
        <v>0.49199999999999999</v>
      </c>
      <c r="AU78" t="s">
        <v>3</v>
      </c>
      <c r="AV78">
        <v>0</v>
      </c>
      <c r="AW78">
        <v>2</v>
      </c>
      <c r="AX78">
        <v>145197363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ROUND(Y78*Source!I59,9)</f>
        <v>0.14144999999999999</v>
      </c>
      <c r="CY78">
        <f>AA78</f>
        <v>0</v>
      </c>
      <c r="CZ78">
        <f>AE78</f>
        <v>0</v>
      </c>
      <c r="DA78">
        <f>AI78</f>
        <v>8.3800000000000008</v>
      </c>
      <c r="DB78">
        <f t="shared" si="32"/>
        <v>0</v>
      </c>
      <c r="DC78">
        <f t="shared" si="33"/>
        <v>0</v>
      </c>
      <c r="DD78" t="s">
        <v>3</v>
      </c>
      <c r="DE78" t="s">
        <v>3</v>
      </c>
      <c r="DF78">
        <f>ROUND(ROUND(AE78*AI78,2)*CX78,2)</f>
        <v>0</v>
      </c>
      <c r="DG78">
        <f>ROUND(ROUND(AF78,2)*CX78,2)</f>
        <v>0</v>
      </c>
      <c r="DH78">
        <f>ROUND(ROUND(AG78,2)*CX78,2)</f>
        <v>0</v>
      </c>
      <c r="DI78">
        <f t="shared" si="34"/>
        <v>0</v>
      </c>
      <c r="DJ78">
        <f>DF78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ROW(Source!A101)</f>
        <v>101</v>
      </c>
      <c r="B79">
        <v>145185703</v>
      </c>
      <c r="C79">
        <v>145197425</v>
      </c>
      <c r="D79">
        <v>140755423</v>
      </c>
      <c r="E79">
        <v>70</v>
      </c>
      <c r="F79">
        <v>1</v>
      </c>
      <c r="G79">
        <v>1</v>
      </c>
      <c r="H79">
        <v>1</v>
      </c>
      <c r="I79" t="s">
        <v>392</v>
      </c>
      <c r="J79" t="s">
        <v>3</v>
      </c>
      <c r="K79" t="s">
        <v>393</v>
      </c>
      <c r="L79">
        <v>1191</v>
      </c>
      <c r="N79">
        <v>1013</v>
      </c>
      <c r="O79" t="s">
        <v>394</v>
      </c>
      <c r="P79" t="s">
        <v>394</v>
      </c>
      <c r="Q79">
        <v>1</v>
      </c>
      <c r="W79">
        <v>0</v>
      </c>
      <c r="X79">
        <v>2031828327</v>
      </c>
      <c r="Y79">
        <f t="shared" si="31"/>
        <v>15.9</v>
      </c>
      <c r="AA79">
        <v>0</v>
      </c>
      <c r="AB79">
        <v>0</v>
      </c>
      <c r="AC79">
        <v>0</v>
      </c>
      <c r="AD79">
        <v>356.54</v>
      </c>
      <c r="AE79">
        <v>0</v>
      </c>
      <c r="AF79">
        <v>0</v>
      </c>
      <c r="AG79">
        <v>0</v>
      </c>
      <c r="AH79">
        <v>7.8</v>
      </c>
      <c r="AI79">
        <v>1</v>
      </c>
      <c r="AJ79">
        <v>1</v>
      </c>
      <c r="AK79">
        <v>1</v>
      </c>
      <c r="AL79">
        <v>45.71</v>
      </c>
      <c r="AM79">
        <v>4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15.9</v>
      </c>
      <c r="AU79" t="s">
        <v>3</v>
      </c>
      <c r="AV79">
        <v>1</v>
      </c>
      <c r="AW79">
        <v>2</v>
      </c>
      <c r="AX79">
        <v>145197429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ROUND(Y79*Source!I101,9)</f>
        <v>68.528999999999996</v>
      </c>
      <c r="CY79">
        <f>AD79</f>
        <v>356.54</v>
      </c>
      <c r="CZ79">
        <f>AH79</f>
        <v>7.8</v>
      </c>
      <c r="DA79">
        <f>AL79</f>
        <v>45.71</v>
      </c>
      <c r="DB79">
        <f t="shared" si="32"/>
        <v>124.02</v>
      </c>
      <c r="DC79">
        <f t="shared" si="33"/>
        <v>0</v>
      </c>
      <c r="DD79" t="s">
        <v>3</v>
      </c>
      <c r="DE79" t="s">
        <v>3</v>
      </c>
      <c r="DF79">
        <f>ROUND(ROUND(AE79,2)*CX79,2)</f>
        <v>0</v>
      </c>
      <c r="DG79">
        <f>ROUND(ROUND(AF79,2)*CX79,2)</f>
        <v>0</v>
      </c>
      <c r="DH79">
        <f>ROUND(ROUND(AG79,2)*CX79,2)</f>
        <v>0</v>
      </c>
      <c r="DI79">
        <f>ROUND(ROUND(AH79*AL79,2)*CX79,2)</f>
        <v>24433.33</v>
      </c>
      <c r="DJ79">
        <f>DI79</f>
        <v>24433.33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ROW(Source!A101)</f>
        <v>101</v>
      </c>
      <c r="B80">
        <v>145185703</v>
      </c>
      <c r="C80">
        <v>145197425</v>
      </c>
      <c r="D80">
        <v>140923081</v>
      </c>
      <c r="E80">
        <v>1</v>
      </c>
      <c r="F80">
        <v>1</v>
      </c>
      <c r="G80">
        <v>1</v>
      </c>
      <c r="H80">
        <v>2</v>
      </c>
      <c r="I80" t="s">
        <v>395</v>
      </c>
      <c r="J80" t="s">
        <v>396</v>
      </c>
      <c r="K80" t="s">
        <v>397</v>
      </c>
      <c r="L80">
        <v>1367</v>
      </c>
      <c r="N80">
        <v>1011</v>
      </c>
      <c r="O80" t="s">
        <v>398</v>
      </c>
      <c r="P80" t="s">
        <v>398</v>
      </c>
      <c r="Q80">
        <v>1</v>
      </c>
      <c r="W80">
        <v>0</v>
      </c>
      <c r="X80">
        <v>-1424865896</v>
      </c>
      <c r="Y80">
        <f t="shared" si="31"/>
        <v>4.5999999999999996</v>
      </c>
      <c r="AA80">
        <v>0</v>
      </c>
      <c r="AB80">
        <v>89.31</v>
      </c>
      <c r="AC80">
        <v>0</v>
      </c>
      <c r="AD80">
        <v>0</v>
      </c>
      <c r="AE80">
        <v>0</v>
      </c>
      <c r="AF80">
        <v>6.66</v>
      </c>
      <c r="AG80">
        <v>0</v>
      </c>
      <c r="AH80">
        <v>0</v>
      </c>
      <c r="AI80">
        <v>1</v>
      </c>
      <c r="AJ80">
        <v>13.41</v>
      </c>
      <c r="AK80">
        <v>45.71</v>
      </c>
      <c r="AL80">
        <v>1</v>
      </c>
      <c r="AM80">
        <v>4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4.5999999999999996</v>
      </c>
      <c r="AU80" t="s">
        <v>3</v>
      </c>
      <c r="AV80">
        <v>0</v>
      </c>
      <c r="AW80">
        <v>2</v>
      </c>
      <c r="AX80">
        <v>145197430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ROUND(Y80*Source!I101,9)</f>
        <v>19.826000000000001</v>
      </c>
      <c r="CY80">
        <f>AB80</f>
        <v>89.31</v>
      </c>
      <c r="CZ80">
        <f>AF80</f>
        <v>6.66</v>
      </c>
      <c r="DA80">
        <f>AJ80</f>
        <v>13.41</v>
      </c>
      <c r="DB80">
        <f t="shared" si="32"/>
        <v>30.64</v>
      </c>
      <c r="DC80">
        <f t="shared" si="33"/>
        <v>0</v>
      </c>
      <c r="DD80" t="s">
        <v>3</v>
      </c>
      <c r="DE80" t="s">
        <v>3</v>
      </c>
      <c r="DF80">
        <f>ROUND(ROUND(AE80,2)*CX80,2)</f>
        <v>0</v>
      </c>
      <c r="DG80">
        <f>ROUND(ROUND(AF80*AJ80,2)*CX80,2)</f>
        <v>1770.66</v>
      </c>
      <c r="DH80">
        <f>ROUND(ROUND(AG80*AK80,2)*CX80,2)</f>
        <v>0</v>
      </c>
      <c r="DI80">
        <f>ROUND(ROUND(AH80,2)*CX80,2)</f>
        <v>0</v>
      </c>
      <c r="DJ80">
        <f>DG80</f>
        <v>1770.66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ROW(Source!A101)</f>
        <v>101</v>
      </c>
      <c r="B81">
        <v>145185703</v>
      </c>
      <c r="C81">
        <v>145197425</v>
      </c>
      <c r="D81">
        <v>140765020</v>
      </c>
      <c r="E81">
        <v>70</v>
      </c>
      <c r="F81">
        <v>1</v>
      </c>
      <c r="G81">
        <v>1</v>
      </c>
      <c r="H81">
        <v>3</v>
      </c>
      <c r="I81" t="s">
        <v>399</v>
      </c>
      <c r="J81" t="s">
        <v>3</v>
      </c>
      <c r="K81" t="s">
        <v>400</v>
      </c>
      <c r="L81">
        <v>1348</v>
      </c>
      <c r="N81">
        <v>1009</v>
      </c>
      <c r="O81" t="s">
        <v>21</v>
      </c>
      <c r="P81" t="s">
        <v>21</v>
      </c>
      <c r="Q81">
        <v>1000</v>
      </c>
      <c r="W81">
        <v>0</v>
      </c>
      <c r="X81">
        <v>2102561428</v>
      </c>
      <c r="Y81">
        <f t="shared" si="31"/>
        <v>2.1800000000000002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8.3800000000000008</v>
      </c>
      <c r="AJ81">
        <v>1</v>
      </c>
      <c r="AK81">
        <v>1</v>
      </c>
      <c r="AL81">
        <v>1</v>
      </c>
      <c r="AM81">
        <v>4</v>
      </c>
      <c r="AN81">
        <v>0</v>
      </c>
      <c r="AO81">
        <v>0</v>
      </c>
      <c r="AP81">
        <v>1</v>
      </c>
      <c r="AQ81">
        <v>0</v>
      </c>
      <c r="AR81">
        <v>0</v>
      </c>
      <c r="AS81" t="s">
        <v>3</v>
      </c>
      <c r="AT81">
        <v>2.1800000000000002</v>
      </c>
      <c r="AU81" t="s">
        <v>3</v>
      </c>
      <c r="AV81">
        <v>0</v>
      </c>
      <c r="AW81">
        <v>2</v>
      </c>
      <c r="AX81">
        <v>145197431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ROUND(Y81*Source!I101,9)</f>
        <v>9.3957999999999995</v>
      </c>
      <c r="CY81">
        <f>AA81</f>
        <v>0</v>
      </c>
      <c r="CZ81">
        <f>AE81</f>
        <v>0</v>
      </c>
      <c r="DA81">
        <f>AI81</f>
        <v>8.3800000000000008</v>
      </c>
      <c r="DB81">
        <f t="shared" si="32"/>
        <v>0</v>
      </c>
      <c r="DC81">
        <f t="shared" si="33"/>
        <v>0</v>
      </c>
      <c r="DD81" t="s">
        <v>3</v>
      </c>
      <c r="DE81" t="s">
        <v>3</v>
      </c>
      <c r="DF81">
        <f>ROUND(ROUND(AE81*AI81,2)*CX81,2)</f>
        <v>0</v>
      </c>
      <c r="DG81">
        <f>ROUND(ROUND(AF81,2)*CX81,2)</f>
        <v>0</v>
      </c>
      <c r="DH81">
        <f>ROUND(ROUND(AG81,2)*CX81,2)</f>
        <v>0</v>
      </c>
      <c r="DI81">
        <f>ROUND(ROUND(AH81,2)*CX81,2)</f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ROW(Source!A102)</f>
        <v>102</v>
      </c>
      <c r="B82">
        <v>145185703</v>
      </c>
      <c r="C82">
        <v>145197432</v>
      </c>
      <c r="D82">
        <v>140755435</v>
      </c>
      <c r="E82">
        <v>70</v>
      </c>
      <c r="F82">
        <v>1</v>
      </c>
      <c r="G82">
        <v>1</v>
      </c>
      <c r="H82">
        <v>1</v>
      </c>
      <c r="I82" t="s">
        <v>401</v>
      </c>
      <c r="J82" t="s">
        <v>3</v>
      </c>
      <c r="K82" t="s">
        <v>402</v>
      </c>
      <c r="L82">
        <v>1191</v>
      </c>
      <c r="N82">
        <v>1013</v>
      </c>
      <c r="O82" t="s">
        <v>394</v>
      </c>
      <c r="P82" t="s">
        <v>394</v>
      </c>
      <c r="Q82">
        <v>1</v>
      </c>
      <c r="W82">
        <v>0</v>
      </c>
      <c r="X82">
        <v>784619160</v>
      </c>
      <c r="Y82">
        <f>(AT82*1.15)</f>
        <v>36.454999999999998</v>
      </c>
      <c r="AA82">
        <v>0</v>
      </c>
      <c r="AB82">
        <v>0</v>
      </c>
      <c r="AC82">
        <v>0</v>
      </c>
      <c r="AD82">
        <v>399.51</v>
      </c>
      <c r="AE82">
        <v>0</v>
      </c>
      <c r="AF82">
        <v>0</v>
      </c>
      <c r="AG82">
        <v>0</v>
      </c>
      <c r="AH82">
        <v>8.74</v>
      </c>
      <c r="AI82">
        <v>1</v>
      </c>
      <c r="AJ82">
        <v>1</v>
      </c>
      <c r="AK82">
        <v>1</v>
      </c>
      <c r="AL82">
        <v>45.71</v>
      </c>
      <c r="AM82">
        <v>4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31.7</v>
      </c>
      <c r="AU82" t="s">
        <v>43</v>
      </c>
      <c r="AV82">
        <v>1</v>
      </c>
      <c r="AW82">
        <v>2</v>
      </c>
      <c r="AX82">
        <v>145197456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ROUND(Y82*Source!I102,9)</f>
        <v>157.12105</v>
      </c>
      <c r="CY82">
        <f>AD82</f>
        <v>399.51</v>
      </c>
      <c r="CZ82">
        <f>AH82</f>
        <v>8.74</v>
      </c>
      <c r="DA82">
        <f>AL82</f>
        <v>45.71</v>
      </c>
      <c r="DB82">
        <f>ROUND((ROUND(AT82*CZ82,2)*1.15),2)</f>
        <v>318.62</v>
      </c>
      <c r="DC82">
        <f>ROUND((ROUND(AT82*AG82,2)*1.15),2)</f>
        <v>0</v>
      </c>
      <c r="DD82" t="s">
        <v>3</v>
      </c>
      <c r="DE82" t="s">
        <v>3</v>
      </c>
      <c r="DF82">
        <f t="shared" ref="DF82:DF90" si="35">ROUND(ROUND(AE82,2)*CX82,2)</f>
        <v>0</v>
      </c>
      <c r="DG82">
        <f>ROUND(ROUND(AF82,2)*CX82,2)</f>
        <v>0</v>
      </c>
      <c r="DH82">
        <f>ROUND(ROUND(AG82,2)*CX82,2)</f>
        <v>0</v>
      </c>
      <c r="DI82">
        <f>ROUND(ROUND(AH82*AL82,2)*CX82,2)</f>
        <v>62771.43</v>
      </c>
      <c r="DJ82">
        <f>DI82</f>
        <v>62771.43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ROW(Source!A102)</f>
        <v>102</v>
      </c>
      <c r="B83">
        <v>145185703</v>
      </c>
      <c r="C83">
        <v>145197432</v>
      </c>
      <c r="D83">
        <v>140755491</v>
      </c>
      <c r="E83">
        <v>70</v>
      </c>
      <c r="F83">
        <v>1</v>
      </c>
      <c r="G83">
        <v>1</v>
      </c>
      <c r="H83">
        <v>1</v>
      </c>
      <c r="I83" t="s">
        <v>403</v>
      </c>
      <c r="J83" t="s">
        <v>3</v>
      </c>
      <c r="K83" t="s">
        <v>404</v>
      </c>
      <c r="L83">
        <v>1191</v>
      </c>
      <c r="N83">
        <v>1013</v>
      </c>
      <c r="O83" t="s">
        <v>394</v>
      </c>
      <c r="P83" t="s">
        <v>394</v>
      </c>
      <c r="Q83">
        <v>1</v>
      </c>
      <c r="W83">
        <v>0</v>
      </c>
      <c r="X83">
        <v>-1417349443</v>
      </c>
      <c r="Y83">
        <f t="shared" ref="Y83:Y90" si="36">(AT83*1.25)</f>
        <v>3.6625000000000001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45.71</v>
      </c>
      <c r="AL83">
        <v>1</v>
      </c>
      <c r="AM83">
        <v>4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2.93</v>
      </c>
      <c r="AU83" t="s">
        <v>42</v>
      </c>
      <c r="AV83">
        <v>2</v>
      </c>
      <c r="AW83">
        <v>2</v>
      </c>
      <c r="AX83">
        <v>145197457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ROUND(Y83*Source!I102,9)</f>
        <v>15.785375</v>
      </c>
      <c r="CY83">
        <f>AD83</f>
        <v>0</v>
      </c>
      <c r="CZ83">
        <f>AH83</f>
        <v>0</v>
      </c>
      <c r="DA83">
        <f>AL83</f>
        <v>1</v>
      </c>
      <c r="DB83">
        <f t="shared" ref="DB83:DB90" si="37">ROUND((ROUND(AT83*CZ83,2)*1.25),2)</f>
        <v>0</v>
      </c>
      <c r="DC83">
        <f t="shared" ref="DC83:DC90" si="38">ROUND((ROUND(AT83*AG83,2)*1.25),2)</f>
        <v>0</v>
      </c>
      <c r="DD83" t="s">
        <v>3</v>
      </c>
      <c r="DE83" t="s">
        <v>3</v>
      </c>
      <c r="DF83">
        <f t="shared" si="35"/>
        <v>0</v>
      </c>
      <c r="DG83">
        <f>ROUND(ROUND(AF83,2)*CX83,2)</f>
        <v>0</v>
      </c>
      <c r="DH83">
        <f t="shared" ref="DH83:DH90" si="39">ROUND(ROUND(AG83*AK83,2)*CX83,2)</f>
        <v>0</v>
      </c>
      <c r="DI83">
        <f t="shared" ref="DI83:DI104" si="40">ROUND(ROUND(AH83,2)*CX83,2)</f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ROW(Source!A102)</f>
        <v>102</v>
      </c>
      <c r="B84">
        <v>145185703</v>
      </c>
      <c r="C84">
        <v>145197432</v>
      </c>
      <c r="D84">
        <v>140922906</v>
      </c>
      <c r="E84">
        <v>1</v>
      </c>
      <c r="F84">
        <v>1</v>
      </c>
      <c r="G84">
        <v>1</v>
      </c>
      <c r="H84">
        <v>2</v>
      </c>
      <c r="I84" t="s">
        <v>405</v>
      </c>
      <c r="J84" t="s">
        <v>406</v>
      </c>
      <c r="K84" t="s">
        <v>407</v>
      </c>
      <c r="L84">
        <v>1367</v>
      </c>
      <c r="N84">
        <v>1011</v>
      </c>
      <c r="O84" t="s">
        <v>398</v>
      </c>
      <c r="P84" t="s">
        <v>398</v>
      </c>
      <c r="Q84">
        <v>1</v>
      </c>
      <c r="W84">
        <v>0</v>
      </c>
      <c r="X84">
        <v>-163180553</v>
      </c>
      <c r="Y84">
        <f t="shared" si="36"/>
        <v>0.05</v>
      </c>
      <c r="AA84">
        <v>0</v>
      </c>
      <c r="AB84">
        <v>1612.42</v>
      </c>
      <c r="AC84">
        <v>704.85</v>
      </c>
      <c r="AD84">
        <v>0</v>
      </c>
      <c r="AE84">
        <v>0</v>
      </c>
      <c r="AF84">
        <v>120.24</v>
      </c>
      <c r="AG84">
        <v>15.42</v>
      </c>
      <c r="AH84">
        <v>0</v>
      </c>
      <c r="AI84">
        <v>1</v>
      </c>
      <c r="AJ84">
        <v>13.41</v>
      </c>
      <c r="AK84">
        <v>45.71</v>
      </c>
      <c r="AL84">
        <v>1</v>
      </c>
      <c r="AM84">
        <v>4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0.04</v>
      </c>
      <c r="AU84" t="s">
        <v>42</v>
      </c>
      <c r="AV84">
        <v>0</v>
      </c>
      <c r="AW84">
        <v>2</v>
      </c>
      <c r="AX84">
        <v>145197458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ROUND(Y84*Source!I102,9)</f>
        <v>0.2155</v>
      </c>
      <c r="CY84">
        <f t="shared" ref="CY84:CY90" si="41">AB84</f>
        <v>1612.42</v>
      </c>
      <c r="CZ84">
        <f t="shared" ref="CZ84:CZ90" si="42">AF84</f>
        <v>120.24</v>
      </c>
      <c r="DA84">
        <f t="shared" ref="DA84:DA90" si="43">AJ84</f>
        <v>13.41</v>
      </c>
      <c r="DB84">
        <f t="shared" si="37"/>
        <v>6.01</v>
      </c>
      <c r="DC84">
        <f t="shared" si="38"/>
        <v>0.78</v>
      </c>
      <c r="DD84" t="s">
        <v>3</v>
      </c>
      <c r="DE84" t="s">
        <v>3</v>
      </c>
      <c r="DF84">
        <f t="shared" si="35"/>
        <v>0</v>
      </c>
      <c r="DG84">
        <f t="shared" ref="DG84:DG90" si="44">ROUND(ROUND(AF84*AJ84,2)*CX84,2)</f>
        <v>347.48</v>
      </c>
      <c r="DH84">
        <f t="shared" si="39"/>
        <v>151.9</v>
      </c>
      <c r="DI84">
        <f t="shared" si="40"/>
        <v>0</v>
      </c>
      <c r="DJ84">
        <f t="shared" ref="DJ84:DJ90" si="45">DG84</f>
        <v>347.48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ROW(Source!A102)</f>
        <v>102</v>
      </c>
      <c r="B85">
        <v>145185703</v>
      </c>
      <c r="C85">
        <v>145197432</v>
      </c>
      <c r="D85">
        <v>140922951</v>
      </c>
      <c r="E85">
        <v>1</v>
      </c>
      <c r="F85">
        <v>1</v>
      </c>
      <c r="G85">
        <v>1</v>
      </c>
      <c r="H85">
        <v>2</v>
      </c>
      <c r="I85" t="s">
        <v>408</v>
      </c>
      <c r="J85" t="s">
        <v>409</v>
      </c>
      <c r="K85" t="s">
        <v>410</v>
      </c>
      <c r="L85">
        <v>1367</v>
      </c>
      <c r="N85">
        <v>1011</v>
      </c>
      <c r="O85" t="s">
        <v>398</v>
      </c>
      <c r="P85" t="s">
        <v>398</v>
      </c>
      <c r="Q85">
        <v>1</v>
      </c>
      <c r="W85">
        <v>0</v>
      </c>
      <c r="X85">
        <v>-430484415</v>
      </c>
      <c r="Y85">
        <f t="shared" si="36"/>
        <v>0.26250000000000001</v>
      </c>
      <c r="AA85">
        <v>0</v>
      </c>
      <c r="AB85">
        <v>1547.51</v>
      </c>
      <c r="AC85">
        <v>617.09</v>
      </c>
      <c r="AD85">
        <v>0</v>
      </c>
      <c r="AE85">
        <v>0</v>
      </c>
      <c r="AF85">
        <v>115.4</v>
      </c>
      <c r="AG85">
        <v>13.5</v>
      </c>
      <c r="AH85">
        <v>0</v>
      </c>
      <c r="AI85">
        <v>1</v>
      </c>
      <c r="AJ85">
        <v>13.41</v>
      </c>
      <c r="AK85">
        <v>45.71</v>
      </c>
      <c r="AL85">
        <v>1</v>
      </c>
      <c r="AM85">
        <v>4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0.21</v>
      </c>
      <c r="AU85" t="s">
        <v>42</v>
      </c>
      <c r="AV85">
        <v>0</v>
      </c>
      <c r="AW85">
        <v>2</v>
      </c>
      <c r="AX85">
        <v>145197459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ROUND(Y85*Source!I102,9)</f>
        <v>1.131375</v>
      </c>
      <c r="CY85">
        <f t="shared" si="41"/>
        <v>1547.51</v>
      </c>
      <c r="CZ85">
        <f t="shared" si="42"/>
        <v>115.4</v>
      </c>
      <c r="DA85">
        <f t="shared" si="43"/>
        <v>13.41</v>
      </c>
      <c r="DB85">
        <f t="shared" si="37"/>
        <v>30.29</v>
      </c>
      <c r="DC85">
        <f t="shared" si="38"/>
        <v>3.55</v>
      </c>
      <c r="DD85" t="s">
        <v>3</v>
      </c>
      <c r="DE85" t="s">
        <v>3</v>
      </c>
      <c r="DF85">
        <f t="shared" si="35"/>
        <v>0</v>
      </c>
      <c r="DG85">
        <f t="shared" si="44"/>
        <v>1750.81</v>
      </c>
      <c r="DH85">
        <f t="shared" si="39"/>
        <v>698.16</v>
      </c>
      <c r="DI85">
        <f t="shared" si="40"/>
        <v>0</v>
      </c>
      <c r="DJ85">
        <f t="shared" si="45"/>
        <v>1750.81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ROW(Source!A102)</f>
        <v>102</v>
      </c>
      <c r="B86">
        <v>145185703</v>
      </c>
      <c r="C86">
        <v>145197432</v>
      </c>
      <c r="D86">
        <v>140922958</v>
      </c>
      <c r="E86">
        <v>1</v>
      </c>
      <c r="F86">
        <v>1</v>
      </c>
      <c r="G86">
        <v>1</v>
      </c>
      <c r="H86">
        <v>2</v>
      </c>
      <c r="I86" t="s">
        <v>411</v>
      </c>
      <c r="J86" t="s">
        <v>412</v>
      </c>
      <c r="K86" t="s">
        <v>413</v>
      </c>
      <c r="L86">
        <v>1367</v>
      </c>
      <c r="N86">
        <v>1011</v>
      </c>
      <c r="O86" t="s">
        <v>398</v>
      </c>
      <c r="P86" t="s">
        <v>398</v>
      </c>
      <c r="Q86">
        <v>1</v>
      </c>
      <c r="W86">
        <v>0</v>
      </c>
      <c r="X86">
        <v>-1731906086</v>
      </c>
      <c r="Y86">
        <f t="shared" si="36"/>
        <v>2.9499999999999997</v>
      </c>
      <c r="AA86">
        <v>0</v>
      </c>
      <c r="AB86">
        <v>2354.2600000000002</v>
      </c>
      <c r="AC86">
        <v>658.22</v>
      </c>
      <c r="AD86">
        <v>0</v>
      </c>
      <c r="AE86">
        <v>0</v>
      </c>
      <c r="AF86">
        <v>175.56</v>
      </c>
      <c r="AG86">
        <v>14.4</v>
      </c>
      <c r="AH86">
        <v>0</v>
      </c>
      <c r="AI86">
        <v>1</v>
      </c>
      <c r="AJ86">
        <v>13.41</v>
      </c>
      <c r="AK86">
        <v>45.71</v>
      </c>
      <c r="AL86">
        <v>1</v>
      </c>
      <c r="AM86">
        <v>4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2.36</v>
      </c>
      <c r="AU86" t="s">
        <v>42</v>
      </c>
      <c r="AV86">
        <v>0</v>
      </c>
      <c r="AW86">
        <v>2</v>
      </c>
      <c r="AX86">
        <v>145197460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ROUND(Y86*Source!I102,9)</f>
        <v>12.714499999999999</v>
      </c>
      <c r="CY86">
        <f t="shared" si="41"/>
        <v>2354.2600000000002</v>
      </c>
      <c r="CZ86">
        <f t="shared" si="42"/>
        <v>175.56</v>
      </c>
      <c r="DA86">
        <f t="shared" si="43"/>
        <v>13.41</v>
      </c>
      <c r="DB86">
        <f t="shared" si="37"/>
        <v>517.9</v>
      </c>
      <c r="DC86">
        <f t="shared" si="38"/>
        <v>42.48</v>
      </c>
      <c r="DD86" t="s">
        <v>3</v>
      </c>
      <c r="DE86" t="s">
        <v>3</v>
      </c>
      <c r="DF86">
        <f t="shared" si="35"/>
        <v>0</v>
      </c>
      <c r="DG86">
        <f t="shared" si="44"/>
        <v>29933.24</v>
      </c>
      <c r="DH86">
        <f t="shared" si="39"/>
        <v>8368.94</v>
      </c>
      <c r="DI86">
        <f t="shared" si="40"/>
        <v>0</v>
      </c>
      <c r="DJ86">
        <f t="shared" si="45"/>
        <v>29933.24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ROW(Source!A102)</f>
        <v>102</v>
      </c>
      <c r="B87">
        <v>145185703</v>
      </c>
      <c r="C87">
        <v>145197432</v>
      </c>
      <c r="D87">
        <v>140923032</v>
      </c>
      <c r="E87">
        <v>1</v>
      </c>
      <c r="F87">
        <v>1</v>
      </c>
      <c r="G87">
        <v>1</v>
      </c>
      <c r="H87">
        <v>2</v>
      </c>
      <c r="I87" t="s">
        <v>414</v>
      </c>
      <c r="J87" t="s">
        <v>415</v>
      </c>
      <c r="K87" t="s">
        <v>416</v>
      </c>
      <c r="L87">
        <v>1367</v>
      </c>
      <c r="N87">
        <v>1011</v>
      </c>
      <c r="O87" t="s">
        <v>398</v>
      </c>
      <c r="P87" t="s">
        <v>398</v>
      </c>
      <c r="Q87">
        <v>1</v>
      </c>
      <c r="W87">
        <v>0</v>
      </c>
      <c r="X87">
        <v>321316643</v>
      </c>
      <c r="Y87">
        <f t="shared" si="36"/>
        <v>1.1000000000000001</v>
      </c>
      <c r="AA87">
        <v>0</v>
      </c>
      <c r="AB87">
        <v>12.07</v>
      </c>
      <c r="AC87">
        <v>0</v>
      </c>
      <c r="AD87">
        <v>0</v>
      </c>
      <c r="AE87">
        <v>0</v>
      </c>
      <c r="AF87">
        <v>0.9</v>
      </c>
      <c r="AG87">
        <v>0</v>
      </c>
      <c r="AH87">
        <v>0</v>
      </c>
      <c r="AI87">
        <v>1</v>
      </c>
      <c r="AJ87">
        <v>13.41</v>
      </c>
      <c r="AK87">
        <v>45.71</v>
      </c>
      <c r="AL87">
        <v>1</v>
      </c>
      <c r="AM87">
        <v>4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0.88</v>
      </c>
      <c r="AU87" t="s">
        <v>42</v>
      </c>
      <c r="AV87">
        <v>0</v>
      </c>
      <c r="AW87">
        <v>2</v>
      </c>
      <c r="AX87">
        <v>145197461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ROUND(Y87*Source!I102,9)</f>
        <v>4.7409999999999997</v>
      </c>
      <c r="CY87">
        <f t="shared" si="41"/>
        <v>12.07</v>
      </c>
      <c r="CZ87">
        <f t="shared" si="42"/>
        <v>0.9</v>
      </c>
      <c r="DA87">
        <f t="shared" si="43"/>
        <v>13.41</v>
      </c>
      <c r="DB87">
        <f t="shared" si="37"/>
        <v>0.99</v>
      </c>
      <c r="DC87">
        <f t="shared" si="38"/>
        <v>0</v>
      </c>
      <c r="DD87" t="s">
        <v>3</v>
      </c>
      <c r="DE87" t="s">
        <v>3</v>
      </c>
      <c r="DF87">
        <f t="shared" si="35"/>
        <v>0</v>
      </c>
      <c r="DG87">
        <f t="shared" si="44"/>
        <v>57.22</v>
      </c>
      <c r="DH87">
        <f t="shared" si="39"/>
        <v>0</v>
      </c>
      <c r="DI87">
        <f t="shared" si="40"/>
        <v>0</v>
      </c>
      <c r="DJ87">
        <f t="shared" si="45"/>
        <v>57.22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ROW(Source!A102)</f>
        <v>102</v>
      </c>
      <c r="B88">
        <v>145185703</v>
      </c>
      <c r="C88">
        <v>145197432</v>
      </c>
      <c r="D88">
        <v>140923885</v>
      </c>
      <c r="E88">
        <v>1</v>
      </c>
      <c r="F88">
        <v>1</v>
      </c>
      <c r="G88">
        <v>1</v>
      </c>
      <c r="H88">
        <v>2</v>
      </c>
      <c r="I88" t="s">
        <v>417</v>
      </c>
      <c r="J88" t="s">
        <v>418</v>
      </c>
      <c r="K88" t="s">
        <v>419</v>
      </c>
      <c r="L88">
        <v>1367</v>
      </c>
      <c r="N88">
        <v>1011</v>
      </c>
      <c r="O88" t="s">
        <v>398</v>
      </c>
      <c r="P88" t="s">
        <v>398</v>
      </c>
      <c r="Q88">
        <v>1</v>
      </c>
      <c r="W88">
        <v>0</v>
      </c>
      <c r="X88">
        <v>509054691</v>
      </c>
      <c r="Y88">
        <f t="shared" si="36"/>
        <v>0.4</v>
      </c>
      <c r="AA88">
        <v>0</v>
      </c>
      <c r="AB88">
        <v>881.17</v>
      </c>
      <c r="AC88">
        <v>530.24</v>
      </c>
      <c r="AD88">
        <v>0</v>
      </c>
      <c r="AE88">
        <v>0</v>
      </c>
      <c r="AF88">
        <v>65.709999999999994</v>
      </c>
      <c r="AG88">
        <v>11.6</v>
      </c>
      <c r="AH88">
        <v>0</v>
      </c>
      <c r="AI88">
        <v>1</v>
      </c>
      <c r="AJ88">
        <v>13.41</v>
      </c>
      <c r="AK88">
        <v>45.71</v>
      </c>
      <c r="AL88">
        <v>1</v>
      </c>
      <c r="AM88">
        <v>4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0.32</v>
      </c>
      <c r="AU88" t="s">
        <v>42</v>
      </c>
      <c r="AV88">
        <v>0</v>
      </c>
      <c r="AW88">
        <v>2</v>
      </c>
      <c r="AX88">
        <v>145197462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ROUND(Y88*Source!I102,9)</f>
        <v>1.724</v>
      </c>
      <c r="CY88">
        <f t="shared" si="41"/>
        <v>881.17</v>
      </c>
      <c r="CZ88">
        <f t="shared" si="42"/>
        <v>65.709999999999994</v>
      </c>
      <c r="DA88">
        <f t="shared" si="43"/>
        <v>13.41</v>
      </c>
      <c r="DB88">
        <f t="shared" si="37"/>
        <v>26.29</v>
      </c>
      <c r="DC88">
        <f t="shared" si="38"/>
        <v>4.6399999999999997</v>
      </c>
      <c r="DD88" t="s">
        <v>3</v>
      </c>
      <c r="DE88" t="s">
        <v>3</v>
      </c>
      <c r="DF88">
        <f t="shared" si="35"/>
        <v>0</v>
      </c>
      <c r="DG88">
        <f t="shared" si="44"/>
        <v>1519.14</v>
      </c>
      <c r="DH88">
        <f t="shared" si="39"/>
        <v>914.13</v>
      </c>
      <c r="DI88">
        <f t="shared" si="40"/>
        <v>0</v>
      </c>
      <c r="DJ88">
        <f t="shared" si="45"/>
        <v>1519.14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ROW(Source!A102)</f>
        <v>102</v>
      </c>
      <c r="B89">
        <v>145185703</v>
      </c>
      <c r="C89">
        <v>145197432</v>
      </c>
      <c r="D89">
        <v>140924041</v>
      </c>
      <c r="E89">
        <v>1</v>
      </c>
      <c r="F89">
        <v>1</v>
      </c>
      <c r="G89">
        <v>1</v>
      </c>
      <c r="H89">
        <v>2</v>
      </c>
      <c r="I89" t="s">
        <v>420</v>
      </c>
      <c r="J89" t="s">
        <v>421</v>
      </c>
      <c r="K89" t="s">
        <v>422</v>
      </c>
      <c r="L89">
        <v>1367</v>
      </c>
      <c r="N89">
        <v>1011</v>
      </c>
      <c r="O89" t="s">
        <v>398</v>
      </c>
      <c r="P89" t="s">
        <v>398</v>
      </c>
      <c r="Q89">
        <v>1</v>
      </c>
      <c r="W89">
        <v>0</v>
      </c>
      <c r="X89">
        <v>2077867240</v>
      </c>
      <c r="Y89">
        <f t="shared" si="36"/>
        <v>2.1</v>
      </c>
      <c r="AA89">
        <v>0</v>
      </c>
      <c r="AB89">
        <v>16.09</v>
      </c>
      <c r="AC89">
        <v>0</v>
      </c>
      <c r="AD89">
        <v>0</v>
      </c>
      <c r="AE89">
        <v>0</v>
      </c>
      <c r="AF89">
        <v>1.2</v>
      </c>
      <c r="AG89">
        <v>0</v>
      </c>
      <c r="AH89">
        <v>0</v>
      </c>
      <c r="AI89">
        <v>1</v>
      </c>
      <c r="AJ89">
        <v>13.41</v>
      </c>
      <c r="AK89">
        <v>45.71</v>
      </c>
      <c r="AL89">
        <v>1</v>
      </c>
      <c r="AM89">
        <v>4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1.68</v>
      </c>
      <c r="AU89" t="s">
        <v>42</v>
      </c>
      <c r="AV89">
        <v>0</v>
      </c>
      <c r="AW89">
        <v>2</v>
      </c>
      <c r="AX89">
        <v>145197463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ROUND(Y89*Source!I102,9)</f>
        <v>9.0510000000000002</v>
      </c>
      <c r="CY89">
        <f t="shared" si="41"/>
        <v>16.09</v>
      </c>
      <c r="CZ89">
        <f t="shared" si="42"/>
        <v>1.2</v>
      </c>
      <c r="DA89">
        <f t="shared" si="43"/>
        <v>13.41</v>
      </c>
      <c r="DB89">
        <f t="shared" si="37"/>
        <v>2.5299999999999998</v>
      </c>
      <c r="DC89">
        <f t="shared" si="38"/>
        <v>0</v>
      </c>
      <c r="DD89" t="s">
        <v>3</v>
      </c>
      <c r="DE89" t="s">
        <v>3</v>
      </c>
      <c r="DF89">
        <f t="shared" si="35"/>
        <v>0</v>
      </c>
      <c r="DG89">
        <f t="shared" si="44"/>
        <v>145.63</v>
      </c>
      <c r="DH89">
        <f t="shared" si="39"/>
        <v>0</v>
      </c>
      <c r="DI89">
        <f t="shared" si="40"/>
        <v>0</v>
      </c>
      <c r="DJ89">
        <f t="shared" si="45"/>
        <v>145.63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ROW(Source!A102)</f>
        <v>102</v>
      </c>
      <c r="B90">
        <v>145185703</v>
      </c>
      <c r="C90">
        <v>145197432</v>
      </c>
      <c r="D90">
        <v>140924084</v>
      </c>
      <c r="E90">
        <v>1</v>
      </c>
      <c r="F90">
        <v>1</v>
      </c>
      <c r="G90">
        <v>1</v>
      </c>
      <c r="H90">
        <v>2</v>
      </c>
      <c r="I90" t="s">
        <v>423</v>
      </c>
      <c r="J90" t="s">
        <v>424</v>
      </c>
      <c r="K90" t="s">
        <v>425</v>
      </c>
      <c r="L90">
        <v>1367</v>
      </c>
      <c r="N90">
        <v>1011</v>
      </c>
      <c r="O90" t="s">
        <v>398</v>
      </c>
      <c r="P90" t="s">
        <v>398</v>
      </c>
      <c r="Q90">
        <v>1</v>
      </c>
      <c r="W90">
        <v>0</v>
      </c>
      <c r="X90">
        <v>-1866313122</v>
      </c>
      <c r="Y90">
        <f t="shared" si="36"/>
        <v>0.2</v>
      </c>
      <c r="AA90">
        <v>0</v>
      </c>
      <c r="AB90">
        <v>165.08</v>
      </c>
      <c r="AC90">
        <v>0</v>
      </c>
      <c r="AD90">
        <v>0</v>
      </c>
      <c r="AE90">
        <v>0</v>
      </c>
      <c r="AF90">
        <v>12.31</v>
      </c>
      <c r="AG90">
        <v>0</v>
      </c>
      <c r="AH90">
        <v>0</v>
      </c>
      <c r="AI90">
        <v>1</v>
      </c>
      <c r="AJ90">
        <v>13.41</v>
      </c>
      <c r="AK90">
        <v>45.71</v>
      </c>
      <c r="AL90">
        <v>1</v>
      </c>
      <c r="AM90">
        <v>4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0.16</v>
      </c>
      <c r="AU90" t="s">
        <v>42</v>
      </c>
      <c r="AV90">
        <v>0</v>
      </c>
      <c r="AW90">
        <v>2</v>
      </c>
      <c r="AX90">
        <v>145197464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ROUND(Y90*Source!I102,9)</f>
        <v>0.86199999999999999</v>
      </c>
      <c r="CY90">
        <f t="shared" si="41"/>
        <v>165.08</v>
      </c>
      <c r="CZ90">
        <f t="shared" si="42"/>
        <v>12.31</v>
      </c>
      <c r="DA90">
        <f t="shared" si="43"/>
        <v>13.41</v>
      </c>
      <c r="DB90">
        <f t="shared" si="37"/>
        <v>2.46</v>
      </c>
      <c r="DC90">
        <f t="shared" si="38"/>
        <v>0</v>
      </c>
      <c r="DD90" t="s">
        <v>3</v>
      </c>
      <c r="DE90" t="s">
        <v>3</v>
      </c>
      <c r="DF90">
        <f t="shared" si="35"/>
        <v>0</v>
      </c>
      <c r="DG90">
        <f t="shared" si="44"/>
        <v>142.30000000000001</v>
      </c>
      <c r="DH90">
        <f t="shared" si="39"/>
        <v>0</v>
      </c>
      <c r="DI90">
        <f t="shared" si="40"/>
        <v>0</v>
      </c>
      <c r="DJ90">
        <f t="shared" si="45"/>
        <v>142.30000000000001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ROW(Source!A102)</f>
        <v>102</v>
      </c>
      <c r="B91">
        <v>145185703</v>
      </c>
      <c r="C91">
        <v>145197432</v>
      </c>
      <c r="D91">
        <v>140771005</v>
      </c>
      <c r="E91">
        <v>1</v>
      </c>
      <c r="F91">
        <v>1</v>
      </c>
      <c r="G91">
        <v>1</v>
      </c>
      <c r="H91">
        <v>3</v>
      </c>
      <c r="I91" t="s">
        <v>426</v>
      </c>
      <c r="J91" t="s">
        <v>427</v>
      </c>
      <c r="K91" t="s">
        <v>428</v>
      </c>
      <c r="L91">
        <v>1339</v>
      </c>
      <c r="N91">
        <v>1007</v>
      </c>
      <c r="O91" t="s">
        <v>141</v>
      </c>
      <c r="P91" t="s">
        <v>141</v>
      </c>
      <c r="Q91">
        <v>1</v>
      </c>
      <c r="W91">
        <v>0</v>
      </c>
      <c r="X91">
        <v>-1761807714</v>
      </c>
      <c r="Y91">
        <f t="shared" ref="Y91:Y104" si="46">AT91</f>
        <v>1.4</v>
      </c>
      <c r="AA91">
        <v>52.12</v>
      </c>
      <c r="AB91">
        <v>0</v>
      </c>
      <c r="AC91">
        <v>0</v>
      </c>
      <c r="AD91">
        <v>0</v>
      </c>
      <c r="AE91">
        <v>6.22</v>
      </c>
      <c r="AF91">
        <v>0</v>
      </c>
      <c r="AG91">
        <v>0</v>
      </c>
      <c r="AH91">
        <v>0</v>
      </c>
      <c r="AI91">
        <v>8.3800000000000008</v>
      </c>
      <c r="AJ91">
        <v>1</v>
      </c>
      <c r="AK91">
        <v>1</v>
      </c>
      <c r="AL91">
        <v>1</v>
      </c>
      <c r="AM91">
        <v>4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1.4</v>
      </c>
      <c r="AU91" t="s">
        <v>3</v>
      </c>
      <c r="AV91">
        <v>0</v>
      </c>
      <c r="AW91">
        <v>2</v>
      </c>
      <c r="AX91">
        <v>145197465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ROUND(Y91*Source!I102,9)</f>
        <v>6.0339999999999998</v>
      </c>
      <c r="CY91">
        <f t="shared" ref="CY91:CY104" si="47">AA91</f>
        <v>52.12</v>
      </c>
      <c r="CZ91">
        <f t="shared" ref="CZ91:CZ104" si="48">AE91</f>
        <v>6.22</v>
      </c>
      <c r="DA91">
        <f t="shared" ref="DA91:DA104" si="49">AI91</f>
        <v>8.3800000000000008</v>
      </c>
      <c r="DB91">
        <f t="shared" ref="DB91:DB104" si="50">ROUND(ROUND(AT91*CZ91,2),2)</f>
        <v>8.7100000000000009</v>
      </c>
      <c r="DC91">
        <f t="shared" ref="DC91:DC104" si="51">ROUND(ROUND(AT91*AG91,2),2)</f>
        <v>0</v>
      </c>
      <c r="DD91" t="s">
        <v>3</v>
      </c>
      <c r="DE91" t="s">
        <v>3</v>
      </c>
      <c r="DF91">
        <f t="shared" ref="DF91:DF104" si="52">ROUND(ROUND(AE91*AI91,2)*CX91,2)</f>
        <v>314.49</v>
      </c>
      <c r="DG91">
        <f t="shared" ref="DG91:DG106" si="53">ROUND(ROUND(AF91,2)*CX91,2)</f>
        <v>0</v>
      </c>
      <c r="DH91">
        <f t="shared" ref="DH91:DH105" si="54">ROUND(ROUND(AG91,2)*CX91,2)</f>
        <v>0</v>
      </c>
      <c r="DI91">
        <f t="shared" si="40"/>
        <v>0</v>
      </c>
      <c r="DJ91">
        <f t="shared" ref="DJ91:DJ104" si="55">DF91</f>
        <v>314.49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ROW(Source!A102)</f>
        <v>102</v>
      </c>
      <c r="B92">
        <v>145185703</v>
      </c>
      <c r="C92">
        <v>145197432</v>
      </c>
      <c r="D92">
        <v>140771011</v>
      </c>
      <c r="E92">
        <v>1</v>
      </c>
      <c r="F92">
        <v>1</v>
      </c>
      <c r="G92">
        <v>1</v>
      </c>
      <c r="H92">
        <v>3</v>
      </c>
      <c r="I92" t="s">
        <v>429</v>
      </c>
      <c r="J92" t="s">
        <v>430</v>
      </c>
      <c r="K92" t="s">
        <v>431</v>
      </c>
      <c r="L92">
        <v>1346</v>
      </c>
      <c r="N92">
        <v>1009</v>
      </c>
      <c r="O92" t="s">
        <v>432</v>
      </c>
      <c r="P92" t="s">
        <v>432</v>
      </c>
      <c r="Q92">
        <v>1</v>
      </c>
      <c r="W92">
        <v>0</v>
      </c>
      <c r="X92">
        <v>-2118006079</v>
      </c>
      <c r="Y92">
        <f t="shared" si="46"/>
        <v>0.42</v>
      </c>
      <c r="AA92">
        <v>51.03</v>
      </c>
      <c r="AB92">
        <v>0</v>
      </c>
      <c r="AC92">
        <v>0</v>
      </c>
      <c r="AD92">
        <v>0</v>
      </c>
      <c r="AE92">
        <v>6.09</v>
      </c>
      <c r="AF92">
        <v>0</v>
      </c>
      <c r="AG92">
        <v>0</v>
      </c>
      <c r="AH92">
        <v>0</v>
      </c>
      <c r="AI92">
        <v>8.3800000000000008</v>
      </c>
      <c r="AJ92">
        <v>1</v>
      </c>
      <c r="AK92">
        <v>1</v>
      </c>
      <c r="AL92">
        <v>1</v>
      </c>
      <c r="AM92">
        <v>4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0.42</v>
      </c>
      <c r="AU92" t="s">
        <v>3</v>
      </c>
      <c r="AV92">
        <v>0</v>
      </c>
      <c r="AW92">
        <v>2</v>
      </c>
      <c r="AX92">
        <v>145197466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ROUND(Y92*Source!I102,9)</f>
        <v>1.8102</v>
      </c>
      <c r="CY92">
        <f t="shared" si="47"/>
        <v>51.03</v>
      </c>
      <c r="CZ92">
        <f t="shared" si="48"/>
        <v>6.09</v>
      </c>
      <c r="DA92">
        <f t="shared" si="49"/>
        <v>8.3800000000000008</v>
      </c>
      <c r="DB92">
        <f t="shared" si="50"/>
        <v>2.56</v>
      </c>
      <c r="DC92">
        <f t="shared" si="51"/>
        <v>0</v>
      </c>
      <c r="DD92" t="s">
        <v>3</v>
      </c>
      <c r="DE92" t="s">
        <v>3</v>
      </c>
      <c r="DF92">
        <f t="shared" si="52"/>
        <v>92.37</v>
      </c>
      <c r="DG92">
        <f t="shared" si="53"/>
        <v>0</v>
      </c>
      <c r="DH92">
        <f t="shared" si="54"/>
        <v>0</v>
      </c>
      <c r="DI92">
        <f t="shared" si="40"/>
        <v>0</v>
      </c>
      <c r="DJ92">
        <f t="shared" si="55"/>
        <v>92.37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ROW(Source!A102)</f>
        <v>102</v>
      </c>
      <c r="B93">
        <v>145185703</v>
      </c>
      <c r="C93">
        <v>145197432</v>
      </c>
      <c r="D93">
        <v>140773776</v>
      </c>
      <c r="E93">
        <v>1</v>
      </c>
      <c r="F93">
        <v>1</v>
      </c>
      <c r="G93">
        <v>1</v>
      </c>
      <c r="H93">
        <v>3</v>
      </c>
      <c r="I93" t="s">
        <v>433</v>
      </c>
      <c r="J93" t="s">
        <v>434</v>
      </c>
      <c r="K93" t="s">
        <v>435</v>
      </c>
      <c r="L93">
        <v>1348</v>
      </c>
      <c r="N93">
        <v>1009</v>
      </c>
      <c r="O93" t="s">
        <v>21</v>
      </c>
      <c r="P93" t="s">
        <v>21</v>
      </c>
      <c r="Q93">
        <v>1000</v>
      </c>
      <c r="W93">
        <v>0</v>
      </c>
      <c r="X93">
        <v>1163323608</v>
      </c>
      <c r="Y93">
        <f t="shared" si="46"/>
        <v>6.0999999999999997E-4</v>
      </c>
      <c r="AA93">
        <v>86439.78</v>
      </c>
      <c r="AB93">
        <v>0</v>
      </c>
      <c r="AC93">
        <v>0</v>
      </c>
      <c r="AD93">
        <v>0</v>
      </c>
      <c r="AE93">
        <v>10315.01</v>
      </c>
      <c r="AF93">
        <v>0</v>
      </c>
      <c r="AG93">
        <v>0</v>
      </c>
      <c r="AH93">
        <v>0</v>
      </c>
      <c r="AI93">
        <v>8.3800000000000008</v>
      </c>
      <c r="AJ93">
        <v>1</v>
      </c>
      <c r="AK93">
        <v>1</v>
      </c>
      <c r="AL93">
        <v>1</v>
      </c>
      <c r="AM93">
        <v>4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6.0999999999999997E-4</v>
      </c>
      <c r="AU93" t="s">
        <v>3</v>
      </c>
      <c r="AV93">
        <v>0</v>
      </c>
      <c r="AW93">
        <v>2</v>
      </c>
      <c r="AX93">
        <v>145197467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ROUND(Y93*Source!I102,9)</f>
        <v>2.6291000000000001E-3</v>
      </c>
      <c r="CY93">
        <f t="shared" si="47"/>
        <v>86439.78</v>
      </c>
      <c r="CZ93">
        <f t="shared" si="48"/>
        <v>10315.01</v>
      </c>
      <c r="DA93">
        <f t="shared" si="49"/>
        <v>8.3800000000000008</v>
      </c>
      <c r="DB93">
        <f t="shared" si="50"/>
        <v>6.29</v>
      </c>
      <c r="DC93">
        <f t="shared" si="51"/>
        <v>0</v>
      </c>
      <c r="DD93" t="s">
        <v>3</v>
      </c>
      <c r="DE93" t="s">
        <v>3</v>
      </c>
      <c r="DF93">
        <f t="shared" si="52"/>
        <v>227.26</v>
      </c>
      <c r="DG93">
        <f t="shared" si="53"/>
        <v>0</v>
      </c>
      <c r="DH93">
        <f t="shared" si="54"/>
        <v>0</v>
      </c>
      <c r="DI93">
        <f t="shared" si="40"/>
        <v>0</v>
      </c>
      <c r="DJ93">
        <f t="shared" si="55"/>
        <v>227.26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ROW(Source!A102)</f>
        <v>102</v>
      </c>
      <c r="B94">
        <v>145185703</v>
      </c>
      <c r="C94">
        <v>145197432</v>
      </c>
      <c r="D94">
        <v>140775017</v>
      </c>
      <c r="E94">
        <v>1</v>
      </c>
      <c r="F94">
        <v>1</v>
      </c>
      <c r="G94">
        <v>1</v>
      </c>
      <c r="H94">
        <v>3</v>
      </c>
      <c r="I94" t="s">
        <v>436</v>
      </c>
      <c r="J94" t="s">
        <v>437</v>
      </c>
      <c r="K94" t="s">
        <v>438</v>
      </c>
      <c r="L94">
        <v>1346</v>
      </c>
      <c r="N94">
        <v>1009</v>
      </c>
      <c r="O94" t="s">
        <v>432</v>
      </c>
      <c r="P94" t="s">
        <v>432</v>
      </c>
      <c r="Q94">
        <v>1</v>
      </c>
      <c r="W94">
        <v>0</v>
      </c>
      <c r="X94">
        <v>-1864341761</v>
      </c>
      <c r="Y94">
        <f t="shared" si="46"/>
        <v>2.2000000000000002</v>
      </c>
      <c r="AA94">
        <v>75.760000000000005</v>
      </c>
      <c r="AB94">
        <v>0</v>
      </c>
      <c r="AC94">
        <v>0</v>
      </c>
      <c r="AD94">
        <v>0</v>
      </c>
      <c r="AE94">
        <v>9.0399999999999991</v>
      </c>
      <c r="AF94">
        <v>0</v>
      </c>
      <c r="AG94">
        <v>0</v>
      </c>
      <c r="AH94">
        <v>0</v>
      </c>
      <c r="AI94">
        <v>8.3800000000000008</v>
      </c>
      <c r="AJ94">
        <v>1</v>
      </c>
      <c r="AK94">
        <v>1</v>
      </c>
      <c r="AL94">
        <v>1</v>
      </c>
      <c r="AM94">
        <v>4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2.2000000000000002</v>
      </c>
      <c r="AU94" t="s">
        <v>3</v>
      </c>
      <c r="AV94">
        <v>0</v>
      </c>
      <c r="AW94">
        <v>2</v>
      </c>
      <c r="AX94">
        <v>145197468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ROUND(Y94*Source!I102,9)</f>
        <v>9.4819999999999993</v>
      </c>
      <c r="CY94">
        <f t="shared" si="47"/>
        <v>75.760000000000005</v>
      </c>
      <c r="CZ94">
        <f t="shared" si="48"/>
        <v>9.0399999999999991</v>
      </c>
      <c r="DA94">
        <f t="shared" si="49"/>
        <v>8.3800000000000008</v>
      </c>
      <c r="DB94">
        <f t="shared" si="50"/>
        <v>19.89</v>
      </c>
      <c r="DC94">
        <f t="shared" si="51"/>
        <v>0</v>
      </c>
      <c r="DD94" t="s">
        <v>3</v>
      </c>
      <c r="DE94" t="s">
        <v>3</v>
      </c>
      <c r="DF94">
        <f t="shared" si="52"/>
        <v>718.36</v>
      </c>
      <c r="DG94">
        <f t="shared" si="53"/>
        <v>0</v>
      </c>
      <c r="DH94">
        <f t="shared" si="54"/>
        <v>0</v>
      </c>
      <c r="DI94">
        <f t="shared" si="40"/>
        <v>0</v>
      </c>
      <c r="DJ94">
        <f t="shared" si="55"/>
        <v>718.36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ROW(Source!A102)</f>
        <v>102</v>
      </c>
      <c r="B95">
        <v>145185703</v>
      </c>
      <c r="C95">
        <v>145197432</v>
      </c>
      <c r="D95">
        <v>140776229</v>
      </c>
      <c r="E95">
        <v>1</v>
      </c>
      <c r="F95">
        <v>1</v>
      </c>
      <c r="G95">
        <v>1</v>
      </c>
      <c r="H95">
        <v>3</v>
      </c>
      <c r="I95" t="s">
        <v>439</v>
      </c>
      <c r="J95" t="s">
        <v>440</v>
      </c>
      <c r="K95" t="s">
        <v>441</v>
      </c>
      <c r="L95">
        <v>1348</v>
      </c>
      <c r="N95">
        <v>1009</v>
      </c>
      <c r="O95" t="s">
        <v>21</v>
      </c>
      <c r="P95" t="s">
        <v>21</v>
      </c>
      <c r="Q95">
        <v>1000</v>
      </c>
      <c r="W95">
        <v>0</v>
      </c>
      <c r="X95">
        <v>-1671348935</v>
      </c>
      <c r="Y95">
        <f t="shared" si="46"/>
        <v>1.4999999999999999E-4</v>
      </c>
      <c r="AA95">
        <v>317602</v>
      </c>
      <c r="AB95">
        <v>0</v>
      </c>
      <c r="AC95">
        <v>0</v>
      </c>
      <c r="AD95">
        <v>0</v>
      </c>
      <c r="AE95">
        <v>37900</v>
      </c>
      <c r="AF95">
        <v>0</v>
      </c>
      <c r="AG95">
        <v>0</v>
      </c>
      <c r="AH95">
        <v>0</v>
      </c>
      <c r="AI95">
        <v>8.3800000000000008</v>
      </c>
      <c r="AJ95">
        <v>1</v>
      </c>
      <c r="AK95">
        <v>1</v>
      </c>
      <c r="AL95">
        <v>1</v>
      </c>
      <c r="AM95">
        <v>4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1.4999999999999999E-4</v>
      </c>
      <c r="AU95" t="s">
        <v>3</v>
      </c>
      <c r="AV95">
        <v>0</v>
      </c>
      <c r="AW95">
        <v>2</v>
      </c>
      <c r="AX95">
        <v>145197469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ROUND(Y95*Source!I102,9)</f>
        <v>6.4650000000000005E-4</v>
      </c>
      <c r="CY95">
        <f t="shared" si="47"/>
        <v>317602</v>
      </c>
      <c r="CZ95">
        <f t="shared" si="48"/>
        <v>37900</v>
      </c>
      <c r="DA95">
        <f t="shared" si="49"/>
        <v>8.3800000000000008</v>
      </c>
      <c r="DB95">
        <f t="shared" si="50"/>
        <v>5.69</v>
      </c>
      <c r="DC95">
        <f t="shared" si="51"/>
        <v>0</v>
      </c>
      <c r="DD95" t="s">
        <v>3</v>
      </c>
      <c r="DE95" t="s">
        <v>3</v>
      </c>
      <c r="DF95">
        <f t="shared" si="52"/>
        <v>205.33</v>
      </c>
      <c r="DG95">
        <f t="shared" si="53"/>
        <v>0</v>
      </c>
      <c r="DH95">
        <f t="shared" si="54"/>
        <v>0</v>
      </c>
      <c r="DI95">
        <f t="shared" si="40"/>
        <v>0</v>
      </c>
      <c r="DJ95">
        <f t="shared" si="55"/>
        <v>205.33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ROW(Source!A102)</f>
        <v>102</v>
      </c>
      <c r="B96">
        <v>145185703</v>
      </c>
      <c r="C96">
        <v>145197432</v>
      </c>
      <c r="D96">
        <v>140789856</v>
      </c>
      <c r="E96">
        <v>1</v>
      </c>
      <c r="F96">
        <v>1</v>
      </c>
      <c r="G96">
        <v>1</v>
      </c>
      <c r="H96">
        <v>3</v>
      </c>
      <c r="I96" t="s">
        <v>442</v>
      </c>
      <c r="J96" t="s">
        <v>443</v>
      </c>
      <c r="K96" t="s">
        <v>444</v>
      </c>
      <c r="L96">
        <v>1348</v>
      </c>
      <c r="N96">
        <v>1009</v>
      </c>
      <c r="O96" t="s">
        <v>21</v>
      </c>
      <c r="P96" t="s">
        <v>21</v>
      </c>
      <c r="Q96">
        <v>1000</v>
      </c>
      <c r="W96">
        <v>0</v>
      </c>
      <c r="X96">
        <v>-1915778085</v>
      </c>
      <c r="Y96">
        <f t="shared" si="46"/>
        <v>1.0999999999999999E-2</v>
      </c>
      <c r="AA96">
        <v>64626.559999999998</v>
      </c>
      <c r="AB96">
        <v>0</v>
      </c>
      <c r="AC96">
        <v>0</v>
      </c>
      <c r="AD96">
        <v>0</v>
      </c>
      <c r="AE96">
        <v>7712</v>
      </c>
      <c r="AF96">
        <v>0</v>
      </c>
      <c r="AG96">
        <v>0</v>
      </c>
      <c r="AH96">
        <v>0</v>
      </c>
      <c r="AI96">
        <v>8.3800000000000008</v>
      </c>
      <c r="AJ96">
        <v>1</v>
      </c>
      <c r="AK96">
        <v>1</v>
      </c>
      <c r="AL96">
        <v>1</v>
      </c>
      <c r="AM96">
        <v>4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1.0999999999999999E-2</v>
      </c>
      <c r="AU96" t="s">
        <v>3</v>
      </c>
      <c r="AV96">
        <v>0</v>
      </c>
      <c r="AW96">
        <v>2</v>
      </c>
      <c r="AX96">
        <v>145197470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ROUND(Y96*Source!I102,9)</f>
        <v>4.7410000000000001E-2</v>
      </c>
      <c r="CY96">
        <f t="shared" si="47"/>
        <v>64626.559999999998</v>
      </c>
      <c r="CZ96">
        <f t="shared" si="48"/>
        <v>7712</v>
      </c>
      <c r="DA96">
        <f t="shared" si="49"/>
        <v>8.3800000000000008</v>
      </c>
      <c r="DB96">
        <f t="shared" si="50"/>
        <v>84.83</v>
      </c>
      <c r="DC96">
        <f t="shared" si="51"/>
        <v>0</v>
      </c>
      <c r="DD96" t="s">
        <v>3</v>
      </c>
      <c r="DE96" t="s">
        <v>3</v>
      </c>
      <c r="DF96">
        <f t="shared" si="52"/>
        <v>3063.95</v>
      </c>
      <c r="DG96">
        <f t="shared" si="53"/>
        <v>0</v>
      </c>
      <c r="DH96">
        <f t="shared" si="54"/>
        <v>0</v>
      </c>
      <c r="DI96">
        <f t="shared" si="40"/>
        <v>0</v>
      </c>
      <c r="DJ96">
        <f t="shared" si="55"/>
        <v>3063.95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ROW(Source!A102)</f>
        <v>102</v>
      </c>
      <c r="B97">
        <v>145185703</v>
      </c>
      <c r="C97">
        <v>145197432</v>
      </c>
      <c r="D97">
        <v>140762187</v>
      </c>
      <c r="E97">
        <v>70</v>
      </c>
      <c r="F97">
        <v>1</v>
      </c>
      <c r="G97">
        <v>1</v>
      </c>
      <c r="H97">
        <v>3</v>
      </c>
      <c r="I97" t="s">
        <v>445</v>
      </c>
      <c r="J97" t="s">
        <v>3</v>
      </c>
      <c r="K97" t="s">
        <v>446</v>
      </c>
      <c r="L97">
        <v>1348</v>
      </c>
      <c r="N97">
        <v>1009</v>
      </c>
      <c r="O97" t="s">
        <v>21</v>
      </c>
      <c r="P97" t="s">
        <v>21</v>
      </c>
      <c r="Q97">
        <v>1000</v>
      </c>
      <c r="W97">
        <v>0</v>
      </c>
      <c r="X97">
        <v>2140265389</v>
      </c>
      <c r="Y97">
        <f t="shared" si="46"/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8.3800000000000008</v>
      </c>
      <c r="AJ97">
        <v>1</v>
      </c>
      <c r="AK97">
        <v>1</v>
      </c>
      <c r="AL97">
        <v>1</v>
      </c>
      <c r="AM97">
        <v>4</v>
      </c>
      <c r="AN97">
        <v>1</v>
      </c>
      <c r="AO97">
        <v>0</v>
      </c>
      <c r="AP97">
        <v>1</v>
      </c>
      <c r="AQ97">
        <v>0</v>
      </c>
      <c r="AR97">
        <v>0</v>
      </c>
      <c r="AS97" t="s">
        <v>3</v>
      </c>
      <c r="AT97">
        <v>0</v>
      </c>
      <c r="AU97" t="s">
        <v>3</v>
      </c>
      <c r="AV97">
        <v>0</v>
      </c>
      <c r="AW97">
        <v>2</v>
      </c>
      <c r="AX97">
        <v>145197471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ROUND(Y97*Source!I102,9)</f>
        <v>0</v>
      </c>
      <c r="CY97">
        <f t="shared" si="47"/>
        <v>0</v>
      </c>
      <c r="CZ97">
        <f t="shared" si="48"/>
        <v>0</v>
      </c>
      <c r="DA97">
        <f t="shared" si="49"/>
        <v>8.3800000000000008</v>
      </c>
      <c r="DB97">
        <f t="shared" si="50"/>
        <v>0</v>
      </c>
      <c r="DC97">
        <f t="shared" si="51"/>
        <v>0</v>
      </c>
      <c r="DD97" t="s">
        <v>3</v>
      </c>
      <c r="DE97" t="s">
        <v>3</v>
      </c>
      <c r="DF97">
        <f t="shared" si="52"/>
        <v>0</v>
      </c>
      <c r="DG97">
        <f t="shared" si="53"/>
        <v>0</v>
      </c>
      <c r="DH97">
        <f t="shared" si="54"/>
        <v>0</v>
      </c>
      <c r="DI97">
        <f t="shared" si="40"/>
        <v>0</v>
      </c>
      <c r="DJ97">
        <f t="shared" si="55"/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ROW(Source!A102)</f>
        <v>102</v>
      </c>
      <c r="B98">
        <v>145185703</v>
      </c>
      <c r="C98">
        <v>145197432</v>
      </c>
      <c r="D98">
        <v>140791984</v>
      </c>
      <c r="E98">
        <v>1</v>
      </c>
      <c r="F98">
        <v>1</v>
      </c>
      <c r="G98">
        <v>1</v>
      </c>
      <c r="H98">
        <v>3</v>
      </c>
      <c r="I98" t="s">
        <v>447</v>
      </c>
      <c r="J98" t="s">
        <v>448</v>
      </c>
      <c r="K98" t="s">
        <v>449</v>
      </c>
      <c r="L98">
        <v>1302</v>
      </c>
      <c r="N98">
        <v>1003</v>
      </c>
      <c r="O98" t="s">
        <v>450</v>
      </c>
      <c r="P98" t="s">
        <v>450</v>
      </c>
      <c r="Q98">
        <v>10</v>
      </c>
      <c r="W98">
        <v>0</v>
      </c>
      <c r="X98">
        <v>581091037</v>
      </c>
      <c r="Y98">
        <f t="shared" si="46"/>
        <v>1.6E-2</v>
      </c>
      <c r="AA98">
        <v>421.01</v>
      </c>
      <c r="AB98">
        <v>0</v>
      </c>
      <c r="AC98">
        <v>0</v>
      </c>
      <c r="AD98">
        <v>0</v>
      </c>
      <c r="AE98">
        <v>50.24</v>
      </c>
      <c r="AF98">
        <v>0</v>
      </c>
      <c r="AG98">
        <v>0</v>
      </c>
      <c r="AH98">
        <v>0</v>
      </c>
      <c r="AI98">
        <v>8.3800000000000008</v>
      </c>
      <c r="AJ98">
        <v>1</v>
      </c>
      <c r="AK98">
        <v>1</v>
      </c>
      <c r="AL98">
        <v>1</v>
      </c>
      <c r="AM98">
        <v>4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1.6E-2</v>
      </c>
      <c r="AU98" t="s">
        <v>3</v>
      </c>
      <c r="AV98">
        <v>0</v>
      </c>
      <c r="AW98">
        <v>2</v>
      </c>
      <c r="AX98">
        <v>145197472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ROUND(Y98*Source!I102,9)</f>
        <v>6.8959999999999994E-2</v>
      </c>
      <c r="CY98">
        <f t="shared" si="47"/>
        <v>421.01</v>
      </c>
      <c r="CZ98">
        <f t="shared" si="48"/>
        <v>50.24</v>
      </c>
      <c r="DA98">
        <f t="shared" si="49"/>
        <v>8.3800000000000008</v>
      </c>
      <c r="DB98">
        <f t="shared" si="50"/>
        <v>0.8</v>
      </c>
      <c r="DC98">
        <f t="shared" si="51"/>
        <v>0</v>
      </c>
      <c r="DD98" t="s">
        <v>3</v>
      </c>
      <c r="DE98" t="s">
        <v>3</v>
      </c>
      <c r="DF98">
        <f t="shared" si="52"/>
        <v>29.03</v>
      </c>
      <c r="DG98">
        <f t="shared" si="53"/>
        <v>0</v>
      </c>
      <c r="DH98">
        <f t="shared" si="54"/>
        <v>0</v>
      </c>
      <c r="DI98">
        <f t="shared" si="40"/>
        <v>0</v>
      </c>
      <c r="DJ98">
        <f t="shared" si="55"/>
        <v>29.03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ROW(Source!A102)</f>
        <v>102</v>
      </c>
      <c r="B99">
        <v>145185703</v>
      </c>
      <c r="C99">
        <v>145197432</v>
      </c>
      <c r="D99">
        <v>140792339</v>
      </c>
      <c r="E99">
        <v>1</v>
      </c>
      <c r="F99">
        <v>1</v>
      </c>
      <c r="G99">
        <v>1</v>
      </c>
      <c r="H99">
        <v>3</v>
      </c>
      <c r="I99" t="s">
        <v>451</v>
      </c>
      <c r="J99" t="s">
        <v>452</v>
      </c>
      <c r="K99" t="s">
        <v>453</v>
      </c>
      <c r="L99">
        <v>1348</v>
      </c>
      <c r="N99">
        <v>1009</v>
      </c>
      <c r="O99" t="s">
        <v>21</v>
      </c>
      <c r="P99" t="s">
        <v>21</v>
      </c>
      <c r="Q99">
        <v>1000</v>
      </c>
      <c r="W99">
        <v>0</v>
      </c>
      <c r="X99">
        <v>-120483918</v>
      </c>
      <c r="Y99">
        <f t="shared" si="46"/>
        <v>4.0000000000000003E-5</v>
      </c>
      <c r="AA99">
        <v>37334.58</v>
      </c>
      <c r="AB99">
        <v>0</v>
      </c>
      <c r="AC99">
        <v>0</v>
      </c>
      <c r="AD99">
        <v>0</v>
      </c>
      <c r="AE99">
        <v>4455.2</v>
      </c>
      <c r="AF99">
        <v>0</v>
      </c>
      <c r="AG99">
        <v>0</v>
      </c>
      <c r="AH99">
        <v>0</v>
      </c>
      <c r="AI99">
        <v>8.3800000000000008</v>
      </c>
      <c r="AJ99">
        <v>1</v>
      </c>
      <c r="AK99">
        <v>1</v>
      </c>
      <c r="AL99">
        <v>1</v>
      </c>
      <c r="AM99">
        <v>4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4.0000000000000003E-5</v>
      </c>
      <c r="AU99" t="s">
        <v>3</v>
      </c>
      <c r="AV99">
        <v>0</v>
      </c>
      <c r="AW99">
        <v>2</v>
      </c>
      <c r="AX99">
        <v>145197473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ROUND(Y99*Source!I102,9)</f>
        <v>1.7239999999999999E-4</v>
      </c>
      <c r="CY99">
        <f t="shared" si="47"/>
        <v>37334.58</v>
      </c>
      <c r="CZ99">
        <f t="shared" si="48"/>
        <v>4455.2</v>
      </c>
      <c r="DA99">
        <f t="shared" si="49"/>
        <v>8.3800000000000008</v>
      </c>
      <c r="DB99">
        <f t="shared" si="50"/>
        <v>0.18</v>
      </c>
      <c r="DC99">
        <f t="shared" si="51"/>
        <v>0</v>
      </c>
      <c r="DD99" t="s">
        <v>3</v>
      </c>
      <c r="DE99" t="s">
        <v>3</v>
      </c>
      <c r="DF99">
        <f t="shared" si="52"/>
        <v>6.44</v>
      </c>
      <c r="DG99">
        <f t="shared" si="53"/>
        <v>0</v>
      </c>
      <c r="DH99">
        <f t="shared" si="54"/>
        <v>0</v>
      </c>
      <c r="DI99">
        <f t="shared" si="40"/>
        <v>0</v>
      </c>
      <c r="DJ99">
        <f t="shared" si="55"/>
        <v>6.44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ROW(Source!A102)</f>
        <v>102</v>
      </c>
      <c r="B100">
        <v>145185703</v>
      </c>
      <c r="C100">
        <v>145197432</v>
      </c>
      <c r="D100">
        <v>140762343</v>
      </c>
      <c r="E100">
        <v>70</v>
      </c>
      <c r="F100">
        <v>1</v>
      </c>
      <c r="G100">
        <v>1</v>
      </c>
      <c r="H100">
        <v>3</v>
      </c>
      <c r="I100" t="s">
        <v>454</v>
      </c>
      <c r="J100" t="s">
        <v>3</v>
      </c>
      <c r="K100" t="s">
        <v>455</v>
      </c>
      <c r="L100">
        <v>1348</v>
      </c>
      <c r="N100">
        <v>1009</v>
      </c>
      <c r="O100" t="s">
        <v>21</v>
      </c>
      <c r="P100" t="s">
        <v>21</v>
      </c>
      <c r="Q100">
        <v>1000</v>
      </c>
      <c r="W100">
        <v>0</v>
      </c>
      <c r="X100">
        <v>-2026878615</v>
      </c>
      <c r="Y100">
        <f t="shared" si="46"/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8.3800000000000008</v>
      </c>
      <c r="AJ100">
        <v>1</v>
      </c>
      <c r="AK100">
        <v>1</v>
      </c>
      <c r="AL100">
        <v>1</v>
      </c>
      <c r="AM100">
        <v>4</v>
      </c>
      <c r="AN100">
        <v>1</v>
      </c>
      <c r="AO100">
        <v>0</v>
      </c>
      <c r="AP100">
        <v>1</v>
      </c>
      <c r="AQ100">
        <v>0</v>
      </c>
      <c r="AR100">
        <v>0</v>
      </c>
      <c r="AS100" t="s">
        <v>3</v>
      </c>
      <c r="AT100">
        <v>0</v>
      </c>
      <c r="AU100" t="s">
        <v>3</v>
      </c>
      <c r="AV100">
        <v>0</v>
      </c>
      <c r="AW100">
        <v>2</v>
      </c>
      <c r="AX100">
        <v>145197474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ROUND(Y100*Source!I102,9)</f>
        <v>0</v>
      </c>
      <c r="CY100">
        <f t="shared" si="47"/>
        <v>0</v>
      </c>
      <c r="CZ100">
        <f t="shared" si="48"/>
        <v>0</v>
      </c>
      <c r="DA100">
        <f t="shared" si="49"/>
        <v>8.3800000000000008</v>
      </c>
      <c r="DB100">
        <f t="shared" si="50"/>
        <v>0</v>
      </c>
      <c r="DC100">
        <f t="shared" si="51"/>
        <v>0</v>
      </c>
      <c r="DD100" t="s">
        <v>3</v>
      </c>
      <c r="DE100" t="s">
        <v>3</v>
      </c>
      <c r="DF100">
        <f t="shared" si="52"/>
        <v>0</v>
      </c>
      <c r="DG100">
        <f t="shared" si="53"/>
        <v>0</v>
      </c>
      <c r="DH100">
        <f t="shared" si="54"/>
        <v>0</v>
      </c>
      <c r="DI100">
        <f t="shared" si="40"/>
        <v>0</v>
      </c>
      <c r="DJ100">
        <f t="shared" si="55"/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ROW(Source!A102)</f>
        <v>102</v>
      </c>
      <c r="B101">
        <v>145185703</v>
      </c>
      <c r="C101">
        <v>145197432</v>
      </c>
      <c r="D101">
        <v>140793072</v>
      </c>
      <c r="E101">
        <v>1</v>
      </c>
      <c r="F101">
        <v>1</v>
      </c>
      <c r="G101">
        <v>1</v>
      </c>
      <c r="H101">
        <v>3</v>
      </c>
      <c r="I101" t="s">
        <v>456</v>
      </c>
      <c r="J101" t="s">
        <v>457</v>
      </c>
      <c r="K101" t="s">
        <v>458</v>
      </c>
      <c r="L101">
        <v>1348</v>
      </c>
      <c r="N101">
        <v>1009</v>
      </c>
      <c r="O101" t="s">
        <v>21</v>
      </c>
      <c r="P101" t="s">
        <v>21</v>
      </c>
      <c r="Q101">
        <v>1000</v>
      </c>
      <c r="W101">
        <v>0</v>
      </c>
      <c r="X101">
        <v>834877976</v>
      </c>
      <c r="Y101">
        <f t="shared" si="46"/>
        <v>2.97E-3</v>
      </c>
      <c r="AA101">
        <v>41229.599999999999</v>
      </c>
      <c r="AB101">
        <v>0</v>
      </c>
      <c r="AC101">
        <v>0</v>
      </c>
      <c r="AD101">
        <v>0</v>
      </c>
      <c r="AE101">
        <v>4920</v>
      </c>
      <c r="AF101">
        <v>0</v>
      </c>
      <c r="AG101">
        <v>0</v>
      </c>
      <c r="AH101">
        <v>0</v>
      </c>
      <c r="AI101">
        <v>8.3800000000000008</v>
      </c>
      <c r="AJ101">
        <v>1</v>
      </c>
      <c r="AK101">
        <v>1</v>
      </c>
      <c r="AL101">
        <v>1</v>
      </c>
      <c r="AM101">
        <v>4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2.97E-3</v>
      </c>
      <c r="AU101" t="s">
        <v>3</v>
      </c>
      <c r="AV101">
        <v>0</v>
      </c>
      <c r="AW101">
        <v>2</v>
      </c>
      <c r="AX101">
        <v>145197475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ROUND(Y101*Source!I102,9)</f>
        <v>1.28007E-2</v>
      </c>
      <c r="CY101">
        <f t="shared" si="47"/>
        <v>41229.599999999999</v>
      </c>
      <c r="CZ101">
        <f t="shared" si="48"/>
        <v>4920</v>
      </c>
      <c r="DA101">
        <f t="shared" si="49"/>
        <v>8.3800000000000008</v>
      </c>
      <c r="DB101">
        <f t="shared" si="50"/>
        <v>14.61</v>
      </c>
      <c r="DC101">
        <f t="shared" si="51"/>
        <v>0</v>
      </c>
      <c r="DD101" t="s">
        <v>3</v>
      </c>
      <c r="DE101" t="s">
        <v>3</v>
      </c>
      <c r="DF101">
        <f t="shared" si="52"/>
        <v>527.77</v>
      </c>
      <c r="DG101">
        <f t="shared" si="53"/>
        <v>0</v>
      </c>
      <c r="DH101">
        <f t="shared" si="54"/>
        <v>0</v>
      </c>
      <c r="DI101">
        <f t="shared" si="40"/>
        <v>0</v>
      </c>
      <c r="DJ101">
        <f t="shared" si="55"/>
        <v>527.77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ROW(Source!A102)</f>
        <v>102</v>
      </c>
      <c r="B102">
        <v>145185703</v>
      </c>
      <c r="C102">
        <v>145197432</v>
      </c>
      <c r="D102">
        <v>140796351</v>
      </c>
      <c r="E102">
        <v>1</v>
      </c>
      <c r="F102">
        <v>1</v>
      </c>
      <c r="G102">
        <v>1</v>
      </c>
      <c r="H102">
        <v>3</v>
      </c>
      <c r="I102" t="s">
        <v>459</v>
      </c>
      <c r="J102" t="s">
        <v>460</v>
      </c>
      <c r="K102" t="s">
        <v>461</v>
      </c>
      <c r="L102">
        <v>1339</v>
      </c>
      <c r="N102">
        <v>1007</v>
      </c>
      <c r="O102" t="s">
        <v>141</v>
      </c>
      <c r="P102" t="s">
        <v>141</v>
      </c>
      <c r="Q102">
        <v>1</v>
      </c>
      <c r="W102">
        <v>0</v>
      </c>
      <c r="X102">
        <v>1758287014</v>
      </c>
      <c r="Y102">
        <f t="shared" si="46"/>
        <v>1.2999999999999999E-3</v>
      </c>
      <c r="AA102">
        <v>14246</v>
      </c>
      <c r="AB102">
        <v>0</v>
      </c>
      <c r="AC102">
        <v>0</v>
      </c>
      <c r="AD102">
        <v>0</v>
      </c>
      <c r="AE102">
        <v>1700</v>
      </c>
      <c r="AF102">
        <v>0</v>
      </c>
      <c r="AG102">
        <v>0</v>
      </c>
      <c r="AH102">
        <v>0</v>
      </c>
      <c r="AI102">
        <v>8.3800000000000008</v>
      </c>
      <c r="AJ102">
        <v>1</v>
      </c>
      <c r="AK102">
        <v>1</v>
      </c>
      <c r="AL102">
        <v>1</v>
      </c>
      <c r="AM102">
        <v>4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1.2999999999999999E-3</v>
      </c>
      <c r="AU102" t="s">
        <v>3</v>
      </c>
      <c r="AV102">
        <v>0</v>
      </c>
      <c r="AW102">
        <v>2</v>
      </c>
      <c r="AX102">
        <v>145197476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ROUND(Y102*Source!I102,9)</f>
        <v>5.6030000000000003E-3</v>
      </c>
      <c r="CY102">
        <f t="shared" si="47"/>
        <v>14246</v>
      </c>
      <c r="CZ102">
        <f t="shared" si="48"/>
        <v>1700</v>
      </c>
      <c r="DA102">
        <f t="shared" si="49"/>
        <v>8.3800000000000008</v>
      </c>
      <c r="DB102">
        <f t="shared" si="50"/>
        <v>2.21</v>
      </c>
      <c r="DC102">
        <f t="shared" si="51"/>
        <v>0</v>
      </c>
      <c r="DD102" t="s">
        <v>3</v>
      </c>
      <c r="DE102" t="s">
        <v>3</v>
      </c>
      <c r="DF102">
        <f t="shared" si="52"/>
        <v>79.819999999999993</v>
      </c>
      <c r="DG102">
        <f t="shared" si="53"/>
        <v>0</v>
      </c>
      <c r="DH102">
        <f t="shared" si="54"/>
        <v>0</v>
      </c>
      <c r="DI102">
        <f t="shared" si="40"/>
        <v>0</v>
      </c>
      <c r="DJ102">
        <f t="shared" si="55"/>
        <v>79.819999999999993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ROW(Source!A102)</f>
        <v>102</v>
      </c>
      <c r="B103">
        <v>145185703</v>
      </c>
      <c r="C103">
        <v>145197432</v>
      </c>
      <c r="D103">
        <v>140804058</v>
      </c>
      <c r="E103">
        <v>1</v>
      </c>
      <c r="F103">
        <v>1</v>
      </c>
      <c r="G103">
        <v>1</v>
      </c>
      <c r="H103">
        <v>3</v>
      </c>
      <c r="I103" t="s">
        <v>462</v>
      </c>
      <c r="J103" t="s">
        <v>463</v>
      </c>
      <c r="K103" t="s">
        <v>464</v>
      </c>
      <c r="L103">
        <v>1348</v>
      </c>
      <c r="N103">
        <v>1009</v>
      </c>
      <c r="O103" t="s">
        <v>21</v>
      </c>
      <c r="P103" t="s">
        <v>21</v>
      </c>
      <c r="Q103">
        <v>1000</v>
      </c>
      <c r="W103">
        <v>0</v>
      </c>
      <c r="X103">
        <v>264248573</v>
      </c>
      <c r="Y103">
        <f t="shared" si="46"/>
        <v>4.6999999999999999E-4</v>
      </c>
      <c r="AA103">
        <v>130895.6</v>
      </c>
      <c r="AB103">
        <v>0</v>
      </c>
      <c r="AC103">
        <v>0</v>
      </c>
      <c r="AD103">
        <v>0</v>
      </c>
      <c r="AE103">
        <v>15620</v>
      </c>
      <c r="AF103">
        <v>0</v>
      </c>
      <c r="AG103">
        <v>0</v>
      </c>
      <c r="AH103">
        <v>0</v>
      </c>
      <c r="AI103">
        <v>8.3800000000000008</v>
      </c>
      <c r="AJ103">
        <v>1</v>
      </c>
      <c r="AK103">
        <v>1</v>
      </c>
      <c r="AL103">
        <v>1</v>
      </c>
      <c r="AM103">
        <v>4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4.6999999999999999E-4</v>
      </c>
      <c r="AU103" t="s">
        <v>3</v>
      </c>
      <c r="AV103">
        <v>0</v>
      </c>
      <c r="AW103">
        <v>2</v>
      </c>
      <c r="AX103">
        <v>145197477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ROUND(Y103*Source!I102,9)</f>
        <v>2.0257000000000001E-3</v>
      </c>
      <c r="CY103">
        <f t="shared" si="47"/>
        <v>130895.6</v>
      </c>
      <c r="CZ103">
        <f t="shared" si="48"/>
        <v>15620</v>
      </c>
      <c r="DA103">
        <f t="shared" si="49"/>
        <v>8.3800000000000008</v>
      </c>
      <c r="DB103">
        <f t="shared" si="50"/>
        <v>7.34</v>
      </c>
      <c r="DC103">
        <f t="shared" si="51"/>
        <v>0</v>
      </c>
      <c r="DD103" t="s">
        <v>3</v>
      </c>
      <c r="DE103" t="s">
        <v>3</v>
      </c>
      <c r="DF103">
        <f t="shared" si="52"/>
        <v>265.16000000000003</v>
      </c>
      <c r="DG103">
        <f t="shared" si="53"/>
        <v>0</v>
      </c>
      <c r="DH103">
        <f t="shared" si="54"/>
        <v>0</v>
      </c>
      <c r="DI103">
        <f t="shared" si="40"/>
        <v>0</v>
      </c>
      <c r="DJ103">
        <f t="shared" si="55"/>
        <v>265.16000000000003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ROW(Source!A102)</f>
        <v>102</v>
      </c>
      <c r="B104">
        <v>145185703</v>
      </c>
      <c r="C104">
        <v>145197432</v>
      </c>
      <c r="D104">
        <v>140805182</v>
      </c>
      <c r="E104">
        <v>1</v>
      </c>
      <c r="F104">
        <v>1</v>
      </c>
      <c r="G104">
        <v>1</v>
      </c>
      <c r="H104">
        <v>3</v>
      </c>
      <c r="I104" t="s">
        <v>465</v>
      </c>
      <c r="J104" t="s">
        <v>466</v>
      </c>
      <c r="K104" t="s">
        <v>467</v>
      </c>
      <c r="L104">
        <v>1346</v>
      </c>
      <c r="N104">
        <v>1009</v>
      </c>
      <c r="O104" t="s">
        <v>432</v>
      </c>
      <c r="P104" t="s">
        <v>432</v>
      </c>
      <c r="Q104">
        <v>1</v>
      </c>
      <c r="W104">
        <v>0</v>
      </c>
      <c r="X104">
        <v>-1449230318</v>
      </c>
      <c r="Y104">
        <f t="shared" si="46"/>
        <v>0.09</v>
      </c>
      <c r="AA104">
        <v>78.94</v>
      </c>
      <c r="AB104">
        <v>0</v>
      </c>
      <c r="AC104">
        <v>0</v>
      </c>
      <c r="AD104">
        <v>0</v>
      </c>
      <c r="AE104">
        <v>9.42</v>
      </c>
      <c r="AF104">
        <v>0</v>
      </c>
      <c r="AG104">
        <v>0</v>
      </c>
      <c r="AH104">
        <v>0</v>
      </c>
      <c r="AI104">
        <v>8.3800000000000008</v>
      </c>
      <c r="AJ104">
        <v>1</v>
      </c>
      <c r="AK104">
        <v>1</v>
      </c>
      <c r="AL104">
        <v>1</v>
      </c>
      <c r="AM104">
        <v>4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0.09</v>
      </c>
      <c r="AU104" t="s">
        <v>3</v>
      </c>
      <c r="AV104">
        <v>0</v>
      </c>
      <c r="AW104">
        <v>2</v>
      </c>
      <c r="AX104">
        <v>145197478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ROUND(Y104*Source!I102,9)</f>
        <v>0.38790000000000002</v>
      </c>
      <c r="CY104">
        <f t="shared" si="47"/>
        <v>78.94</v>
      </c>
      <c r="CZ104">
        <f t="shared" si="48"/>
        <v>9.42</v>
      </c>
      <c r="DA104">
        <f t="shared" si="49"/>
        <v>8.3800000000000008</v>
      </c>
      <c r="DB104">
        <f t="shared" si="50"/>
        <v>0.85</v>
      </c>
      <c r="DC104">
        <f t="shared" si="51"/>
        <v>0</v>
      </c>
      <c r="DD104" t="s">
        <v>3</v>
      </c>
      <c r="DE104" t="s">
        <v>3</v>
      </c>
      <c r="DF104">
        <f t="shared" si="52"/>
        <v>30.62</v>
      </c>
      <c r="DG104">
        <f t="shared" si="53"/>
        <v>0</v>
      </c>
      <c r="DH104">
        <f t="shared" si="54"/>
        <v>0</v>
      </c>
      <c r="DI104">
        <f t="shared" si="40"/>
        <v>0</v>
      </c>
      <c r="DJ104">
        <f t="shared" si="55"/>
        <v>30.62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ROW(Source!A105)</f>
        <v>105</v>
      </c>
      <c r="B105">
        <v>145185703</v>
      </c>
      <c r="C105">
        <v>145197481</v>
      </c>
      <c r="D105">
        <v>140755433</v>
      </c>
      <c r="E105">
        <v>70</v>
      </c>
      <c r="F105">
        <v>1</v>
      </c>
      <c r="G105">
        <v>1</v>
      </c>
      <c r="H105">
        <v>1</v>
      </c>
      <c r="I105" t="s">
        <v>468</v>
      </c>
      <c r="J105" t="s">
        <v>3</v>
      </c>
      <c r="K105" t="s">
        <v>469</v>
      </c>
      <c r="L105">
        <v>1191</v>
      </c>
      <c r="N105">
        <v>1013</v>
      </c>
      <c r="O105" t="s">
        <v>394</v>
      </c>
      <c r="P105" t="s">
        <v>394</v>
      </c>
      <c r="Q105">
        <v>1</v>
      </c>
      <c r="W105">
        <v>0</v>
      </c>
      <c r="X105">
        <v>1049124552</v>
      </c>
      <c r="Y105">
        <f>(AT105*1.15)</f>
        <v>111.78</v>
      </c>
      <c r="AA105">
        <v>0</v>
      </c>
      <c r="AB105">
        <v>0</v>
      </c>
      <c r="AC105">
        <v>0</v>
      </c>
      <c r="AD105">
        <v>389.91</v>
      </c>
      <c r="AE105">
        <v>0</v>
      </c>
      <c r="AF105">
        <v>0</v>
      </c>
      <c r="AG105">
        <v>0</v>
      </c>
      <c r="AH105">
        <v>8.5299999999999994</v>
      </c>
      <c r="AI105">
        <v>1</v>
      </c>
      <c r="AJ105">
        <v>1</v>
      </c>
      <c r="AK105">
        <v>1</v>
      </c>
      <c r="AL105">
        <v>45.71</v>
      </c>
      <c r="AM105">
        <v>4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97.2</v>
      </c>
      <c r="AU105" t="s">
        <v>43</v>
      </c>
      <c r="AV105">
        <v>1</v>
      </c>
      <c r="AW105">
        <v>2</v>
      </c>
      <c r="AX105">
        <v>145197489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ROUND(Y105*Source!I105,9)</f>
        <v>23.250240000000002</v>
      </c>
      <c r="CY105">
        <f>AD105</f>
        <v>389.91</v>
      </c>
      <c r="CZ105">
        <f>AH105</f>
        <v>8.5299999999999994</v>
      </c>
      <c r="DA105">
        <f>AL105</f>
        <v>45.71</v>
      </c>
      <c r="DB105">
        <f>ROUND((ROUND(AT105*CZ105,2)*1.15),2)</f>
        <v>953.49</v>
      </c>
      <c r="DC105">
        <f>ROUND((ROUND(AT105*AG105,2)*1.15),2)</f>
        <v>0</v>
      </c>
      <c r="DD105" t="s">
        <v>3</v>
      </c>
      <c r="DE105" t="s">
        <v>3</v>
      </c>
      <c r="DF105">
        <f>ROUND(ROUND(AE105,2)*CX105,2)</f>
        <v>0</v>
      </c>
      <c r="DG105">
        <f t="shared" si="53"/>
        <v>0</v>
      </c>
      <c r="DH105">
        <f t="shared" si="54"/>
        <v>0</v>
      </c>
      <c r="DI105">
        <f>ROUND(ROUND(AH105*AL105,2)*CX105,2)</f>
        <v>9065.5</v>
      </c>
      <c r="DJ105">
        <f>DI105</f>
        <v>9065.5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ROW(Source!A105)</f>
        <v>105</v>
      </c>
      <c r="B106">
        <v>145185703</v>
      </c>
      <c r="C106">
        <v>145197481</v>
      </c>
      <c r="D106">
        <v>140755491</v>
      </c>
      <c r="E106">
        <v>70</v>
      </c>
      <c r="F106">
        <v>1</v>
      </c>
      <c r="G106">
        <v>1</v>
      </c>
      <c r="H106">
        <v>1</v>
      </c>
      <c r="I106" t="s">
        <v>403</v>
      </c>
      <c r="J106" t="s">
        <v>3</v>
      </c>
      <c r="K106" t="s">
        <v>404</v>
      </c>
      <c r="L106">
        <v>1191</v>
      </c>
      <c r="N106">
        <v>1013</v>
      </c>
      <c r="O106" t="s">
        <v>394</v>
      </c>
      <c r="P106" t="s">
        <v>394</v>
      </c>
      <c r="Q106">
        <v>1</v>
      </c>
      <c r="W106">
        <v>0</v>
      </c>
      <c r="X106">
        <v>-1417349443</v>
      </c>
      <c r="Y106">
        <f>(AT106*1.25)</f>
        <v>0.33750000000000002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45.71</v>
      </c>
      <c r="AL106">
        <v>1</v>
      </c>
      <c r="AM106">
        <v>4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0.27</v>
      </c>
      <c r="AU106" t="s">
        <v>42</v>
      </c>
      <c r="AV106">
        <v>2</v>
      </c>
      <c r="AW106">
        <v>2</v>
      </c>
      <c r="AX106">
        <v>145197490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ROUND(Y106*Source!I105,9)</f>
        <v>7.0199999999999999E-2</v>
      </c>
      <c r="CY106">
        <f>AD106</f>
        <v>0</v>
      </c>
      <c r="CZ106">
        <f>AH106</f>
        <v>0</v>
      </c>
      <c r="DA106">
        <f>AL106</f>
        <v>1</v>
      </c>
      <c r="DB106">
        <f>ROUND((ROUND(AT106*CZ106,2)*1.25),2)</f>
        <v>0</v>
      </c>
      <c r="DC106">
        <f>ROUND((ROUND(AT106*AG106,2)*1.25),2)</f>
        <v>0</v>
      </c>
      <c r="DD106" t="s">
        <v>3</v>
      </c>
      <c r="DE106" t="s">
        <v>3</v>
      </c>
      <c r="DF106">
        <f>ROUND(ROUND(AE106,2)*CX106,2)</f>
        <v>0</v>
      </c>
      <c r="DG106">
        <f t="shared" si="53"/>
        <v>0</v>
      </c>
      <c r="DH106">
        <f>ROUND(ROUND(AG106*AK106,2)*CX106,2)</f>
        <v>0</v>
      </c>
      <c r="DI106">
        <f t="shared" ref="DI106:DI111" si="56">ROUND(ROUND(AH106,2)*CX106,2)</f>
        <v>0</v>
      </c>
      <c r="DJ106">
        <f>DI106</f>
        <v>0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ROW(Source!A105)</f>
        <v>105</v>
      </c>
      <c r="B107">
        <v>145185703</v>
      </c>
      <c r="C107">
        <v>145197481</v>
      </c>
      <c r="D107">
        <v>140922893</v>
      </c>
      <c r="E107">
        <v>1</v>
      </c>
      <c r="F107">
        <v>1</v>
      </c>
      <c r="G107">
        <v>1</v>
      </c>
      <c r="H107">
        <v>2</v>
      </c>
      <c r="I107" t="s">
        <v>470</v>
      </c>
      <c r="J107" t="s">
        <v>471</v>
      </c>
      <c r="K107" t="s">
        <v>472</v>
      </c>
      <c r="L107">
        <v>1367</v>
      </c>
      <c r="N107">
        <v>1011</v>
      </c>
      <c r="O107" t="s">
        <v>398</v>
      </c>
      <c r="P107" t="s">
        <v>398</v>
      </c>
      <c r="Q107">
        <v>1</v>
      </c>
      <c r="W107">
        <v>0</v>
      </c>
      <c r="X107">
        <v>-130837057</v>
      </c>
      <c r="Y107">
        <f>(AT107*1.25)</f>
        <v>0.25</v>
      </c>
      <c r="AA107">
        <v>0</v>
      </c>
      <c r="AB107">
        <v>1158.6199999999999</v>
      </c>
      <c r="AC107">
        <v>617.09</v>
      </c>
      <c r="AD107">
        <v>0</v>
      </c>
      <c r="AE107">
        <v>0</v>
      </c>
      <c r="AF107">
        <v>86.4</v>
      </c>
      <c r="AG107">
        <v>13.5</v>
      </c>
      <c r="AH107">
        <v>0</v>
      </c>
      <c r="AI107">
        <v>1</v>
      </c>
      <c r="AJ107">
        <v>13.41</v>
      </c>
      <c r="AK107">
        <v>45.71</v>
      </c>
      <c r="AL107">
        <v>1</v>
      </c>
      <c r="AM107">
        <v>4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0.2</v>
      </c>
      <c r="AU107" t="s">
        <v>42</v>
      </c>
      <c r="AV107">
        <v>0</v>
      </c>
      <c r="AW107">
        <v>2</v>
      </c>
      <c r="AX107">
        <v>145197491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ROUND(Y107*Source!I105,9)</f>
        <v>5.1999999999999998E-2</v>
      </c>
      <c r="CY107">
        <f>AB107</f>
        <v>1158.6199999999999</v>
      </c>
      <c r="CZ107">
        <f>AF107</f>
        <v>86.4</v>
      </c>
      <c r="DA107">
        <f>AJ107</f>
        <v>13.41</v>
      </c>
      <c r="DB107">
        <f>ROUND((ROUND(AT107*CZ107,2)*1.25),2)</f>
        <v>21.6</v>
      </c>
      <c r="DC107">
        <f>ROUND((ROUND(AT107*AG107,2)*1.25),2)</f>
        <v>3.38</v>
      </c>
      <c r="DD107" t="s">
        <v>3</v>
      </c>
      <c r="DE107" t="s">
        <v>3</v>
      </c>
      <c r="DF107">
        <f>ROUND(ROUND(AE107,2)*CX107,2)</f>
        <v>0</v>
      </c>
      <c r="DG107">
        <f>ROUND(ROUND(AF107*AJ107,2)*CX107,2)</f>
        <v>60.25</v>
      </c>
      <c r="DH107">
        <f>ROUND(ROUND(AG107*AK107,2)*CX107,2)</f>
        <v>32.090000000000003</v>
      </c>
      <c r="DI107">
        <f t="shared" si="56"/>
        <v>0</v>
      </c>
      <c r="DJ107">
        <f>DG107</f>
        <v>60.25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ROW(Source!A105)</f>
        <v>105</v>
      </c>
      <c r="B108">
        <v>145185703</v>
      </c>
      <c r="C108">
        <v>145197481</v>
      </c>
      <c r="D108">
        <v>140923885</v>
      </c>
      <c r="E108">
        <v>1</v>
      </c>
      <c r="F108">
        <v>1</v>
      </c>
      <c r="G108">
        <v>1</v>
      </c>
      <c r="H108">
        <v>2</v>
      </c>
      <c r="I108" t="s">
        <v>417</v>
      </c>
      <c r="J108" t="s">
        <v>418</v>
      </c>
      <c r="K108" t="s">
        <v>419</v>
      </c>
      <c r="L108">
        <v>1367</v>
      </c>
      <c r="N108">
        <v>1011</v>
      </c>
      <c r="O108" t="s">
        <v>398</v>
      </c>
      <c r="P108" t="s">
        <v>398</v>
      </c>
      <c r="Q108">
        <v>1</v>
      </c>
      <c r="W108">
        <v>0</v>
      </c>
      <c r="X108">
        <v>509054691</v>
      </c>
      <c r="Y108">
        <f>(AT108*1.25)</f>
        <v>8.7500000000000008E-2</v>
      </c>
      <c r="AA108">
        <v>0</v>
      </c>
      <c r="AB108">
        <v>881.17</v>
      </c>
      <c r="AC108">
        <v>530.24</v>
      </c>
      <c r="AD108">
        <v>0</v>
      </c>
      <c r="AE108">
        <v>0</v>
      </c>
      <c r="AF108">
        <v>65.709999999999994</v>
      </c>
      <c r="AG108">
        <v>11.6</v>
      </c>
      <c r="AH108">
        <v>0</v>
      </c>
      <c r="AI108">
        <v>1</v>
      </c>
      <c r="AJ108">
        <v>13.41</v>
      </c>
      <c r="AK108">
        <v>45.71</v>
      </c>
      <c r="AL108">
        <v>1</v>
      </c>
      <c r="AM108">
        <v>4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7.0000000000000007E-2</v>
      </c>
      <c r="AU108" t="s">
        <v>42</v>
      </c>
      <c r="AV108">
        <v>0</v>
      </c>
      <c r="AW108">
        <v>2</v>
      </c>
      <c r="AX108">
        <v>145197492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ROUND(Y108*Source!I105,9)</f>
        <v>1.8200000000000001E-2</v>
      </c>
      <c r="CY108">
        <f>AB108</f>
        <v>881.17</v>
      </c>
      <c r="CZ108">
        <f>AF108</f>
        <v>65.709999999999994</v>
      </c>
      <c r="DA108">
        <f>AJ108</f>
        <v>13.41</v>
      </c>
      <c r="DB108">
        <f>ROUND((ROUND(AT108*CZ108,2)*1.25),2)</f>
        <v>5.75</v>
      </c>
      <c r="DC108">
        <f>ROUND((ROUND(AT108*AG108,2)*1.25),2)</f>
        <v>1.01</v>
      </c>
      <c r="DD108" t="s">
        <v>3</v>
      </c>
      <c r="DE108" t="s">
        <v>3</v>
      </c>
      <c r="DF108">
        <f>ROUND(ROUND(AE108,2)*CX108,2)</f>
        <v>0</v>
      </c>
      <c r="DG108">
        <f>ROUND(ROUND(AF108*AJ108,2)*CX108,2)</f>
        <v>16.04</v>
      </c>
      <c r="DH108">
        <f>ROUND(ROUND(AG108*AK108,2)*CX108,2)</f>
        <v>9.65</v>
      </c>
      <c r="DI108">
        <f t="shared" si="56"/>
        <v>0</v>
      </c>
      <c r="DJ108">
        <f>DG108</f>
        <v>16.04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ROW(Source!A105)</f>
        <v>105</v>
      </c>
      <c r="B109">
        <v>145185703</v>
      </c>
      <c r="C109">
        <v>145197481</v>
      </c>
      <c r="D109">
        <v>140775136</v>
      </c>
      <c r="E109">
        <v>1</v>
      </c>
      <c r="F109">
        <v>1</v>
      </c>
      <c r="G109">
        <v>1</v>
      </c>
      <c r="H109">
        <v>3</v>
      </c>
      <c r="I109" t="s">
        <v>473</v>
      </c>
      <c r="J109" t="s">
        <v>474</v>
      </c>
      <c r="K109" t="s">
        <v>475</v>
      </c>
      <c r="L109">
        <v>1348</v>
      </c>
      <c r="N109">
        <v>1009</v>
      </c>
      <c r="O109" t="s">
        <v>21</v>
      </c>
      <c r="P109" t="s">
        <v>21</v>
      </c>
      <c r="Q109">
        <v>1000</v>
      </c>
      <c r="W109">
        <v>0</v>
      </c>
      <c r="X109">
        <v>-384732532</v>
      </c>
      <c r="Y109">
        <f>(AT109*0)</f>
        <v>0</v>
      </c>
      <c r="AA109">
        <v>71020.5</v>
      </c>
      <c r="AB109">
        <v>0</v>
      </c>
      <c r="AC109">
        <v>0</v>
      </c>
      <c r="AD109">
        <v>0</v>
      </c>
      <c r="AE109">
        <v>8475</v>
      </c>
      <c r="AF109">
        <v>0</v>
      </c>
      <c r="AG109">
        <v>0</v>
      </c>
      <c r="AH109">
        <v>0</v>
      </c>
      <c r="AI109">
        <v>8.3800000000000008</v>
      </c>
      <c r="AJ109">
        <v>1</v>
      </c>
      <c r="AK109">
        <v>1</v>
      </c>
      <c r="AL109">
        <v>1</v>
      </c>
      <c r="AM109">
        <v>4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4.0000000000000001E-3</v>
      </c>
      <c r="AU109" t="s">
        <v>64</v>
      </c>
      <c r="AV109">
        <v>0</v>
      </c>
      <c r="AW109">
        <v>2</v>
      </c>
      <c r="AX109">
        <v>145197493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ROUND(Y109*Source!I105,9)</f>
        <v>0</v>
      </c>
      <c r="CY109">
        <f>AA109</f>
        <v>71020.5</v>
      </c>
      <c r="CZ109">
        <f>AE109</f>
        <v>8475</v>
      </c>
      <c r="DA109">
        <f>AI109</f>
        <v>8.3800000000000008</v>
      </c>
      <c r="DB109">
        <f>ROUND((ROUND(AT109*CZ109,2)*0),2)</f>
        <v>0</v>
      </c>
      <c r="DC109">
        <f>ROUND((ROUND(AT109*AG109,2)*0),2)</f>
        <v>0</v>
      </c>
      <c r="DD109" t="s">
        <v>3</v>
      </c>
      <c r="DE109" t="s">
        <v>3</v>
      </c>
      <c r="DF109">
        <f>ROUND(ROUND(AE109*AI109,2)*CX109,2)</f>
        <v>0</v>
      </c>
      <c r="DG109">
        <f>ROUND(ROUND(AF109,2)*CX109,2)</f>
        <v>0</v>
      </c>
      <c r="DH109">
        <f>ROUND(ROUND(AG109,2)*CX109,2)</f>
        <v>0</v>
      </c>
      <c r="DI109">
        <f t="shared" si="56"/>
        <v>0</v>
      </c>
      <c r="DJ109">
        <f>DF109</f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ROW(Source!A105)</f>
        <v>105</v>
      </c>
      <c r="B110">
        <v>145185703</v>
      </c>
      <c r="C110">
        <v>145197481</v>
      </c>
      <c r="D110">
        <v>140792325</v>
      </c>
      <c r="E110">
        <v>1</v>
      </c>
      <c r="F110">
        <v>1</v>
      </c>
      <c r="G110">
        <v>1</v>
      </c>
      <c r="H110">
        <v>3</v>
      </c>
      <c r="I110" t="s">
        <v>476</v>
      </c>
      <c r="J110" t="s">
        <v>477</v>
      </c>
      <c r="K110" t="s">
        <v>478</v>
      </c>
      <c r="L110">
        <v>1348</v>
      </c>
      <c r="N110">
        <v>1009</v>
      </c>
      <c r="O110" t="s">
        <v>21</v>
      </c>
      <c r="P110" t="s">
        <v>21</v>
      </c>
      <c r="Q110">
        <v>1000</v>
      </c>
      <c r="W110">
        <v>0</v>
      </c>
      <c r="X110">
        <v>-581832824</v>
      </c>
      <c r="Y110">
        <f>(AT110*0)</f>
        <v>0</v>
      </c>
      <c r="AA110">
        <v>68632.2</v>
      </c>
      <c r="AB110">
        <v>0</v>
      </c>
      <c r="AC110">
        <v>0</v>
      </c>
      <c r="AD110">
        <v>0</v>
      </c>
      <c r="AE110">
        <v>8190</v>
      </c>
      <c r="AF110">
        <v>0</v>
      </c>
      <c r="AG110">
        <v>0</v>
      </c>
      <c r="AH110">
        <v>0</v>
      </c>
      <c r="AI110">
        <v>8.3800000000000008</v>
      </c>
      <c r="AJ110">
        <v>1</v>
      </c>
      <c r="AK110">
        <v>1</v>
      </c>
      <c r="AL110">
        <v>1</v>
      </c>
      <c r="AM110">
        <v>4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1.2E-2</v>
      </c>
      <c r="AU110" t="s">
        <v>64</v>
      </c>
      <c r="AV110">
        <v>0</v>
      </c>
      <c r="AW110">
        <v>2</v>
      </c>
      <c r="AX110">
        <v>145197494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ROUND(Y110*Source!I105,9)</f>
        <v>0</v>
      </c>
      <c r="CY110">
        <f>AA110</f>
        <v>68632.2</v>
      </c>
      <c r="CZ110">
        <f>AE110</f>
        <v>8190</v>
      </c>
      <c r="DA110">
        <f>AI110</f>
        <v>8.3800000000000008</v>
      </c>
      <c r="DB110">
        <f>ROUND((ROUND(AT110*CZ110,2)*0),2)</f>
        <v>0</v>
      </c>
      <c r="DC110">
        <f>ROUND((ROUND(AT110*AG110,2)*0),2)</f>
        <v>0</v>
      </c>
      <c r="DD110" t="s">
        <v>3</v>
      </c>
      <c r="DE110" t="s">
        <v>3</v>
      </c>
      <c r="DF110">
        <f>ROUND(ROUND(AE110*AI110,2)*CX110,2)</f>
        <v>0</v>
      </c>
      <c r="DG110">
        <f>ROUND(ROUND(AF110,2)*CX110,2)</f>
        <v>0</v>
      </c>
      <c r="DH110">
        <f>ROUND(ROUND(AG110,2)*CX110,2)</f>
        <v>0</v>
      </c>
      <c r="DI110">
        <f t="shared" si="56"/>
        <v>0</v>
      </c>
      <c r="DJ110">
        <f>DF110</f>
        <v>0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ROW(Source!A105)</f>
        <v>105</v>
      </c>
      <c r="B111">
        <v>145185703</v>
      </c>
      <c r="C111">
        <v>145197481</v>
      </c>
      <c r="D111">
        <v>140792570</v>
      </c>
      <c r="E111">
        <v>1</v>
      </c>
      <c r="F111">
        <v>1</v>
      </c>
      <c r="G111">
        <v>1</v>
      </c>
      <c r="H111">
        <v>3</v>
      </c>
      <c r="I111" t="s">
        <v>84</v>
      </c>
      <c r="J111" t="s">
        <v>86</v>
      </c>
      <c r="K111" t="s">
        <v>85</v>
      </c>
      <c r="L111">
        <v>1348</v>
      </c>
      <c r="N111">
        <v>1009</v>
      </c>
      <c r="O111" t="s">
        <v>21</v>
      </c>
      <c r="P111" t="s">
        <v>21</v>
      </c>
      <c r="Q111">
        <v>1000</v>
      </c>
      <c r="W111">
        <v>0</v>
      </c>
      <c r="X111">
        <v>-509681559</v>
      </c>
      <c r="Y111">
        <f>(AT111*0)</f>
        <v>0</v>
      </c>
      <c r="AA111">
        <v>93856</v>
      </c>
      <c r="AB111">
        <v>0</v>
      </c>
      <c r="AC111">
        <v>0</v>
      </c>
      <c r="AD111">
        <v>0</v>
      </c>
      <c r="AE111">
        <v>11200</v>
      </c>
      <c r="AF111">
        <v>0</v>
      </c>
      <c r="AG111">
        <v>0</v>
      </c>
      <c r="AH111">
        <v>0</v>
      </c>
      <c r="AI111">
        <v>8.3800000000000008</v>
      </c>
      <c r="AJ111">
        <v>1</v>
      </c>
      <c r="AK111">
        <v>1</v>
      </c>
      <c r="AL111">
        <v>1</v>
      </c>
      <c r="AM111">
        <v>4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0.56999999999999995</v>
      </c>
      <c r="AU111" t="s">
        <v>64</v>
      </c>
      <c r="AV111">
        <v>0</v>
      </c>
      <c r="AW111">
        <v>2</v>
      </c>
      <c r="AX111">
        <v>145197495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ROUND(Y111*Source!I105,9)</f>
        <v>0</v>
      </c>
      <c r="CY111">
        <f>AA111</f>
        <v>93856</v>
      </c>
      <c r="CZ111">
        <f>AE111</f>
        <v>11200</v>
      </c>
      <c r="DA111">
        <f>AI111</f>
        <v>8.3800000000000008</v>
      </c>
      <c r="DB111">
        <f>ROUND((ROUND(AT111*CZ111,2)*0),2)</f>
        <v>0</v>
      </c>
      <c r="DC111">
        <f>ROUND((ROUND(AT111*AG111,2)*0),2)</f>
        <v>0</v>
      </c>
      <c r="DD111" t="s">
        <v>3</v>
      </c>
      <c r="DE111" t="s">
        <v>3</v>
      </c>
      <c r="DF111">
        <f>ROUND(ROUND(AE111*AI111,2)*CX111,2)</f>
        <v>0</v>
      </c>
      <c r="DG111">
        <f>ROUND(ROUND(AF111,2)*CX111,2)</f>
        <v>0</v>
      </c>
      <c r="DH111">
        <f>ROUND(ROUND(AG111,2)*CX111,2)</f>
        <v>0</v>
      </c>
      <c r="DI111">
        <f t="shared" si="56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ROW(Source!A109)</f>
        <v>109</v>
      </c>
      <c r="B112">
        <v>145185703</v>
      </c>
      <c r="C112">
        <v>145197499</v>
      </c>
      <c r="D112">
        <v>140755433</v>
      </c>
      <c r="E112">
        <v>70</v>
      </c>
      <c r="F112">
        <v>1</v>
      </c>
      <c r="G112">
        <v>1</v>
      </c>
      <c r="H112">
        <v>1</v>
      </c>
      <c r="I112" t="s">
        <v>468</v>
      </c>
      <c r="J112" t="s">
        <v>3</v>
      </c>
      <c r="K112" t="s">
        <v>469</v>
      </c>
      <c r="L112">
        <v>1191</v>
      </c>
      <c r="N112">
        <v>1013</v>
      </c>
      <c r="O112" t="s">
        <v>394</v>
      </c>
      <c r="P112" t="s">
        <v>394</v>
      </c>
      <c r="Q112">
        <v>1</v>
      </c>
      <c r="W112">
        <v>0</v>
      </c>
      <c r="X112">
        <v>1049124552</v>
      </c>
      <c r="Y112">
        <f>(AT112*1.15)</f>
        <v>31.97</v>
      </c>
      <c r="AA112">
        <v>0</v>
      </c>
      <c r="AB112">
        <v>0</v>
      </c>
      <c r="AC112">
        <v>0</v>
      </c>
      <c r="AD112">
        <v>389.91</v>
      </c>
      <c r="AE112">
        <v>0</v>
      </c>
      <c r="AF112">
        <v>0</v>
      </c>
      <c r="AG112">
        <v>0</v>
      </c>
      <c r="AH112">
        <v>8.5299999999999994</v>
      </c>
      <c r="AI112">
        <v>1</v>
      </c>
      <c r="AJ112">
        <v>1</v>
      </c>
      <c r="AK112">
        <v>1</v>
      </c>
      <c r="AL112">
        <v>45.71</v>
      </c>
      <c r="AM112">
        <v>4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27.8</v>
      </c>
      <c r="AU112" t="s">
        <v>43</v>
      </c>
      <c r="AV112">
        <v>1</v>
      </c>
      <c r="AW112">
        <v>2</v>
      </c>
      <c r="AX112">
        <v>145197508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ROUND(Y112*Source!I109,9)</f>
        <v>13.107699999999999</v>
      </c>
      <c r="CY112">
        <f>AD112</f>
        <v>389.91</v>
      </c>
      <c r="CZ112">
        <f>AH112</f>
        <v>8.5299999999999994</v>
      </c>
      <c r="DA112">
        <f>AL112</f>
        <v>45.71</v>
      </c>
      <c r="DB112">
        <f>ROUND((ROUND(AT112*CZ112,2)*1.15),2)</f>
        <v>272.7</v>
      </c>
      <c r="DC112">
        <f>ROUND((ROUND(AT112*AG112,2)*1.15),2)</f>
        <v>0</v>
      </c>
      <c r="DD112" t="s">
        <v>3</v>
      </c>
      <c r="DE112" t="s">
        <v>3</v>
      </c>
      <c r="DF112">
        <f>ROUND(ROUND(AE112,2)*CX112,2)</f>
        <v>0</v>
      </c>
      <c r="DG112">
        <f>ROUND(ROUND(AF112,2)*CX112,2)</f>
        <v>0</v>
      </c>
      <c r="DH112">
        <f>ROUND(ROUND(AG112,2)*CX112,2)</f>
        <v>0</v>
      </c>
      <c r="DI112">
        <f>ROUND(ROUND(AH112*AL112,2)*CX112,2)</f>
        <v>5110.82</v>
      </c>
      <c r="DJ112">
        <f>DI112</f>
        <v>5110.82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ROW(Source!A109)</f>
        <v>109</v>
      </c>
      <c r="B113">
        <v>145185703</v>
      </c>
      <c r="C113">
        <v>145197499</v>
      </c>
      <c r="D113">
        <v>140755491</v>
      </c>
      <c r="E113">
        <v>70</v>
      </c>
      <c r="F113">
        <v>1</v>
      </c>
      <c r="G113">
        <v>1</v>
      </c>
      <c r="H113">
        <v>1</v>
      </c>
      <c r="I113" t="s">
        <v>403</v>
      </c>
      <c r="J113" t="s">
        <v>3</v>
      </c>
      <c r="K113" t="s">
        <v>404</v>
      </c>
      <c r="L113">
        <v>1191</v>
      </c>
      <c r="N113">
        <v>1013</v>
      </c>
      <c r="O113" t="s">
        <v>394</v>
      </c>
      <c r="P113" t="s">
        <v>394</v>
      </c>
      <c r="Q113">
        <v>1</v>
      </c>
      <c r="W113">
        <v>0</v>
      </c>
      <c r="X113">
        <v>-1417349443</v>
      </c>
      <c r="Y113">
        <f>(AT113*1.25)</f>
        <v>0.3125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45.71</v>
      </c>
      <c r="AL113">
        <v>1</v>
      </c>
      <c r="AM113">
        <v>4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0.25</v>
      </c>
      <c r="AU113" t="s">
        <v>42</v>
      </c>
      <c r="AV113">
        <v>2</v>
      </c>
      <c r="AW113">
        <v>2</v>
      </c>
      <c r="AX113">
        <v>145197509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ROUND(Y113*Source!I109,9)</f>
        <v>0.12812499999999999</v>
      </c>
      <c r="CY113">
        <f>AD113</f>
        <v>0</v>
      </c>
      <c r="CZ113">
        <f>AH113</f>
        <v>0</v>
      </c>
      <c r="DA113">
        <f>AL113</f>
        <v>1</v>
      </c>
      <c r="DB113">
        <f>ROUND((ROUND(AT113*CZ113,2)*1.25),2)</f>
        <v>0</v>
      </c>
      <c r="DC113">
        <f>ROUND((ROUND(AT113*AG113,2)*1.25),2)</f>
        <v>0</v>
      </c>
      <c r="DD113" t="s">
        <v>3</v>
      </c>
      <c r="DE113" t="s">
        <v>3</v>
      </c>
      <c r="DF113">
        <f>ROUND(ROUND(AE113,2)*CX113,2)</f>
        <v>0</v>
      </c>
      <c r="DG113">
        <f>ROUND(ROUND(AF113,2)*CX113,2)</f>
        <v>0</v>
      </c>
      <c r="DH113">
        <f>ROUND(ROUND(AG113*AK113,2)*CX113,2)</f>
        <v>0</v>
      </c>
      <c r="DI113">
        <f t="shared" ref="DI113:DI119" si="57">ROUND(ROUND(AH113,2)*CX113,2)</f>
        <v>0</v>
      </c>
      <c r="DJ113">
        <f>DI113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ROW(Source!A109)</f>
        <v>109</v>
      </c>
      <c r="B114">
        <v>145185703</v>
      </c>
      <c r="C114">
        <v>145197499</v>
      </c>
      <c r="D114">
        <v>140922893</v>
      </c>
      <c r="E114">
        <v>1</v>
      </c>
      <c r="F114">
        <v>1</v>
      </c>
      <c r="G114">
        <v>1</v>
      </c>
      <c r="H114">
        <v>2</v>
      </c>
      <c r="I114" t="s">
        <v>470</v>
      </c>
      <c r="J114" t="s">
        <v>471</v>
      </c>
      <c r="K114" t="s">
        <v>472</v>
      </c>
      <c r="L114">
        <v>1367</v>
      </c>
      <c r="N114">
        <v>1011</v>
      </c>
      <c r="O114" t="s">
        <v>398</v>
      </c>
      <c r="P114" t="s">
        <v>398</v>
      </c>
      <c r="Q114">
        <v>1</v>
      </c>
      <c r="W114">
        <v>0</v>
      </c>
      <c r="X114">
        <v>-130837057</v>
      </c>
      <c r="Y114">
        <f>(AT114*1.25)</f>
        <v>0.13750000000000001</v>
      </c>
      <c r="AA114">
        <v>0</v>
      </c>
      <c r="AB114">
        <v>1158.6199999999999</v>
      </c>
      <c r="AC114">
        <v>617.09</v>
      </c>
      <c r="AD114">
        <v>0</v>
      </c>
      <c r="AE114">
        <v>0</v>
      </c>
      <c r="AF114">
        <v>86.4</v>
      </c>
      <c r="AG114">
        <v>13.5</v>
      </c>
      <c r="AH114">
        <v>0</v>
      </c>
      <c r="AI114">
        <v>1</v>
      </c>
      <c r="AJ114">
        <v>13.41</v>
      </c>
      <c r="AK114">
        <v>45.71</v>
      </c>
      <c r="AL114">
        <v>1</v>
      </c>
      <c r="AM114">
        <v>4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0.11</v>
      </c>
      <c r="AU114" t="s">
        <v>42</v>
      </c>
      <c r="AV114">
        <v>0</v>
      </c>
      <c r="AW114">
        <v>2</v>
      </c>
      <c r="AX114">
        <v>145197510</v>
      </c>
      <c r="AY114">
        <v>1</v>
      </c>
      <c r="AZ114">
        <v>0</v>
      </c>
      <c r="BA114">
        <v>114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ROUND(Y114*Source!I109,9)</f>
        <v>5.6375000000000001E-2</v>
      </c>
      <c r="CY114">
        <f>AB114</f>
        <v>1158.6199999999999</v>
      </c>
      <c r="CZ114">
        <f>AF114</f>
        <v>86.4</v>
      </c>
      <c r="DA114">
        <f>AJ114</f>
        <v>13.41</v>
      </c>
      <c r="DB114">
        <f>ROUND((ROUND(AT114*CZ114,2)*1.25),2)</f>
        <v>11.88</v>
      </c>
      <c r="DC114">
        <f>ROUND((ROUND(AT114*AG114,2)*1.25),2)</f>
        <v>1.86</v>
      </c>
      <c r="DD114" t="s">
        <v>3</v>
      </c>
      <c r="DE114" t="s">
        <v>3</v>
      </c>
      <c r="DF114">
        <f>ROUND(ROUND(AE114,2)*CX114,2)</f>
        <v>0</v>
      </c>
      <c r="DG114">
        <f>ROUND(ROUND(AF114*AJ114,2)*CX114,2)</f>
        <v>65.319999999999993</v>
      </c>
      <c r="DH114">
        <f>ROUND(ROUND(AG114*AK114,2)*CX114,2)</f>
        <v>34.79</v>
      </c>
      <c r="DI114">
        <f t="shared" si="57"/>
        <v>0</v>
      </c>
      <c r="DJ114">
        <f>DG114</f>
        <v>65.319999999999993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ROW(Source!A109)</f>
        <v>109</v>
      </c>
      <c r="B115">
        <v>145185703</v>
      </c>
      <c r="C115">
        <v>145197499</v>
      </c>
      <c r="D115">
        <v>140922951</v>
      </c>
      <c r="E115">
        <v>1</v>
      </c>
      <c r="F115">
        <v>1</v>
      </c>
      <c r="G115">
        <v>1</v>
      </c>
      <c r="H115">
        <v>2</v>
      </c>
      <c r="I115" t="s">
        <v>408</v>
      </c>
      <c r="J115" t="s">
        <v>409</v>
      </c>
      <c r="K115" t="s">
        <v>410</v>
      </c>
      <c r="L115">
        <v>1367</v>
      </c>
      <c r="N115">
        <v>1011</v>
      </c>
      <c r="O115" t="s">
        <v>398</v>
      </c>
      <c r="P115" t="s">
        <v>398</v>
      </c>
      <c r="Q115">
        <v>1</v>
      </c>
      <c r="W115">
        <v>0</v>
      </c>
      <c r="X115">
        <v>-430484415</v>
      </c>
      <c r="Y115">
        <f>(AT115*1.25)</f>
        <v>6.25E-2</v>
      </c>
      <c r="AA115">
        <v>0</v>
      </c>
      <c r="AB115">
        <v>1547.51</v>
      </c>
      <c r="AC115">
        <v>617.09</v>
      </c>
      <c r="AD115">
        <v>0</v>
      </c>
      <c r="AE115">
        <v>0</v>
      </c>
      <c r="AF115">
        <v>115.4</v>
      </c>
      <c r="AG115">
        <v>13.5</v>
      </c>
      <c r="AH115">
        <v>0</v>
      </c>
      <c r="AI115">
        <v>1</v>
      </c>
      <c r="AJ115">
        <v>13.41</v>
      </c>
      <c r="AK115">
        <v>45.71</v>
      </c>
      <c r="AL115">
        <v>1</v>
      </c>
      <c r="AM115">
        <v>4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0.05</v>
      </c>
      <c r="AU115" t="s">
        <v>42</v>
      </c>
      <c r="AV115">
        <v>0</v>
      </c>
      <c r="AW115">
        <v>2</v>
      </c>
      <c r="AX115">
        <v>145197511</v>
      </c>
      <c r="AY115">
        <v>1</v>
      </c>
      <c r="AZ115">
        <v>0</v>
      </c>
      <c r="BA115">
        <v>115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ROUND(Y115*Source!I109,9)</f>
        <v>2.5624999999999998E-2</v>
      </c>
      <c r="CY115">
        <f>AB115</f>
        <v>1547.51</v>
      </c>
      <c r="CZ115">
        <f>AF115</f>
        <v>115.4</v>
      </c>
      <c r="DA115">
        <f>AJ115</f>
        <v>13.41</v>
      </c>
      <c r="DB115">
        <f>ROUND((ROUND(AT115*CZ115,2)*1.25),2)</f>
        <v>7.21</v>
      </c>
      <c r="DC115">
        <f>ROUND((ROUND(AT115*AG115,2)*1.25),2)</f>
        <v>0.85</v>
      </c>
      <c r="DD115" t="s">
        <v>3</v>
      </c>
      <c r="DE115" t="s">
        <v>3</v>
      </c>
      <c r="DF115">
        <f>ROUND(ROUND(AE115,2)*CX115,2)</f>
        <v>0</v>
      </c>
      <c r="DG115">
        <f>ROUND(ROUND(AF115*AJ115,2)*CX115,2)</f>
        <v>39.65</v>
      </c>
      <c r="DH115">
        <f>ROUND(ROUND(AG115*AK115,2)*CX115,2)</f>
        <v>15.81</v>
      </c>
      <c r="DI115">
        <f t="shared" si="57"/>
        <v>0</v>
      </c>
      <c r="DJ115">
        <f>DG115</f>
        <v>39.65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ROW(Source!A109)</f>
        <v>109</v>
      </c>
      <c r="B116">
        <v>145185703</v>
      </c>
      <c r="C116">
        <v>145197499</v>
      </c>
      <c r="D116">
        <v>140923885</v>
      </c>
      <c r="E116">
        <v>1</v>
      </c>
      <c r="F116">
        <v>1</v>
      </c>
      <c r="G116">
        <v>1</v>
      </c>
      <c r="H116">
        <v>2</v>
      </c>
      <c r="I116" t="s">
        <v>417</v>
      </c>
      <c r="J116" t="s">
        <v>418</v>
      </c>
      <c r="K116" t="s">
        <v>419</v>
      </c>
      <c r="L116">
        <v>1367</v>
      </c>
      <c r="N116">
        <v>1011</v>
      </c>
      <c r="O116" t="s">
        <v>398</v>
      </c>
      <c r="P116" t="s">
        <v>398</v>
      </c>
      <c r="Q116">
        <v>1</v>
      </c>
      <c r="W116">
        <v>0</v>
      </c>
      <c r="X116">
        <v>509054691</v>
      </c>
      <c r="Y116">
        <f>(AT116*1.25)</f>
        <v>0.11249999999999999</v>
      </c>
      <c r="AA116">
        <v>0</v>
      </c>
      <c r="AB116">
        <v>881.17</v>
      </c>
      <c r="AC116">
        <v>530.24</v>
      </c>
      <c r="AD116">
        <v>0</v>
      </c>
      <c r="AE116">
        <v>0</v>
      </c>
      <c r="AF116">
        <v>65.709999999999994</v>
      </c>
      <c r="AG116">
        <v>11.6</v>
      </c>
      <c r="AH116">
        <v>0</v>
      </c>
      <c r="AI116">
        <v>1</v>
      </c>
      <c r="AJ116">
        <v>13.41</v>
      </c>
      <c r="AK116">
        <v>45.71</v>
      </c>
      <c r="AL116">
        <v>1</v>
      </c>
      <c r="AM116">
        <v>4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0.09</v>
      </c>
      <c r="AU116" t="s">
        <v>42</v>
      </c>
      <c r="AV116">
        <v>0</v>
      </c>
      <c r="AW116">
        <v>2</v>
      </c>
      <c r="AX116">
        <v>145197512</v>
      </c>
      <c r="AY116">
        <v>1</v>
      </c>
      <c r="AZ116">
        <v>0</v>
      </c>
      <c r="BA116">
        <v>116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ROUND(Y116*Source!I109,9)</f>
        <v>4.6124999999999999E-2</v>
      </c>
      <c r="CY116">
        <f>AB116</f>
        <v>881.17</v>
      </c>
      <c r="CZ116">
        <f>AF116</f>
        <v>65.709999999999994</v>
      </c>
      <c r="DA116">
        <f>AJ116</f>
        <v>13.41</v>
      </c>
      <c r="DB116">
        <f>ROUND((ROUND(AT116*CZ116,2)*1.25),2)</f>
        <v>7.39</v>
      </c>
      <c r="DC116">
        <f>ROUND((ROUND(AT116*AG116,2)*1.25),2)</f>
        <v>1.3</v>
      </c>
      <c r="DD116" t="s">
        <v>3</v>
      </c>
      <c r="DE116" t="s">
        <v>3</v>
      </c>
      <c r="DF116">
        <f>ROUND(ROUND(AE116,2)*CX116,2)</f>
        <v>0</v>
      </c>
      <c r="DG116">
        <f>ROUND(ROUND(AF116*AJ116,2)*CX116,2)</f>
        <v>40.64</v>
      </c>
      <c r="DH116">
        <f>ROUND(ROUND(AG116*AK116,2)*CX116,2)</f>
        <v>24.46</v>
      </c>
      <c r="DI116">
        <f t="shared" si="57"/>
        <v>0</v>
      </c>
      <c r="DJ116">
        <f>DG116</f>
        <v>40.64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ROW(Source!A109)</f>
        <v>109</v>
      </c>
      <c r="B117">
        <v>145185703</v>
      </c>
      <c r="C117">
        <v>145197499</v>
      </c>
      <c r="D117">
        <v>140775112</v>
      </c>
      <c r="E117">
        <v>1</v>
      </c>
      <c r="F117">
        <v>1</v>
      </c>
      <c r="G117">
        <v>1</v>
      </c>
      <c r="H117">
        <v>3</v>
      </c>
      <c r="I117" t="s">
        <v>479</v>
      </c>
      <c r="J117" t="s">
        <v>480</v>
      </c>
      <c r="K117" t="s">
        <v>481</v>
      </c>
      <c r="L117">
        <v>1348</v>
      </c>
      <c r="N117">
        <v>1009</v>
      </c>
      <c r="O117" t="s">
        <v>21</v>
      </c>
      <c r="P117" t="s">
        <v>21</v>
      </c>
      <c r="Q117">
        <v>1000</v>
      </c>
      <c r="W117">
        <v>0</v>
      </c>
      <c r="X117">
        <v>1225468366</v>
      </c>
      <c r="Y117">
        <f>AT117</f>
        <v>3.8E-3</v>
      </c>
      <c r="AA117">
        <v>100375.64</v>
      </c>
      <c r="AB117">
        <v>0</v>
      </c>
      <c r="AC117">
        <v>0</v>
      </c>
      <c r="AD117">
        <v>0</v>
      </c>
      <c r="AE117">
        <v>11978</v>
      </c>
      <c r="AF117">
        <v>0</v>
      </c>
      <c r="AG117">
        <v>0</v>
      </c>
      <c r="AH117">
        <v>0</v>
      </c>
      <c r="AI117">
        <v>8.3800000000000008</v>
      </c>
      <c r="AJ117">
        <v>1</v>
      </c>
      <c r="AK117">
        <v>1</v>
      </c>
      <c r="AL117">
        <v>1</v>
      </c>
      <c r="AM117">
        <v>4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3.8E-3</v>
      </c>
      <c r="AU117" t="s">
        <v>3</v>
      </c>
      <c r="AV117">
        <v>0</v>
      </c>
      <c r="AW117">
        <v>2</v>
      </c>
      <c r="AX117">
        <v>145197513</v>
      </c>
      <c r="AY117">
        <v>1</v>
      </c>
      <c r="AZ117">
        <v>0</v>
      </c>
      <c r="BA117">
        <v>117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ROUND(Y117*Source!I109,9)</f>
        <v>1.5579999999999999E-3</v>
      </c>
      <c r="CY117">
        <f>AA117</f>
        <v>100375.64</v>
      </c>
      <c r="CZ117">
        <f>AE117</f>
        <v>11978</v>
      </c>
      <c r="DA117">
        <f>AI117</f>
        <v>8.3800000000000008</v>
      </c>
      <c r="DB117">
        <f>ROUND(ROUND(AT117*CZ117,2),2)</f>
        <v>45.52</v>
      </c>
      <c r="DC117">
        <f>ROUND(ROUND(AT117*AG117,2),2)</f>
        <v>0</v>
      </c>
      <c r="DD117" t="s">
        <v>3</v>
      </c>
      <c r="DE117" t="s">
        <v>3</v>
      </c>
      <c r="DF117">
        <f>ROUND(ROUND(AE117*AI117,2)*CX117,2)</f>
        <v>156.38999999999999</v>
      </c>
      <c r="DG117">
        <f t="shared" ref="DG117:DG129" si="58">ROUND(ROUND(AF117,2)*CX117,2)</f>
        <v>0</v>
      </c>
      <c r="DH117">
        <f t="shared" ref="DH117:DH128" si="59">ROUND(ROUND(AG117,2)*CX117,2)</f>
        <v>0</v>
      </c>
      <c r="DI117">
        <f t="shared" si="57"/>
        <v>0</v>
      </c>
      <c r="DJ117">
        <f>DF117</f>
        <v>156.38999999999999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ROW(Source!A109)</f>
        <v>109</v>
      </c>
      <c r="B118">
        <v>145185703</v>
      </c>
      <c r="C118">
        <v>145197499</v>
      </c>
      <c r="D118">
        <v>140790840</v>
      </c>
      <c r="E118">
        <v>1</v>
      </c>
      <c r="F118">
        <v>1</v>
      </c>
      <c r="G118">
        <v>1</v>
      </c>
      <c r="H118">
        <v>3</v>
      </c>
      <c r="I118" t="s">
        <v>482</v>
      </c>
      <c r="J118" t="s">
        <v>483</v>
      </c>
      <c r="K118" t="s">
        <v>484</v>
      </c>
      <c r="L118">
        <v>1348</v>
      </c>
      <c r="N118">
        <v>1009</v>
      </c>
      <c r="O118" t="s">
        <v>21</v>
      </c>
      <c r="P118" t="s">
        <v>21</v>
      </c>
      <c r="Q118">
        <v>1000</v>
      </c>
      <c r="W118">
        <v>0</v>
      </c>
      <c r="X118">
        <v>1175875667</v>
      </c>
      <c r="Y118">
        <f>AT118</f>
        <v>0.16900000000000001</v>
      </c>
      <c r="AA118">
        <v>66847.259999999995</v>
      </c>
      <c r="AB118">
        <v>0</v>
      </c>
      <c r="AC118">
        <v>0</v>
      </c>
      <c r="AD118">
        <v>0</v>
      </c>
      <c r="AE118">
        <v>7977</v>
      </c>
      <c r="AF118">
        <v>0</v>
      </c>
      <c r="AG118">
        <v>0</v>
      </c>
      <c r="AH118">
        <v>0</v>
      </c>
      <c r="AI118">
        <v>8.3800000000000008</v>
      </c>
      <c r="AJ118">
        <v>1</v>
      </c>
      <c r="AK118">
        <v>1</v>
      </c>
      <c r="AL118">
        <v>1</v>
      </c>
      <c r="AM118">
        <v>4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0.16900000000000001</v>
      </c>
      <c r="AU118" t="s">
        <v>3</v>
      </c>
      <c r="AV118">
        <v>0</v>
      </c>
      <c r="AW118">
        <v>2</v>
      </c>
      <c r="AX118">
        <v>145197514</v>
      </c>
      <c r="AY118">
        <v>1</v>
      </c>
      <c r="AZ118">
        <v>0</v>
      </c>
      <c r="BA118">
        <v>118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ROUND(Y118*Source!I109,9)</f>
        <v>6.9290000000000004E-2</v>
      </c>
      <c r="CY118">
        <f>AA118</f>
        <v>66847.259999999995</v>
      </c>
      <c r="CZ118">
        <f>AE118</f>
        <v>7977</v>
      </c>
      <c r="DA118">
        <f>AI118</f>
        <v>8.3800000000000008</v>
      </c>
      <c r="DB118">
        <f>ROUND(ROUND(AT118*CZ118,2),2)</f>
        <v>1348.11</v>
      </c>
      <c r="DC118">
        <f>ROUND(ROUND(AT118*AG118,2),2)</f>
        <v>0</v>
      </c>
      <c r="DD118" t="s">
        <v>3</v>
      </c>
      <c r="DE118" t="s">
        <v>3</v>
      </c>
      <c r="DF118">
        <f>ROUND(ROUND(AE118*AI118,2)*CX118,2)</f>
        <v>4631.8500000000004</v>
      </c>
      <c r="DG118">
        <f t="shared" si="58"/>
        <v>0</v>
      </c>
      <c r="DH118">
        <f t="shared" si="59"/>
        <v>0</v>
      </c>
      <c r="DI118">
        <f t="shared" si="57"/>
        <v>0</v>
      </c>
      <c r="DJ118">
        <f>DF118</f>
        <v>4631.8500000000004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ROW(Source!A109)</f>
        <v>109</v>
      </c>
      <c r="B119">
        <v>145185703</v>
      </c>
      <c r="C119">
        <v>145197499</v>
      </c>
      <c r="D119">
        <v>140792570</v>
      </c>
      <c r="E119">
        <v>1</v>
      </c>
      <c r="F119">
        <v>1</v>
      </c>
      <c r="G119">
        <v>1</v>
      </c>
      <c r="H119">
        <v>3</v>
      </c>
      <c r="I119" t="s">
        <v>84</v>
      </c>
      <c r="J119" t="s">
        <v>86</v>
      </c>
      <c r="K119" t="s">
        <v>85</v>
      </c>
      <c r="L119">
        <v>1348</v>
      </c>
      <c r="N119">
        <v>1009</v>
      </c>
      <c r="O119" t="s">
        <v>21</v>
      </c>
      <c r="P119" t="s">
        <v>21</v>
      </c>
      <c r="Q119">
        <v>1000</v>
      </c>
      <c r="W119">
        <v>1</v>
      </c>
      <c r="X119">
        <v>-509681559</v>
      </c>
      <c r="Y119">
        <f>AT119</f>
        <v>-0.33</v>
      </c>
      <c r="AA119">
        <v>93856</v>
      </c>
      <c r="AB119">
        <v>0</v>
      </c>
      <c r="AC119">
        <v>0</v>
      </c>
      <c r="AD119">
        <v>0</v>
      </c>
      <c r="AE119">
        <v>11200</v>
      </c>
      <c r="AF119">
        <v>0</v>
      </c>
      <c r="AG119">
        <v>0</v>
      </c>
      <c r="AH119">
        <v>0</v>
      </c>
      <c r="AI119">
        <v>8.3800000000000008</v>
      </c>
      <c r="AJ119">
        <v>1</v>
      </c>
      <c r="AK119">
        <v>1</v>
      </c>
      <c r="AL119">
        <v>1</v>
      </c>
      <c r="AM119">
        <v>4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-0.33</v>
      </c>
      <c r="AU119" t="s">
        <v>3</v>
      </c>
      <c r="AV119">
        <v>0</v>
      </c>
      <c r="AW119">
        <v>2</v>
      </c>
      <c r="AX119">
        <v>145197515</v>
      </c>
      <c r="AY119">
        <v>1</v>
      </c>
      <c r="AZ119">
        <v>6144</v>
      </c>
      <c r="BA119">
        <v>119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ROUND(Y119*Source!I109,9)</f>
        <v>-0.1353</v>
      </c>
      <c r="CY119">
        <f>AA119</f>
        <v>93856</v>
      </c>
      <c r="CZ119">
        <f>AE119</f>
        <v>11200</v>
      </c>
      <c r="DA119">
        <f>AI119</f>
        <v>8.3800000000000008</v>
      </c>
      <c r="DB119">
        <f>ROUND(ROUND(AT119*CZ119,2),2)</f>
        <v>-3696</v>
      </c>
      <c r="DC119">
        <f>ROUND(ROUND(AT119*AG119,2),2)</f>
        <v>0</v>
      </c>
      <c r="DD119" t="s">
        <v>3</v>
      </c>
      <c r="DE119" t="s">
        <v>3</v>
      </c>
      <c r="DF119">
        <f>ROUND(ROUND(AE119*AI119,2)*CX119,2)</f>
        <v>-12698.72</v>
      </c>
      <c r="DG119">
        <f t="shared" si="58"/>
        <v>0</v>
      </c>
      <c r="DH119">
        <f t="shared" si="59"/>
        <v>0</v>
      </c>
      <c r="DI119">
        <f t="shared" si="57"/>
        <v>0</v>
      </c>
      <c r="DJ119">
        <f>DF119</f>
        <v>-12698.72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ROW(Source!A114)</f>
        <v>114</v>
      </c>
      <c r="B120">
        <v>145185703</v>
      </c>
      <c r="C120">
        <v>145197520</v>
      </c>
      <c r="D120">
        <v>140755443</v>
      </c>
      <c r="E120">
        <v>70</v>
      </c>
      <c r="F120">
        <v>1</v>
      </c>
      <c r="G120">
        <v>1</v>
      </c>
      <c r="H120">
        <v>1</v>
      </c>
      <c r="I120" t="s">
        <v>485</v>
      </c>
      <c r="J120" t="s">
        <v>3</v>
      </c>
      <c r="K120" t="s">
        <v>486</v>
      </c>
      <c r="L120">
        <v>1191</v>
      </c>
      <c r="N120">
        <v>1013</v>
      </c>
      <c r="O120" t="s">
        <v>394</v>
      </c>
      <c r="P120" t="s">
        <v>394</v>
      </c>
      <c r="Q120">
        <v>1</v>
      </c>
      <c r="W120">
        <v>0</v>
      </c>
      <c r="X120">
        <v>-1111239348</v>
      </c>
      <c r="Y120">
        <f>(AT120*1.15)</f>
        <v>0.13799999999999998</v>
      </c>
      <c r="AA120">
        <v>0</v>
      </c>
      <c r="AB120">
        <v>0</v>
      </c>
      <c r="AC120">
        <v>0</v>
      </c>
      <c r="AD120">
        <v>439.73</v>
      </c>
      <c r="AE120">
        <v>0</v>
      </c>
      <c r="AF120">
        <v>0</v>
      </c>
      <c r="AG120">
        <v>0</v>
      </c>
      <c r="AH120">
        <v>9.6199999999999992</v>
      </c>
      <c r="AI120">
        <v>1</v>
      </c>
      <c r="AJ120">
        <v>1</v>
      </c>
      <c r="AK120">
        <v>1</v>
      </c>
      <c r="AL120">
        <v>45.71</v>
      </c>
      <c r="AM120">
        <v>4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0.12</v>
      </c>
      <c r="AU120" t="s">
        <v>43</v>
      </c>
      <c r="AV120">
        <v>1</v>
      </c>
      <c r="AW120">
        <v>2</v>
      </c>
      <c r="AX120">
        <v>145197525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ROUND(Y120*Source!I114,9)</f>
        <v>4.1399999999999997</v>
      </c>
      <c r="CY120">
        <f>AD120</f>
        <v>439.73</v>
      </c>
      <c r="CZ120">
        <f>AH120</f>
        <v>9.6199999999999992</v>
      </c>
      <c r="DA120">
        <f>AL120</f>
        <v>45.71</v>
      </c>
      <c r="DB120">
        <f>ROUND((ROUND(AT120*CZ120,2)*1.15),2)</f>
        <v>1.32</v>
      </c>
      <c r="DC120">
        <f>ROUND((ROUND(AT120*AG120,2)*1.15),2)</f>
        <v>0</v>
      </c>
      <c r="DD120" t="s">
        <v>3</v>
      </c>
      <c r="DE120" t="s">
        <v>3</v>
      </c>
      <c r="DF120">
        <f>ROUND(ROUND(AE120,2)*CX120,2)</f>
        <v>0</v>
      </c>
      <c r="DG120">
        <f t="shared" si="58"/>
        <v>0</v>
      </c>
      <c r="DH120">
        <f t="shared" si="59"/>
        <v>0</v>
      </c>
      <c r="DI120">
        <f>ROUND(ROUND(AH120*AL120,2)*CX120,2)</f>
        <v>1820.48</v>
      </c>
      <c r="DJ120">
        <f>DI120</f>
        <v>1820.48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ROW(Source!A114)</f>
        <v>114</v>
      </c>
      <c r="B121">
        <v>145185703</v>
      </c>
      <c r="C121">
        <v>145197520</v>
      </c>
      <c r="D121">
        <v>140775147</v>
      </c>
      <c r="E121">
        <v>1</v>
      </c>
      <c r="F121">
        <v>1</v>
      </c>
      <c r="G121">
        <v>1</v>
      </c>
      <c r="H121">
        <v>3</v>
      </c>
      <c r="I121" t="s">
        <v>487</v>
      </c>
      <c r="J121" t="s">
        <v>488</v>
      </c>
      <c r="K121" t="s">
        <v>489</v>
      </c>
      <c r="L121">
        <v>1425</v>
      </c>
      <c r="N121">
        <v>1013</v>
      </c>
      <c r="O121" t="s">
        <v>490</v>
      </c>
      <c r="P121" t="s">
        <v>490</v>
      </c>
      <c r="Q121">
        <v>1</v>
      </c>
      <c r="W121">
        <v>0</v>
      </c>
      <c r="X121">
        <v>1791993213</v>
      </c>
      <c r="Y121">
        <f>AT121</f>
        <v>0.2</v>
      </c>
      <c r="AA121">
        <v>326.82</v>
      </c>
      <c r="AB121">
        <v>0</v>
      </c>
      <c r="AC121">
        <v>0</v>
      </c>
      <c r="AD121">
        <v>0</v>
      </c>
      <c r="AE121">
        <v>39</v>
      </c>
      <c r="AF121">
        <v>0</v>
      </c>
      <c r="AG121">
        <v>0</v>
      </c>
      <c r="AH121">
        <v>0</v>
      </c>
      <c r="AI121">
        <v>8.3800000000000008</v>
      </c>
      <c r="AJ121">
        <v>1</v>
      </c>
      <c r="AK121">
        <v>1</v>
      </c>
      <c r="AL121">
        <v>1</v>
      </c>
      <c r="AM121">
        <v>4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0.2</v>
      </c>
      <c r="AU121" t="s">
        <v>3</v>
      </c>
      <c r="AV121">
        <v>0</v>
      </c>
      <c r="AW121">
        <v>2</v>
      </c>
      <c r="AX121">
        <v>145197526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ROUND(Y121*Source!I114,9)</f>
        <v>6</v>
      </c>
      <c r="CY121">
        <f>AA121</f>
        <v>326.82</v>
      </c>
      <c r="CZ121">
        <f>AE121</f>
        <v>39</v>
      </c>
      <c r="DA121">
        <f>AI121</f>
        <v>8.3800000000000008</v>
      </c>
      <c r="DB121">
        <f>ROUND(ROUND(AT121*CZ121,2),2)</f>
        <v>7.8</v>
      </c>
      <c r="DC121">
        <f>ROUND(ROUND(AT121*AG121,2),2)</f>
        <v>0</v>
      </c>
      <c r="DD121" t="s">
        <v>3</v>
      </c>
      <c r="DE121" t="s">
        <v>3</v>
      </c>
      <c r="DF121">
        <f>ROUND(ROUND(AE121*AI121,2)*CX121,2)</f>
        <v>1960.92</v>
      </c>
      <c r="DG121">
        <f t="shared" si="58"/>
        <v>0</v>
      </c>
      <c r="DH121">
        <f t="shared" si="59"/>
        <v>0</v>
      </c>
      <c r="DI121">
        <f>ROUND(ROUND(AH121,2)*CX121,2)</f>
        <v>0</v>
      </c>
      <c r="DJ121">
        <f>DF121</f>
        <v>1960.92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ROW(Source!A114)</f>
        <v>114</v>
      </c>
      <c r="B122">
        <v>145185703</v>
      </c>
      <c r="C122">
        <v>145197520</v>
      </c>
      <c r="D122">
        <v>140762129</v>
      </c>
      <c r="E122">
        <v>70</v>
      </c>
      <c r="F122">
        <v>1</v>
      </c>
      <c r="G122">
        <v>1</v>
      </c>
      <c r="H122">
        <v>3</v>
      </c>
      <c r="I122" t="s">
        <v>491</v>
      </c>
      <c r="J122" t="s">
        <v>3</v>
      </c>
      <c r="K122" t="s">
        <v>492</v>
      </c>
      <c r="L122">
        <v>1301</v>
      </c>
      <c r="N122">
        <v>1003</v>
      </c>
      <c r="O122" t="s">
        <v>72</v>
      </c>
      <c r="P122" t="s">
        <v>72</v>
      </c>
      <c r="Q122">
        <v>1</v>
      </c>
      <c r="W122">
        <v>0</v>
      </c>
      <c r="X122">
        <v>-105719074</v>
      </c>
      <c r="Y122">
        <f>AT122</f>
        <v>1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8.3800000000000008</v>
      </c>
      <c r="AJ122">
        <v>1</v>
      </c>
      <c r="AK122">
        <v>1</v>
      </c>
      <c r="AL122">
        <v>1</v>
      </c>
      <c r="AM122">
        <v>4</v>
      </c>
      <c r="AN122">
        <v>0</v>
      </c>
      <c r="AO122">
        <v>0</v>
      </c>
      <c r="AP122">
        <v>1</v>
      </c>
      <c r="AQ122">
        <v>0</v>
      </c>
      <c r="AR122">
        <v>0</v>
      </c>
      <c r="AS122" t="s">
        <v>3</v>
      </c>
      <c r="AT122">
        <v>1</v>
      </c>
      <c r="AU122" t="s">
        <v>3</v>
      </c>
      <c r="AV122">
        <v>0</v>
      </c>
      <c r="AW122">
        <v>2</v>
      </c>
      <c r="AX122">
        <v>145197527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ROUND(Y122*Source!I114,9)</f>
        <v>30</v>
      </c>
      <c r="CY122">
        <f>AA122</f>
        <v>0</v>
      </c>
      <c r="CZ122">
        <f>AE122</f>
        <v>0</v>
      </c>
      <c r="DA122">
        <f>AI122</f>
        <v>8.3800000000000008</v>
      </c>
      <c r="DB122">
        <f>ROUND(ROUND(AT122*CZ122,2),2)</f>
        <v>0</v>
      </c>
      <c r="DC122">
        <f>ROUND(ROUND(AT122*AG122,2),2)</f>
        <v>0</v>
      </c>
      <c r="DD122" t="s">
        <v>3</v>
      </c>
      <c r="DE122" t="s">
        <v>3</v>
      </c>
      <c r="DF122">
        <f>ROUND(ROUND(AE122*AI122,2)*CX122,2)</f>
        <v>0</v>
      </c>
      <c r="DG122">
        <f t="shared" si="58"/>
        <v>0</v>
      </c>
      <c r="DH122">
        <f t="shared" si="59"/>
        <v>0</v>
      </c>
      <c r="DI122">
        <f>ROUND(ROUND(AH122,2)*CX122,2)</f>
        <v>0</v>
      </c>
      <c r="DJ122">
        <f>DF122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ROW(Source!A114)</f>
        <v>114</v>
      </c>
      <c r="B123">
        <v>145185703</v>
      </c>
      <c r="C123">
        <v>145197520</v>
      </c>
      <c r="D123">
        <v>140762174</v>
      </c>
      <c r="E123">
        <v>70</v>
      </c>
      <c r="F123">
        <v>1</v>
      </c>
      <c r="G123">
        <v>1</v>
      </c>
      <c r="H123">
        <v>3</v>
      </c>
      <c r="I123" t="s">
        <v>493</v>
      </c>
      <c r="J123" t="s">
        <v>3</v>
      </c>
      <c r="K123" t="s">
        <v>494</v>
      </c>
      <c r="L123">
        <v>1371</v>
      </c>
      <c r="N123">
        <v>1013</v>
      </c>
      <c r="O123" t="s">
        <v>112</v>
      </c>
      <c r="P123" t="s">
        <v>112</v>
      </c>
      <c r="Q123">
        <v>1</v>
      </c>
      <c r="W123">
        <v>0</v>
      </c>
      <c r="X123">
        <v>-2098852436</v>
      </c>
      <c r="Y123">
        <f>AT123</f>
        <v>2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8.3800000000000008</v>
      </c>
      <c r="AJ123">
        <v>1</v>
      </c>
      <c r="AK123">
        <v>1</v>
      </c>
      <c r="AL123">
        <v>1</v>
      </c>
      <c r="AM123">
        <v>4</v>
      </c>
      <c r="AN123">
        <v>0</v>
      </c>
      <c r="AO123">
        <v>0</v>
      </c>
      <c r="AP123">
        <v>1</v>
      </c>
      <c r="AQ123">
        <v>0</v>
      </c>
      <c r="AR123">
        <v>0</v>
      </c>
      <c r="AS123" t="s">
        <v>3</v>
      </c>
      <c r="AT123">
        <v>2</v>
      </c>
      <c r="AU123" t="s">
        <v>3</v>
      </c>
      <c r="AV123">
        <v>0</v>
      </c>
      <c r="AW123">
        <v>2</v>
      </c>
      <c r="AX123">
        <v>145197528</v>
      </c>
      <c r="AY123">
        <v>1</v>
      </c>
      <c r="AZ123">
        <v>0</v>
      </c>
      <c r="BA123">
        <v>123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ROUND(Y123*Source!I114,9)</f>
        <v>60</v>
      </c>
      <c r="CY123">
        <f>AA123</f>
        <v>0</v>
      </c>
      <c r="CZ123">
        <f>AE123</f>
        <v>0</v>
      </c>
      <c r="DA123">
        <f>AI123</f>
        <v>8.3800000000000008</v>
      </c>
      <c r="DB123">
        <f>ROUND(ROUND(AT123*CZ123,2),2)</f>
        <v>0</v>
      </c>
      <c r="DC123">
        <f>ROUND(ROUND(AT123*AG123,2),2)</f>
        <v>0</v>
      </c>
      <c r="DD123" t="s">
        <v>3</v>
      </c>
      <c r="DE123" t="s">
        <v>3</v>
      </c>
      <c r="DF123">
        <f>ROUND(ROUND(AE123*AI123,2)*CX123,2)</f>
        <v>0</v>
      </c>
      <c r="DG123">
        <f t="shared" si="58"/>
        <v>0</v>
      </c>
      <c r="DH123">
        <f t="shared" si="59"/>
        <v>0</v>
      </c>
      <c r="DI123">
        <f>ROUND(ROUND(AH123,2)*CX123,2)</f>
        <v>0</v>
      </c>
      <c r="DJ123">
        <f>DF123</f>
        <v>0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ROW(Source!A118)</f>
        <v>118</v>
      </c>
      <c r="B124">
        <v>145185703</v>
      </c>
      <c r="C124">
        <v>145197532</v>
      </c>
      <c r="D124">
        <v>140755443</v>
      </c>
      <c r="E124">
        <v>70</v>
      </c>
      <c r="F124">
        <v>1</v>
      </c>
      <c r="G124">
        <v>1</v>
      </c>
      <c r="H124">
        <v>1</v>
      </c>
      <c r="I124" t="s">
        <v>485</v>
      </c>
      <c r="J124" t="s">
        <v>3</v>
      </c>
      <c r="K124" t="s">
        <v>486</v>
      </c>
      <c r="L124">
        <v>1191</v>
      </c>
      <c r="N124">
        <v>1013</v>
      </c>
      <c r="O124" t="s">
        <v>394</v>
      </c>
      <c r="P124" t="s">
        <v>394</v>
      </c>
      <c r="Q124">
        <v>1</v>
      </c>
      <c r="W124">
        <v>0</v>
      </c>
      <c r="X124">
        <v>-1111239348</v>
      </c>
      <c r="Y124">
        <f>(AT124*1.15)</f>
        <v>0.20699999999999999</v>
      </c>
      <c r="AA124">
        <v>0</v>
      </c>
      <c r="AB124">
        <v>0</v>
      </c>
      <c r="AC124">
        <v>0</v>
      </c>
      <c r="AD124">
        <v>439.73</v>
      </c>
      <c r="AE124">
        <v>0</v>
      </c>
      <c r="AF124">
        <v>0</v>
      </c>
      <c r="AG124">
        <v>0</v>
      </c>
      <c r="AH124">
        <v>9.6199999999999992</v>
      </c>
      <c r="AI124">
        <v>1</v>
      </c>
      <c r="AJ124">
        <v>1</v>
      </c>
      <c r="AK124">
        <v>1</v>
      </c>
      <c r="AL124">
        <v>45.71</v>
      </c>
      <c r="AM124">
        <v>4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0.18</v>
      </c>
      <c r="AU124" t="s">
        <v>43</v>
      </c>
      <c r="AV124">
        <v>1</v>
      </c>
      <c r="AW124">
        <v>2</v>
      </c>
      <c r="AX124">
        <v>145197535</v>
      </c>
      <c r="AY124">
        <v>1</v>
      </c>
      <c r="AZ124">
        <v>0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ROUND(Y124*Source!I118,9)</f>
        <v>0.82799999999999996</v>
      </c>
      <c r="CY124">
        <f>AD124</f>
        <v>439.73</v>
      </c>
      <c r="CZ124">
        <f>AH124</f>
        <v>9.6199999999999992</v>
      </c>
      <c r="DA124">
        <f>AL124</f>
        <v>45.71</v>
      </c>
      <c r="DB124">
        <f>ROUND((ROUND(AT124*CZ124,2)*1.15),2)</f>
        <v>1.99</v>
      </c>
      <c r="DC124">
        <f>ROUND((ROUND(AT124*AG124,2)*1.15),2)</f>
        <v>0</v>
      </c>
      <c r="DD124" t="s">
        <v>3</v>
      </c>
      <c r="DE124" t="s">
        <v>3</v>
      </c>
      <c r="DF124">
        <f>ROUND(ROUND(AE124,2)*CX124,2)</f>
        <v>0</v>
      </c>
      <c r="DG124">
        <f t="shared" si="58"/>
        <v>0</v>
      </c>
      <c r="DH124">
        <f t="shared" si="59"/>
        <v>0</v>
      </c>
      <c r="DI124">
        <f>ROUND(ROUND(AH124*AL124,2)*CX124,2)</f>
        <v>364.1</v>
      </c>
      <c r="DJ124">
        <f>DI124</f>
        <v>364.1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ROW(Source!A118)</f>
        <v>118</v>
      </c>
      <c r="B125">
        <v>145185703</v>
      </c>
      <c r="C125">
        <v>145197532</v>
      </c>
      <c r="D125">
        <v>140762174</v>
      </c>
      <c r="E125">
        <v>70</v>
      </c>
      <c r="F125">
        <v>1</v>
      </c>
      <c r="G125">
        <v>1</v>
      </c>
      <c r="H125">
        <v>3</v>
      </c>
      <c r="I125" t="s">
        <v>493</v>
      </c>
      <c r="J125" t="s">
        <v>3</v>
      </c>
      <c r="K125" t="s">
        <v>494</v>
      </c>
      <c r="L125">
        <v>1371</v>
      </c>
      <c r="N125">
        <v>1013</v>
      </c>
      <c r="O125" t="s">
        <v>112</v>
      </c>
      <c r="P125" t="s">
        <v>112</v>
      </c>
      <c r="Q125">
        <v>1</v>
      </c>
      <c r="W125">
        <v>0</v>
      </c>
      <c r="X125">
        <v>-2098852436</v>
      </c>
      <c r="Y125">
        <f>AT125</f>
        <v>1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8.3800000000000008</v>
      </c>
      <c r="AJ125">
        <v>1</v>
      </c>
      <c r="AK125">
        <v>1</v>
      </c>
      <c r="AL125">
        <v>1</v>
      </c>
      <c r="AM125">
        <v>4</v>
      </c>
      <c r="AN125">
        <v>0</v>
      </c>
      <c r="AO125">
        <v>0</v>
      </c>
      <c r="AP125">
        <v>1</v>
      </c>
      <c r="AQ125">
        <v>0</v>
      </c>
      <c r="AR125">
        <v>0</v>
      </c>
      <c r="AS125" t="s">
        <v>3</v>
      </c>
      <c r="AT125">
        <v>1</v>
      </c>
      <c r="AU125" t="s">
        <v>3</v>
      </c>
      <c r="AV125">
        <v>0</v>
      </c>
      <c r="AW125">
        <v>2</v>
      </c>
      <c r="AX125">
        <v>145197536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ROUND(Y125*Source!I118,9)</f>
        <v>4</v>
      </c>
      <c r="CY125">
        <f>AA125</f>
        <v>0</v>
      </c>
      <c r="CZ125">
        <f>AE125</f>
        <v>0</v>
      </c>
      <c r="DA125">
        <f>AI125</f>
        <v>8.3800000000000008</v>
      </c>
      <c r="DB125">
        <f>ROUND(ROUND(AT125*CZ125,2),2)</f>
        <v>0</v>
      </c>
      <c r="DC125">
        <f>ROUND(ROUND(AT125*AG125,2),2)</f>
        <v>0</v>
      </c>
      <c r="DD125" t="s">
        <v>3</v>
      </c>
      <c r="DE125" t="s">
        <v>3</v>
      </c>
      <c r="DF125">
        <f>ROUND(ROUND(AE125*AI125,2)*CX125,2)</f>
        <v>0</v>
      </c>
      <c r="DG125">
        <f t="shared" si="58"/>
        <v>0</v>
      </c>
      <c r="DH125">
        <f t="shared" si="59"/>
        <v>0</v>
      </c>
      <c r="DI125">
        <f>ROUND(ROUND(AH125,2)*CX125,2)</f>
        <v>0</v>
      </c>
      <c r="DJ125">
        <f>DF125</f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ROW(Source!A120)</f>
        <v>120</v>
      </c>
      <c r="B126">
        <v>145185703</v>
      </c>
      <c r="C126">
        <v>145197538</v>
      </c>
      <c r="D126">
        <v>140755443</v>
      </c>
      <c r="E126">
        <v>70</v>
      </c>
      <c r="F126">
        <v>1</v>
      </c>
      <c r="G126">
        <v>1</v>
      </c>
      <c r="H126">
        <v>1</v>
      </c>
      <c r="I126" t="s">
        <v>485</v>
      </c>
      <c r="J126" t="s">
        <v>3</v>
      </c>
      <c r="K126" t="s">
        <v>486</v>
      </c>
      <c r="L126">
        <v>1191</v>
      </c>
      <c r="N126">
        <v>1013</v>
      </c>
      <c r="O126" t="s">
        <v>394</v>
      </c>
      <c r="P126" t="s">
        <v>394</v>
      </c>
      <c r="Q126">
        <v>1</v>
      </c>
      <c r="W126">
        <v>0</v>
      </c>
      <c r="X126">
        <v>-1111239348</v>
      </c>
      <c r="Y126">
        <f>(AT126*1.15)</f>
        <v>0.13799999999999998</v>
      </c>
      <c r="AA126">
        <v>0</v>
      </c>
      <c r="AB126">
        <v>0</v>
      </c>
      <c r="AC126">
        <v>0</v>
      </c>
      <c r="AD126">
        <v>439.73</v>
      </c>
      <c r="AE126">
        <v>0</v>
      </c>
      <c r="AF126">
        <v>0</v>
      </c>
      <c r="AG126">
        <v>0</v>
      </c>
      <c r="AH126">
        <v>9.6199999999999992</v>
      </c>
      <c r="AI126">
        <v>1</v>
      </c>
      <c r="AJ126">
        <v>1</v>
      </c>
      <c r="AK126">
        <v>1</v>
      </c>
      <c r="AL126">
        <v>45.71</v>
      </c>
      <c r="AM126">
        <v>4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0.12</v>
      </c>
      <c r="AU126" t="s">
        <v>43</v>
      </c>
      <c r="AV126">
        <v>1</v>
      </c>
      <c r="AW126">
        <v>2</v>
      </c>
      <c r="AX126">
        <v>145197541</v>
      </c>
      <c r="AY126">
        <v>1</v>
      </c>
      <c r="AZ126">
        <v>0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ROUND(Y126*Source!I120,9)</f>
        <v>1.1040000000000001</v>
      </c>
      <c r="CY126">
        <f>AD126</f>
        <v>439.73</v>
      </c>
      <c r="CZ126">
        <f>AH126</f>
        <v>9.6199999999999992</v>
      </c>
      <c r="DA126">
        <f>AL126</f>
        <v>45.71</v>
      </c>
      <c r="DB126">
        <f>ROUND((ROUND(AT126*CZ126,2)*1.15),2)</f>
        <v>1.32</v>
      </c>
      <c r="DC126">
        <f>ROUND((ROUND(AT126*AG126,2)*1.15),2)</f>
        <v>0</v>
      </c>
      <c r="DD126" t="s">
        <v>3</v>
      </c>
      <c r="DE126" t="s">
        <v>3</v>
      </c>
      <c r="DF126">
        <f>ROUND(ROUND(AE126,2)*CX126,2)</f>
        <v>0</v>
      </c>
      <c r="DG126">
        <f t="shared" si="58"/>
        <v>0</v>
      </c>
      <c r="DH126">
        <f t="shared" si="59"/>
        <v>0</v>
      </c>
      <c r="DI126">
        <f>ROUND(ROUND(AH126*AL126,2)*CX126,2)</f>
        <v>485.46</v>
      </c>
      <c r="DJ126">
        <f>DI126</f>
        <v>485.46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ROW(Source!A120)</f>
        <v>120</v>
      </c>
      <c r="B127">
        <v>145185703</v>
      </c>
      <c r="C127">
        <v>145197538</v>
      </c>
      <c r="D127">
        <v>140762174</v>
      </c>
      <c r="E127">
        <v>70</v>
      </c>
      <c r="F127">
        <v>1</v>
      </c>
      <c r="G127">
        <v>1</v>
      </c>
      <c r="H127">
        <v>3</v>
      </c>
      <c r="I127" t="s">
        <v>493</v>
      </c>
      <c r="J127" t="s">
        <v>3</v>
      </c>
      <c r="K127" t="s">
        <v>494</v>
      </c>
      <c r="L127">
        <v>1371</v>
      </c>
      <c r="N127">
        <v>1013</v>
      </c>
      <c r="O127" t="s">
        <v>112</v>
      </c>
      <c r="P127" t="s">
        <v>112</v>
      </c>
      <c r="Q127">
        <v>1</v>
      </c>
      <c r="W127">
        <v>0</v>
      </c>
      <c r="X127">
        <v>-2098852436</v>
      </c>
      <c r="Y127">
        <f>AT127</f>
        <v>1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8.3800000000000008</v>
      </c>
      <c r="AJ127">
        <v>1</v>
      </c>
      <c r="AK127">
        <v>1</v>
      </c>
      <c r="AL127">
        <v>1</v>
      </c>
      <c r="AM127">
        <v>4</v>
      </c>
      <c r="AN127">
        <v>0</v>
      </c>
      <c r="AO127">
        <v>0</v>
      </c>
      <c r="AP127">
        <v>1</v>
      </c>
      <c r="AQ127">
        <v>0</v>
      </c>
      <c r="AR127">
        <v>0</v>
      </c>
      <c r="AS127" t="s">
        <v>3</v>
      </c>
      <c r="AT127">
        <v>1</v>
      </c>
      <c r="AU127" t="s">
        <v>3</v>
      </c>
      <c r="AV127">
        <v>0</v>
      </c>
      <c r="AW127">
        <v>2</v>
      </c>
      <c r="AX127">
        <v>145197542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ROUND(Y127*Source!I120,9)</f>
        <v>8</v>
      </c>
      <c r="CY127">
        <f>AA127</f>
        <v>0</v>
      </c>
      <c r="CZ127">
        <f>AE127</f>
        <v>0</v>
      </c>
      <c r="DA127">
        <f>AI127</f>
        <v>8.3800000000000008</v>
      </c>
      <c r="DB127">
        <f>ROUND(ROUND(AT127*CZ127,2),2)</f>
        <v>0</v>
      </c>
      <c r="DC127">
        <f>ROUND(ROUND(AT127*AG127,2),2)</f>
        <v>0</v>
      </c>
      <c r="DD127" t="s">
        <v>3</v>
      </c>
      <c r="DE127" t="s">
        <v>3</v>
      </c>
      <c r="DF127">
        <f>ROUND(ROUND(AE127*AI127,2)*CX127,2)</f>
        <v>0</v>
      </c>
      <c r="DG127">
        <f t="shared" si="58"/>
        <v>0</v>
      </c>
      <c r="DH127">
        <f t="shared" si="59"/>
        <v>0</v>
      </c>
      <c r="DI127">
        <f>ROUND(ROUND(AH127,2)*CX127,2)</f>
        <v>0</v>
      </c>
      <c r="DJ127">
        <f>DF127</f>
        <v>0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ROW(Source!A122)</f>
        <v>122</v>
      </c>
      <c r="B128">
        <v>145185703</v>
      </c>
      <c r="C128">
        <v>145197544</v>
      </c>
      <c r="D128">
        <v>140755433</v>
      </c>
      <c r="E128">
        <v>70</v>
      </c>
      <c r="F128">
        <v>1</v>
      </c>
      <c r="G128">
        <v>1</v>
      </c>
      <c r="H128">
        <v>1</v>
      </c>
      <c r="I128" t="s">
        <v>468</v>
      </c>
      <c r="J128" t="s">
        <v>3</v>
      </c>
      <c r="K128" t="s">
        <v>469</v>
      </c>
      <c r="L128">
        <v>1191</v>
      </c>
      <c r="N128">
        <v>1013</v>
      </c>
      <c r="O128" t="s">
        <v>394</v>
      </c>
      <c r="P128" t="s">
        <v>394</v>
      </c>
      <c r="Q128">
        <v>1</v>
      </c>
      <c r="W128">
        <v>0</v>
      </c>
      <c r="X128">
        <v>1049124552</v>
      </c>
      <c r="Y128">
        <f>(AT128*1.15)</f>
        <v>111.78</v>
      </c>
      <c r="AA128">
        <v>0</v>
      </c>
      <c r="AB128">
        <v>0</v>
      </c>
      <c r="AC128">
        <v>0</v>
      </c>
      <c r="AD128">
        <v>389.91</v>
      </c>
      <c r="AE128">
        <v>0</v>
      </c>
      <c r="AF128">
        <v>0</v>
      </c>
      <c r="AG128">
        <v>0</v>
      </c>
      <c r="AH128">
        <v>8.5299999999999994</v>
      </c>
      <c r="AI128">
        <v>1</v>
      </c>
      <c r="AJ128">
        <v>1</v>
      </c>
      <c r="AK128">
        <v>1</v>
      </c>
      <c r="AL128">
        <v>45.71</v>
      </c>
      <c r="AM128">
        <v>4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97.2</v>
      </c>
      <c r="AU128" t="s">
        <v>43</v>
      </c>
      <c r="AV128">
        <v>1</v>
      </c>
      <c r="AW128">
        <v>2</v>
      </c>
      <c r="AX128">
        <v>145197552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ROUND(Y128*Source!I122,9)</f>
        <v>39.346559999999997</v>
      </c>
      <c r="CY128">
        <f>AD128</f>
        <v>389.91</v>
      </c>
      <c r="CZ128">
        <f>AH128</f>
        <v>8.5299999999999994</v>
      </c>
      <c r="DA128">
        <f>AL128</f>
        <v>45.71</v>
      </c>
      <c r="DB128">
        <f>ROUND((ROUND(AT128*CZ128,2)*1.15),2)</f>
        <v>953.49</v>
      </c>
      <c r="DC128">
        <f>ROUND((ROUND(AT128*AG128,2)*1.15),2)</f>
        <v>0</v>
      </c>
      <c r="DD128" t="s">
        <v>3</v>
      </c>
      <c r="DE128" t="s">
        <v>3</v>
      </c>
      <c r="DF128">
        <f>ROUND(ROUND(AE128,2)*CX128,2)</f>
        <v>0</v>
      </c>
      <c r="DG128">
        <f t="shared" si="58"/>
        <v>0</v>
      </c>
      <c r="DH128">
        <f t="shared" si="59"/>
        <v>0</v>
      </c>
      <c r="DI128">
        <f>ROUND(ROUND(AH128*AL128,2)*CX128,2)</f>
        <v>15341.62</v>
      </c>
      <c r="DJ128">
        <f>DI128</f>
        <v>15341.62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ROW(Source!A122)</f>
        <v>122</v>
      </c>
      <c r="B129">
        <v>145185703</v>
      </c>
      <c r="C129">
        <v>145197544</v>
      </c>
      <c r="D129">
        <v>140755491</v>
      </c>
      <c r="E129">
        <v>70</v>
      </c>
      <c r="F129">
        <v>1</v>
      </c>
      <c r="G129">
        <v>1</v>
      </c>
      <c r="H129">
        <v>1</v>
      </c>
      <c r="I129" t="s">
        <v>403</v>
      </c>
      <c r="J129" t="s">
        <v>3</v>
      </c>
      <c r="K129" t="s">
        <v>404</v>
      </c>
      <c r="L129">
        <v>1191</v>
      </c>
      <c r="N129">
        <v>1013</v>
      </c>
      <c r="O129" t="s">
        <v>394</v>
      </c>
      <c r="P129" t="s">
        <v>394</v>
      </c>
      <c r="Q129">
        <v>1</v>
      </c>
      <c r="W129">
        <v>0</v>
      </c>
      <c r="X129">
        <v>-1417349443</v>
      </c>
      <c r="Y129">
        <f>(AT129*1.25)</f>
        <v>0.33750000000000002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45.71</v>
      </c>
      <c r="AL129">
        <v>1</v>
      </c>
      <c r="AM129">
        <v>4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0.27</v>
      </c>
      <c r="AU129" t="s">
        <v>42</v>
      </c>
      <c r="AV129">
        <v>2</v>
      </c>
      <c r="AW129">
        <v>2</v>
      </c>
      <c r="AX129">
        <v>145197553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ROUND(Y129*Source!I122,9)</f>
        <v>0.1188</v>
      </c>
      <c r="CY129">
        <f>AD129</f>
        <v>0</v>
      </c>
      <c r="CZ129">
        <f>AH129</f>
        <v>0</v>
      </c>
      <c r="DA129">
        <f>AL129</f>
        <v>1</v>
      </c>
      <c r="DB129">
        <f>ROUND((ROUND(AT129*CZ129,2)*1.25),2)</f>
        <v>0</v>
      </c>
      <c r="DC129">
        <f>ROUND((ROUND(AT129*AG129,2)*1.25),2)</f>
        <v>0</v>
      </c>
      <c r="DD129" t="s">
        <v>3</v>
      </c>
      <c r="DE129" t="s">
        <v>3</v>
      </c>
      <c r="DF129">
        <f>ROUND(ROUND(AE129,2)*CX129,2)</f>
        <v>0</v>
      </c>
      <c r="DG129">
        <f t="shared" si="58"/>
        <v>0</v>
      </c>
      <c r="DH129">
        <f>ROUND(ROUND(AG129*AK129,2)*CX129,2)</f>
        <v>0</v>
      </c>
      <c r="DI129">
        <f t="shared" ref="DI129:DI134" si="60">ROUND(ROUND(AH129,2)*CX129,2)</f>
        <v>0</v>
      </c>
      <c r="DJ129">
        <f>DI129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ROW(Source!A122)</f>
        <v>122</v>
      </c>
      <c r="B130">
        <v>145185703</v>
      </c>
      <c r="C130">
        <v>145197544</v>
      </c>
      <c r="D130">
        <v>140922893</v>
      </c>
      <c r="E130">
        <v>1</v>
      </c>
      <c r="F130">
        <v>1</v>
      </c>
      <c r="G130">
        <v>1</v>
      </c>
      <c r="H130">
        <v>2</v>
      </c>
      <c r="I130" t="s">
        <v>470</v>
      </c>
      <c r="J130" t="s">
        <v>471</v>
      </c>
      <c r="K130" t="s">
        <v>472</v>
      </c>
      <c r="L130">
        <v>1367</v>
      </c>
      <c r="N130">
        <v>1011</v>
      </c>
      <c r="O130" t="s">
        <v>398</v>
      </c>
      <c r="P130" t="s">
        <v>398</v>
      </c>
      <c r="Q130">
        <v>1</v>
      </c>
      <c r="W130">
        <v>0</v>
      </c>
      <c r="X130">
        <v>-130837057</v>
      </c>
      <c r="Y130">
        <f>(AT130*1.25)</f>
        <v>0.25</v>
      </c>
      <c r="AA130">
        <v>0</v>
      </c>
      <c r="AB130">
        <v>1158.6199999999999</v>
      </c>
      <c r="AC130">
        <v>617.09</v>
      </c>
      <c r="AD130">
        <v>0</v>
      </c>
      <c r="AE130">
        <v>0</v>
      </c>
      <c r="AF130">
        <v>86.4</v>
      </c>
      <c r="AG130">
        <v>13.5</v>
      </c>
      <c r="AH130">
        <v>0</v>
      </c>
      <c r="AI130">
        <v>1</v>
      </c>
      <c r="AJ130">
        <v>13.41</v>
      </c>
      <c r="AK130">
        <v>45.71</v>
      </c>
      <c r="AL130">
        <v>1</v>
      </c>
      <c r="AM130">
        <v>4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0.2</v>
      </c>
      <c r="AU130" t="s">
        <v>42</v>
      </c>
      <c r="AV130">
        <v>0</v>
      </c>
      <c r="AW130">
        <v>2</v>
      </c>
      <c r="AX130">
        <v>145197554</v>
      </c>
      <c r="AY130">
        <v>1</v>
      </c>
      <c r="AZ130">
        <v>0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ROUND(Y130*Source!I122,9)</f>
        <v>8.7999999999999995E-2</v>
      </c>
      <c r="CY130">
        <f>AB130</f>
        <v>1158.6199999999999</v>
      </c>
      <c r="CZ130">
        <f>AF130</f>
        <v>86.4</v>
      </c>
      <c r="DA130">
        <f>AJ130</f>
        <v>13.41</v>
      </c>
      <c r="DB130">
        <f>ROUND((ROUND(AT130*CZ130,2)*1.25),2)</f>
        <v>21.6</v>
      </c>
      <c r="DC130">
        <f>ROUND((ROUND(AT130*AG130,2)*1.25),2)</f>
        <v>3.38</v>
      </c>
      <c r="DD130" t="s">
        <v>3</v>
      </c>
      <c r="DE130" t="s">
        <v>3</v>
      </c>
      <c r="DF130">
        <f>ROUND(ROUND(AE130,2)*CX130,2)</f>
        <v>0</v>
      </c>
      <c r="DG130">
        <f>ROUND(ROUND(AF130*AJ130,2)*CX130,2)</f>
        <v>101.96</v>
      </c>
      <c r="DH130">
        <f>ROUND(ROUND(AG130*AK130,2)*CX130,2)</f>
        <v>54.3</v>
      </c>
      <c r="DI130">
        <f t="shared" si="60"/>
        <v>0</v>
      </c>
      <c r="DJ130">
        <f>DG130</f>
        <v>101.96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ROW(Source!A122)</f>
        <v>122</v>
      </c>
      <c r="B131">
        <v>145185703</v>
      </c>
      <c r="C131">
        <v>145197544</v>
      </c>
      <c r="D131">
        <v>140923885</v>
      </c>
      <c r="E131">
        <v>1</v>
      </c>
      <c r="F131">
        <v>1</v>
      </c>
      <c r="G131">
        <v>1</v>
      </c>
      <c r="H131">
        <v>2</v>
      </c>
      <c r="I131" t="s">
        <v>417</v>
      </c>
      <c r="J131" t="s">
        <v>418</v>
      </c>
      <c r="K131" t="s">
        <v>419</v>
      </c>
      <c r="L131">
        <v>1367</v>
      </c>
      <c r="N131">
        <v>1011</v>
      </c>
      <c r="O131" t="s">
        <v>398</v>
      </c>
      <c r="P131" t="s">
        <v>398</v>
      </c>
      <c r="Q131">
        <v>1</v>
      </c>
      <c r="W131">
        <v>0</v>
      </c>
      <c r="X131">
        <v>509054691</v>
      </c>
      <c r="Y131">
        <f>(AT131*1.25)</f>
        <v>8.7500000000000008E-2</v>
      </c>
      <c r="AA131">
        <v>0</v>
      </c>
      <c r="AB131">
        <v>881.17</v>
      </c>
      <c r="AC131">
        <v>530.24</v>
      </c>
      <c r="AD131">
        <v>0</v>
      </c>
      <c r="AE131">
        <v>0</v>
      </c>
      <c r="AF131">
        <v>65.709999999999994</v>
      </c>
      <c r="AG131">
        <v>11.6</v>
      </c>
      <c r="AH131">
        <v>0</v>
      </c>
      <c r="AI131">
        <v>1</v>
      </c>
      <c r="AJ131">
        <v>13.41</v>
      </c>
      <c r="AK131">
        <v>45.71</v>
      </c>
      <c r="AL131">
        <v>1</v>
      </c>
      <c r="AM131">
        <v>4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7.0000000000000007E-2</v>
      </c>
      <c r="AU131" t="s">
        <v>42</v>
      </c>
      <c r="AV131">
        <v>0</v>
      </c>
      <c r="AW131">
        <v>2</v>
      </c>
      <c r="AX131">
        <v>145197555</v>
      </c>
      <c r="AY131">
        <v>1</v>
      </c>
      <c r="AZ131">
        <v>0</v>
      </c>
      <c r="BA131">
        <v>131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ROUND(Y131*Source!I122,9)</f>
        <v>3.0800000000000001E-2</v>
      </c>
      <c r="CY131">
        <f>AB131</f>
        <v>881.17</v>
      </c>
      <c r="CZ131">
        <f>AF131</f>
        <v>65.709999999999994</v>
      </c>
      <c r="DA131">
        <f>AJ131</f>
        <v>13.41</v>
      </c>
      <c r="DB131">
        <f>ROUND((ROUND(AT131*CZ131,2)*1.25),2)</f>
        <v>5.75</v>
      </c>
      <c r="DC131">
        <f>ROUND((ROUND(AT131*AG131,2)*1.25),2)</f>
        <v>1.01</v>
      </c>
      <c r="DD131" t="s">
        <v>3</v>
      </c>
      <c r="DE131" t="s">
        <v>3</v>
      </c>
      <c r="DF131">
        <f>ROUND(ROUND(AE131,2)*CX131,2)</f>
        <v>0</v>
      </c>
      <c r="DG131">
        <f>ROUND(ROUND(AF131*AJ131,2)*CX131,2)</f>
        <v>27.14</v>
      </c>
      <c r="DH131">
        <f>ROUND(ROUND(AG131*AK131,2)*CX131,2)</f>
        <v>16.329999999999998</v>
      </c>
      <c r="DI131">
        <f t="shared" si="60"/>
        <v>0</v>
      </c>
      <c r="DJ131">
        <f>DG131</f>
        <v>27.14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ROW(Source!A122)</f>
        <v>122</v>
      </c>
      <c r="B132">
        <v>145185703</v>
      </c>
      <c r="C132">
        <v>145197544</v>
      </c>
      <c r="D132">
        <v>140775136</v>
      </c>
      <c r="E132">
        <v>1</v>
      </c>
      <c r="F132">
        <v>1</v>
      </c>
      <c r="G132">
        <v>1</v>
      </c>
      <c r="H132">
        <v>3</v>
      </c>
      <c r="I132" t="s">
        <v>473</v>
      </c>
      <c r="J132" t="s">
        <v>474</v>
      </c>
      <c r="K132" t="s">
        <v>475</v>
      </c>
      <c r="L132">
        <v>1348</v>
      </c>
      <c r="N132">
        <v>1009</v>
      </c>
      <c r="O132" t="s">
        <v>21</v>
      </c>
      <c r="P132" t="s">
        <v>21</v>
      </c>
      <c r="Q132">
        <v>1000</v>
      </c>
      <c r="W132">
        <v>0</v>
      </c>
      <c r="X132">
        <v>-384732532</v>
      </c>
      <c r="Y132">
        <f t="shared" ref="Y132:Y145" si="61">AT132</f>
        <v>4.0000000000000001E-3</v>
      </c>
      <c r="AA132">
        <v>71020.5</v>
      </c>
      <c r="AB132">
        <v>0</v>
      </c>
      <c r="AC132">
        <v>0</v>
      </c>
      <c r="AD132">
        <v>0</v>
      </c>
      <c r="AE132">
        <v>8475</v>
      </c>
      <c r="AF132">
        <v>0</v>
      </c>
      <c r="AG132">
        <v>0</v>
      </c>
      <c r="AH132">
        <v>0</v>
      </c>
      <c r="AI132">
        <v>8.3800000000000008</v>
      </c>
      <c r="AJ132">
        <v>1</v>
      </c>
      <c r="AK132">
        <v>1</v>
      </c>
      <c r="AL132">
        <v>1</v>
      </c>
      <c r="AM132">
        <v>4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4.0000000000000001E-3</v>
      </c>
      <c r="AU132" t="s">
        <v>3</v>
      </c>
      <c r="AV132">
        <v>0</v>
      </c>
      <c r="AW132">
        <v>2</v>
      </c>
      <c r="AX132">
        <v>145197556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ROUND(Y132*Source!I122,9)</f>
        <v>1.408E-3</v>
      </c>
      <c r="CY132">
        <f>AA132</f>
        <v>71020.5</v>
      </c>
      <c r="CZ132">
        <f>AE132</f>
        <v>8475</v>
      </c>
      <c r="DA132">
        <f>AI132</f>
        <v>8.3800000000000008</v>
      </c>
      <c r="DB132">
        <f t="shared" ref="DB132:DB145" si="62">ROUND(ROUND(AT132*CZ132,2),2)</f>
        <v>33.9</v>
      </c>
      <c r="DC132">
        <f t="shared" ref="DC132:DC145" si="63">ROUND(ROUND(AT132*AG132,2),2)</f>
        <v>0</v>
      </c>
      <c r="DD132" t="s">
        <v>3</v>
      </c>
      <c r="DE132" t="s">
        <v>3</v>
      </c>
      <c r="DF132">
        <f>ROUND(ROUND(AE132*AI132,2)*CX132,2)</f>
        <v>100</v>
      </c>
      <c r="DG132">
        <f>ROUND(ROUND(AF132,2)*CX132,2)</f>
        <v>0</v>
      </c>
      <c r="DH132">
        <f>ROUND(ROUND(AG132,2)*CX132,2)</f>
        <v>0</v>
      </c>
      <c r="DI132">
        <f t="shared" si="60"/>
        <v>0</v>
      </c>
      <c r="DJ132">
        <f>DF132</f>
        <v>100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ROW(Source!A122)</f>
        <v>122</v>
      </c>
      <c r="B133">
        <v>145185703</v>
      </c>
      <c r="C133">
        <v>145197544</v>
      </c>
      <c r="D133">
        <v>140792325</v>
      </c>
      <c r="E133">
        <v>1</v>
      </c>
      <c r="F133">
        <v>1</v>
      </c>
      <c r="G133">
        <v>1</v>
      </c>
      <c r="H133">
        <v>3</v>
      </c>
      <c r="I133" t="s">
        <v>476</v>
      </c>
      <c r="J133" t="s">
        <v>477</v>
      </c>
      <c r="K133" t="s">
        <v>478</v>
      </c>
      <c r="L133">
        <v>1348</v>
      </c>
      <c r="N133">
        <v>1009</v>
      </c>
      <c r="O133" t="s">
        <v>21</v>
      </c>
      <c r="P133" t="s">
        <v>21</v>
      </c>
      <c r="Q133">
        <v>1000</v>
      </c>
      <c r="W133">
        <v>0</v>
      </c>
      <c r="X133">
        <v>-581832824</v>
      </c>
      <c r="Y133">
        <f t="shared" si="61"/>
        <v>1.2E-2</v>
      </c>
      <c r="AA133">
        <v>68632.2</v>
      </c>
      <c r="AB133">
        <v>0</v>
      </c>
      <c r="AC133">
        <v>0</v>
      </c>
      <c r="AD133">
        <v>0</v>
      </c>
      <c r="AE133">
        <v>8190</v>
      </c>
      <c r="AF133">
        <v>0</v>
      </c>
      <c r="AG133">
        <v>0</v>
      </c>
      <c r="AH133">
        <v>0</v>
      </c>
      <c r="AI133">
        <v>8.3800000000000008</v>
      </c>
      <c r="AJ133">
        <v>1</v>
      </c>
      <c r="AK133">
        <v>1</v>
      </c>
      <c r="AL133">
        <v>1</v>
      </c>
      <c r="AM133">
        <v>4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1.2E-2</v>
      </c>
      <c r="AU133" t="s">
        <v>3</v>
      </c>
      <c r="AV133">
        <v>0</v>
      </c>
      <c r="AW133">
        <v>2</v>
      </c>
      <c r="AX133">
        <v>145197557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ROUND(Y133*Source!I122,9)</f>
        <v>4.2240000000000003E-3</v>
      </c>
      <c r="CY133">
        <f>AA133</f>
        <v>68632.2</v>
      </c>
      <c r="CZ133">
        <f>AE133</f>
        <v>8190</v>
      </c>
      <c r="DA133">
        <f>AI133</f>
        <v>8.3800000000000008</v>
      </c>
      <c r="DB133">
        <f t="shared" si="62"/>
        <v>98.28</v>
      </c>
      <c r="DC133">
        <f t="shared" si="63"/>
        <v>0</v>
      </c>
      <c r="DD133" t="s">
        <v>3</v>
      </c>
      <c r="DE133" t="s">
        <v>3</v>
      </c>
      <c r="DF133">
        <f>ROUND(ROUND(AE133*AI133,2)*CX133,2)</f>
        <v>289.89999999999998</v>
      </c>
      <c r="DG133">
        <f>ROUND(ROUND(AF133,2)*CX133,2)</f>
        <v>0</v>
      </c>
      <c r="DH133">
        <f>ROUND(ROUND(AG133,2)*CX133,2)</f>
        <v>0</v>
      </c>
      <c r="DI133">
        <f t="shared" si="60"/>
        <v>0</v>
      </c>
      <c r="DJ133">
        <f>DF133</f>
        <v>289.89999999999998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ROW(Source!A122)</f>
        <v>122</v>
      </c>
      <c r="B134">
        <v>145185703</v>
      </c>
      <c r="C134">
        <v>145197544</v>
      </c>
      <c r="D134">
        <v>140792570</v>
      </c>
      <c r="E134">
        <v>1</v>
      </c>
      <c r="F134">
        <v>1</v>
      </c>
      <c r="G134">
        <v>1</v>
      </c>
      <c r="H134">
        <v>3</v>
      </c>
      <c r="I134" t="s">
        <v>84</v>
      </c>
      <c r="J134" t="s">
        <v>86</v>
      </c>
      <c r="K134" t="s">
        <v>85</v>
      </c>
      <c r="L134">
        <v>1348</v>
      </c>
      <c r="N134">
        <v>1009</v>
      </c>
      <c r="O134" t="s">
        <v>21</v>
      </c>
      <c r="P134" t="s">
        <v>21</v>
      </c>
      <c r="Q134">
        <v>1000</v>
      </c>
      <c r="W134">
        <v>1</v>
      </c>
      <c r="X134">
        <v>-509681559</v>
      </c>
      <c r="Y134">
        <f t="shared" si="61"/>
        <v>-0.56999999999999995</v>
      </c>
      <c r="AA134">
        <v>93856</v>
      </c>
      <c r="AB134">
        <v>0</v>
      </c>
      <c r="AC134">
        <v>0</v>
      </c>
      <c r="AD134">
        <v>0</v>
      </c>
      <c r="AE134">
        <v>11200</v>
      </c>
      <c r="AF134">
        <v>0</v>
      </c>
      <c r="AG134">
        <v>0</v>
      </c>
      <c r="AH134">
        <v>0</v>
      </c>
      <c r="AI134">
        <v>8.3800000000000008</v>
      </c>
      <c r="AJ134">
        <v>1</v>
      </c>
      <c r="AK134">
        <v>1</v>
      </c>
      <c r="AL134">
        <v>1</v>
      </c>
      <c r="AM134">
        <v>4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-0.56999999999999995</v>
      </c>
      <c r="AU134" t="s">
        <v>3</v>
      </c>
      <c r="AV134">
        <v>0</v>
      </c>
      <c r="AW134">
        <v>2</v>
      </c>
      <c r="AX134">
        <v>145197558</v>
      </c>
      <c r="AY134">
        <v>1</v>
      </c>
      <c r="AZ134">
        <v>6144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ROUND(Y134*Source!I122,9)</f>
        <v>-0.20064000000000001</v>
      </c>
      <c r="CY134">
        <f>AA134</f>
        <v>93856</v>
      </c>
      <c r="CZ134">
        <f>AE134</f>
        <v>11200</v>
      </c>
      <c r="DA134">
        <f>AI134</f>
        <v>8.3800000000000008</v>
      </c>
      <c r="DB134">
        <f t="shared" si="62"/>
        <v>-6384</v>
      </c>
      <c r="DC134">
        <f t="shared" si="63"/>
        <v>0</v>
      </c>
      <c r="DD134" t="s">
        <v>3</v>
      </c>
      <c r="DE134" t="s">
        <v>3</v>
      </c>
      <c r="DF134">
        <f>ROUND(ROUND(AE134*AI134,2)*CX134,2)</f>
        <v>-18831.27</v>
      </c>
      <c r="DG134">
        <f>ROUND(ROUND(AF134,2)*CX134,2)</f>
        <v>0</v>
      </c>
      <c r="DH134">
        <f>ROUND(ROUND(AG134,2)*CX134,2)</f>
        <v>0</v>
      </c>
      <c r="DI134">
        <f t="shared" si="60"/>
        <v>0</v>
      </c>
      <c r="DJ134">
        <f>DF134</f>
        <v>-18831.27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ROW(Source!A126)</f>
        <v>126</v>
      </c>
      <c r="B135">
        <v>145185703</v>
      </c>
      <c r="C135">
        <v>145197598</v>
      </c>
      <c r="D135">
        <v>140759945</v>
      </c>
      <c r="E135">
        <v>70</v>
      </c>
      <c r="F135">
        <v>1</v>
      </c>
      <c r="G135">
        <v>1</v>
      </c>
      <c r="H135">
        <v>1</v>
      </c>
      <c r="I135" t="s">
        <v>495</v>
      </c>
      <c r="J135" t="s">
        <v>3</v>
      </c>
      <c r="K135" t="s">
        <v>496</v>
      </c>
      <c r="L135">
        <v>1191</v>
      </c>
      <c r="N135">
        <v>1013</v>
      </c>
      <c r="O135" t="s">
        <v>394</v>
      </c>
      <c r="P135" t="s">
        <v>394</v>
      </c>
      <c r="Q135">
        <v>1</v>
      </c>
      <c r="W135">
        <v>0</v>
      </c>
      <c r="X135">
        <v>-366857280</v>
      </c>
      <c r="Y135">
        <f t="shared" si="61"/>
        <v>65.12</v>
      </c>
      <c r="AA135">
        <v>0</v>
      </c>
      <c r="AB135">
        <v>0</v>
      </c>
      <c r="AC135">
        <v>0</v>
      </c>
      <c r="AD135">
        <v>362.94</v>
      </c>
      <c r="AE135">
        <v>0</v>
      </c>
      <c r="AF135">
        <v>0</v>
      </c>
      <c r="AG135">
        <v>0</v>
      </c>
      <c r="AH135">
        <v>7.94</v>
      </c>
      <c r="AI135">
        <v>1</v>
      </c>
      <c r="AJ135">
        <v>1</v>
      </c>
      <c r="AK135">
        <v>1</v>
      </c>
      <c r="AL135">
        <v>45.71</v>
      </c>
      <c r="AM135">
        <v>4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65.12</v>
      </c>
      <c r="AU135" t="s">
        <v>3</v>
      </c>
      <c r="AV135">
        <v>1</v>
      </c>
      <c r="AW135">
        <v>2</v>
      </c>
      <c r="AX135">
        <v>145197599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ROUND(Y135*Source!I126,9)</f>
        <v>179.08</v>
      </c>
      <c r="CY135">
        <f>AD135</f>
        <v>362.94</v>
      </c>
      <c r="CZ135">
        <f>AH135</f>
        <v>7.94</v>
      </c>
      <c r="DA135">
        <f>AL135</f>
        <v>45.71</v>
      </c>
      <c r="DB135">
        <f t="shared" si="62"/>
        <v>517.04999999999995</v>
      </c>
      <c r="DC135">
        <f t="shared" si="63"/>
        <v>0</v>
      </c>
      <c r="DD135" t="s">
        <v>3</v>
      </c>
      <c r="DE135" t="s">
        <v>3</v>
      </c>
      <c r="DF135">
        <f>ROUND(ROUND(AE135,2)*CX135,2)</f>
        <v>0</v>
      </c>
      <c r="DG135">
        <f>ROUND(ROUND(AF135,2)*CX135,2)</f>
        <v>0</v>
      </c>
      <c r="DH135">
        <f>ROUND(ROUND(AG135,2)*CX135,2)</f>
        <v>0</v>
      </c>
      <c r="DI135">
        <f>ROUND(ROUND(AH135*AL135,2)*CX135,2)</f>
        <v>64995.3</v>
      </c>
      <c r="DJ135">
        <f>DI135</f>
        <v>64995.3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ROW(Source!A126)</f>
        <v>126</v>
      </c>
      <c r="B136">
        <v>145185703</v>
      </c>
      <c r="C136">
        <v>145197598</v>
      </c>
      <c r="D136">
        <v>140760225</v>
      </c>
      <c r="E136">
        <v>70</v>
      </c>
      <c r="F136">
        <v>1</v>
      </c>
      <c r="G136">
        <v>1</v>
      </c>
      <c r="H136">
        <v>1</v>
      </c>
      <c r="I136" t="s">
        <v>403</v>
      </c>
      <c r="J136" t="s">
        <v>3</v>
      </c>
      <c r="K136" t="s">
        <v>404</v>
      </c>
      <c r="L136">
        <v>1191</v>
      </c>
      <c r="N136">
        <v>1013</v>
      </c>
      <c r="O136" t="s">
        <v>394</v>
      </c>
      <c r="P136" t="s">
        <v>394</v>
      </c>
      <c r="Q136">
        <v>1</v>
      </c>
      <c r="W136">
        <v>0</v>
      </c>
      <c r="X136">
        <v>-1417349443</v>
      </c>
      <c r="Y136">
        <f t="shared" si="61"/>
        <v>0.28000000000000003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45.71</v>
      </c>
      <c r="AL136">
        <v>1</v>
      </c>
      <c r="AM136">
        <v>4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</v>
      </c>
      <c r="AT136">
        <v>0.28000000000000003</v>
      </c>
      <c r="AU136" t="s">
        <v>3</v>
      </c>
      <c r="AV136">
        <v>2</v>
      </c>
      <c r="AW136">
        <v>2</v>
      </c>
      <c r="AX136">
        <v>145197600</v>
      </c>
      <c r="AY136">
        <v>1</v>
      </c>
      <c r="AZ136">
        <v>0</v>
      </c>
      <c r="BA136">
        <v>136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ROUND(Y136*Source!I126,9)</f>
        <v>0.77</v>
      </c>
      <c r="CY136">
        <f>AD136</f>
        <v>0</v>
      </c>
      <c r="CZ136">
        <f>AH136</f>
        <v>0</v>
      </c>
      <c r="DA136">
        <f>AL136</f>
        <v>1</v>
      </c>
      <c r="DB136">
        <f t="shared" si="62"/>
        <v>0</v>
      </c>
      <c r="DC136">
        <f t="shared" si="63"/>
        <v>0</v>
      </c>
      <c r="DD136" t="s">
        <v>3</v>
      </c>
      <c r="DE136" t="s">
        <v>3</v>
      </c>
      <c r="DF136">
        <f>ROUND(ROUND(AE136,2)*CX136,2)</f>
        <v>0</v>
      </c>
      <c r="DG136">
        <f>ROUND(ROUND(AF136,2)*CX136,2)</f>
        <v>0</v>
      </c>
      <c r="DH136">
        <f>ROUND(ROUND(AG136*AK136,2)*CX136,2)</f>
        <v>0</v>
      </c>
      <c r="DI136">
        <f t="shared" ref="DI136:DI141" si="64">ROUND(ROUND(AH136,2)*CX136,2)</f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ROW(Source!A126)</f>
        <v>126</v>
      </c>
      <c r="B137">
        <v>145185703</v>
      </c>
      <c r="C137">
        <v>145197598</v>
      </c>
      <c r="D137">
        <v>140923086</v>
      </c>
      <c r="E137">
        <v>1</v>
      </c>
      <c r="F137">
        <v>1</v>
      </c>
      <c r="G137">
        <v>1</v>
      </c>
      <c r="H137">
        <v>2</v>
      </c>
      <c r="I137" t="s">
        <v>497</v>
      </c>
      <c r="J137" t="s">
        <v>498</v>
      </c>
      <c r="K137" t="s">
        <v>499</v>
      </c>
      <c r="L137">
        <v>1367</v>
      </c>
      <c r="N137">
        <v>1011</v>
      </c>
      <c r="O137" t="s">
        <v>398</v>
      </c>
      <c r="P137" t="s">
        <v>398</v>
      </c>
      <c r="Q137">
        <v>1</v>
      </c>
      <c r="W137">
        <v>0</v>
      </c>
      <c r="X137">
        <v>208619310</v>
      </c>
      <c r="Y137">
        <f t="shared" si="61"/>
        <v>0.39</v>
      </c>
      <c r="AA137">
        <v>0</v>
      </c>
      <c r="AB137">
        <v>22.8</v>
      </c>
      <c r="AC137">
        <v>0</v>
      </c>
      <c r="AD137">
        <v>0</v>
      </c>
      <c r="AE137">
        <v>0</v>
      </c>
      <c r="AF137">
        <v>1.7</v>
      </c>
      <c r="AG137">
        <v>0</v>
      </c>
      <c r="AH137">
        <v>0</v>
      </c>
      <c r="AI137">
        <v>1</v>
      </c>
      <c r="AJ137">
        <v>13.41</v>
      </c>
      <c r="AK137">
        <v>45.71</v>
      </c>
      <c r="AL137">
        <v>1</v>
      </c>
      <c r="AM137">
        <v>4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0.39</v>
      </c>
      <c r="AU137" t="s">
        <v>3</v>
      </c>
      <c r="AV137">
        <v>0</v>
      </c>
      <c r="AW137">
        <v>2</v>
      </c>
      <c r="AX137">
        <v>145197601</v>
      </c>
      <c r="AY137">
        <v>1</v>
      </c>
      <c r="AZ137">
        <v>0</v>
      </c>
      <c r="BA137">
        <v>137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ROUND(Y137*Source!I126,9)</f>
        <v>1.0725</v>
      </c>
      <c r="CY137">
        <f>AB137</f>
        <v>22.8</v>
      </c>
      <c r="CZ137">
        <f>AF137</f>
        <v>1.7</v>
      </c>
      <c r="DA137">
        <f>AJ137</f>
        <v>13.41</v>
      </c>
      <c r="DB137">
        <f t="shared" si="62"/>
        <v>0.66</v>
      </c>
      <c r="DC137">
        <f t="shared" si="63"/>
        <v>0</v>
      </c>
      <c r="DD137" t="s">
        <v>3</v>
      </c>
      <c r="DE137" t="s">
        <v>3</v>
      </c>
      <c r="DF137">
        <f>ROUND(ROUND(AE137,2)*CX137,2)</f>
        <v>0</v>
      </c>
      <c r="DG137">
        <f>ROUND(ROUND(AF137*AJ137,2)*CX137,2)</f>
        <v>24.45</v>
      </c>
      <c r="DH137">
        <f>ROUND(ROUND(AG137*AK137,2)*CX137,2)</f>
        <v>0</v>
      </c>
      <c r="DI137">
        <f t="shared" si="64"/>
        <v>0</v>
      </c>
      <c r="DJ137">
        <f>DG137</f>
        <v>24.45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ROW(Source!A126)</f>
        <v>126</v>
      </c>
      <c r="B138">
        <v>145185703</v>
      </c>
      <c r="C138">
        <v>145197598</v>
      </c>
      <c r="D138">
        <v>140923885</v>
      </c>
      <c r="E138">
        <v>1</v>
      </c>
      <c r="F138">
        <v>1</v>
      </c>
      <c r="G138">
        <v>1</v>
      </c>
      <c r="H138">
        <v>2</v>
      </c>
      <c r="I138" t="s">
        <v>417</v>
      </c>
      <c r="J138" t="s">
        <v>418</v>
      </c>
      <c r="K138" t="s">
        <v>419</v>
      </c>
      <c r="L138">
        <v>1367</v>
      </c>
      <c r="N138">
        <v>1011</v>
      </c>
      <c r="O138" t="s">
        <v>398</v>
      </c>
      <c r="P138" t="s">
        <v>398</v>
      </c>
      <c r="Q138">
        <v>1</v>
      </c>
      <c r="W138">
        <v>0</v>
      </c>
      <c r="X138">
        <v>509054691</v>
      </c>
      <c r="Y138">
        <f t="shared" si="61"/>
        <v>0.28000000000000003</v>
      </c>
      <c r="AA138">
        <v>0</v>
      </c>
      <c r="AB138">
        <v>881.17</v>
      </c>
      <c r="AC138">
        <v>530.24</v>
      </c>
      <c r="AD138">
        <v>0</v>
      </c>
      <c r="AE138">
        <v>0</v>
      </c>
      <c r="AF138">
        <v>65.709999999999994</v>
      </c>
      <c r="AG138">
        <v>11.6</v>
      </c>
      <c r="AH138">
        <v>0</v>
      </c>
      <c r="AI138">
        <v>1</v>
      </c>
      <c r="AJ138">
        <v>13.41</v>
      </c>
      <c r="AK138">
        <v>45.71</v>
      </c>
      <c r="AL138">
        <v>1</v>
      </c>
      <c r="AM138">
        <v>4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0.28000000000000003</v>
      </c>
      <c r="AU138" t="s">
        <v>3</v>
      </c>
      <c r="AV138">
        <v>0</v>
      </c>
      <c r="AW138">
        <v>2</v>
      </c>
      <c r="AX138">
        <v>145197602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ROUND(Y138*Source!I126,9)</f>
        <v>0.77</v>
      </c>
      <c r="CY138">
        <f>AB138</f>
        <v>881.17</v>
      </c>
      <c r="CZ138">
        <f>AF138</f>
        <v>65.709999999999994</v>
      </c>
      <c r="DA138">
        <f>AJ138</f>
        <v>13.41</v>
      </c>
      <c r="DB138">
        <f t="shared" si="62"/>
        <v>18.399999999999999</v>
      </c>
      <c r="DC138">
        <f t="shared" si="63"/>
        <v>3.25</v>
      </c>
      <c r="DD138" t="s">
        <v>3</v>
      </c>
      <c r="DE138" t="s">
        <v>3</v>
      </c>
      <c r="DF138">
        <f>ROUND(ROUND(AE138,2)*CX138,2)</f>
        <v>0</v>
      </c>
      <c r="DG138">
        <f>ROUND(ROUND(AF138*AJ138,2)*CX138,2)</f>
        <v>678.5</v>
      </c>
      <c r="DH138">
        <f>ROUND(ROUND(AG138*AK138,2)*CX138,2)</f>
        <v>408.28</v>
      </c>
      <c r="DI138">
        <f t="shared" si="64"/>
        <v>0</v>
      </c>
      <c r="DJ138">
        <f>DG138</f>
        <v>678.5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ROW(Source!A126)</f>
        <v>126</v>
      </c>
      <c r="B139">
        <v>145185703</v>
      </c>
      <c r="C139">
        <v>145197598</v>
      </c>
      <c r="D139">
        <v>140775118</v>
      </c>
      <c r="E139">
        <v>1</v>
      </c>
      <c r="F139">
        <v>1</v>
      </c>
      <c r="G139">
        <v>1</v>
      </c>
      <c r="H139">
        <v>3</v>
      </c>
      <c r="I139" t="s">
        <v>500</v>
      </c>
      <c r="J139" t="s">
        <v>501</v>
      </c>
      <c r="K139" t="s">
        <v>502</v>
      </c>
      <c r="L139">
        <v>1348</v>
      </c>
      <c r="N139">
        <v>1009</v>
      </c>
      <c r="O139" t="s">
        <v>21</v>
      </c>
      <c r="P139" t="s">
        <v>21</v>
      </c>
      <c r="Q139">
        <v>1000</v>
      </c>
      <c r="W139">
        <v>0</v>
      </c>
      <c r="X139">
        <v>-45966985</v>
      </c>
      <c r="Y139">
        <f t="shared" si="61"/>
        <v>4.0000000000000001E-3</v>
      </c>
      <c r="AA139">
        <v>100375.64</v>
      </c>
      <c r="AB139">
        <v>0</v>
      </c>
      <c r="AC139">
        <v>0</v>
      </c>
      <c r="AD139">
        <v>0</v>
      </c>
      <c r="AE139">
        <v>11978</v>
      </c>
      <c r="AF139">
        <v>0</v>
      </c>
      <c r="AG139">
        <v>0</v>
      </c>
      <c r="AH139">
        <v>0</v>
      </c>
      <c r="AI139">
        <v>8.3800000000000008</v>
      </c>
      <c r="AJ139">
        <v>1</v>
      </c>
      <c r="AK139">
        <v>1</v>
      </c>
      <c r="AL139">
        <v>1</v>
      </c>
      <c r="AM139">
        <v>4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4.0000000000000001E-3</v>
      </c>
      <c r="AU139" t="s">
        <v>3</v>
      </c>
      <c r="AV139">
        <v>0</v>
      </c>
      <c r="AW139">
        <v>2</v>
      </c>
      <c r="AX139">
        <v>145197603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ROUND(Y139*Source!I126,9)</f>
        <v>1.0999999999999999E-2</v>
      </c>
      <c r="CY139">
        <f>AA139</f>
        <v>100375.64</v>
      </c>
      <c r="CZ139">
        <f>AE139</f>
        <v>11978</v>
      </c>
      <c r="DA139">
        <f>AI139</f>
        <v>8.3800000000000008</v>
      </c>
      <c r="DB139">
        <f t="shared" si="62"/>
        <v>47.91</v>
      </c>
      <c r="DC139">
        <f t="shared" si="63"/>
        <v>0</v>
      </c>
      <c r="DD139" t="s">
        <v>3</v>
      </c>
      <c r="DE139" t="s">
        <v>3</v>
      </c>
      <c r="DF139">
        <f>ROUND(ROUND(AE139*AI139,2)*CX139,2)</f>
        <v>1104.1300000000001</v>
      </c>
      <c r="DG139">
        <f>ROUND(ROUND(AF139,2)*CX139,2)</f>
        <v>0</v>
      </c>
      <c r="DH139">
        <f>ROUND(ROUND(AG139,2)*CX139,2)</f>
        <v>0</v>
      </c>
      <c r="DI139">
        <f t="shared" si="64"/>
        <v>0</v>
      </c>
      <c r="DJ139">
        <f>DF139</f>
        <v>1104.1300000000001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ROW(Source!A126)</f>
        <v>126</v>
      </c>
      <c r="B140">
        <v>145185703</v>
      </c>
      <c r="C140">
        <v>145197598</v>
      </c>
      <c r="D140">
        <v>140762576</v>
      </c>
      <c r="E140">
        <v>70</v>
      </c>
      <c r="F140">
        <v>1</v>
      </c>
      <c r="G140">
        <v>1</v>
      </c>
      <c r="H140">
        <v>3</v>
      </c>
      <c r="I140" t="s">
        <v>503</v>
      </c>
      <c r="J140" t="s">
        <v>3</v>
      </c>
      <c r="K140" t="s">
        <v>504</v>
      </c>
      <c r="L140">
        <v>1339</v>
      </c>
      <c r="N140">
        <v>1007</v>
      </c>
      <c r="O140" t="s">
        <v>141</v>
      </c>
      <c r="P140" t="s">
        <v>141</v>
      </c>
      <c r="Q140">
        <v>1</v>
      </c>
      <c r="W140">
        <v>0</v>
      </c>
      <c r="X140">
        <v>-1347765820</v>
      </c>
      <c r="Y140">
        <f t="shared" si="61"/>
        <v>1.3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8.3800000000000008</v>
      </c>
      <c r="AJ140">
        <v>1</v>
      </c>
      <c r="AK140">
        <v>1</v>
      </c>
      <c r="AL140">
        <v>1</v>
      </c>
      <c r="AM140">
        <v>4</v>
      </c>
      <c r="AN140">
        <v>0</v>
      </c>
      <c r="AO140">
        <v>0</v>
      </c>
      <c r="AP140">
        <v>0</v>
      </c>
      <c r="AQ140">
        <v>0</v>
      </c>
      <c r="AR140">
        <v>0</v>
      </c>
      <c r="AS140" t="s">
        <v>3</v>
      </c>
      <c r="AT140">
        <v>1.3</v>
      </c>
      <c r="AU140" t="s">
        <v>3</v>
      </c>
      <c r="AV140">
        <v>0</v>
      </c>
      <c r="AW140">
        <v>2</v>
      </c>
      <c r="AX140">
        <v>145197604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ROUND(Y140*Source!I126,9)</f>
        <v>3.5750000000000002</v>
      </c>
      <c r="CY140">
        <f>AA140</f>
        <v>0</v>
      </c>
      <c r="CZ140">
        <f>AE140</f>
        <v>0</v>
      </c>
      <c r="DA140">
        <f>AI140</f>
        <v>8.3800000000000008</v>
      </c>
      <c r="DB140">
        <f t="shared" si="62"/>
        <v>0</v>
      </c>
      <c r="DC140">
        <f t="shared" si="63"/>
        <v>0</v>
      </c>
      <c r="DD140" t="s">
        <v>3</v>
      </c>
      <c r="DE140" t="s">
        <v>3</v>
      </c>
      <c r="DF140">
        <f>ROUND(ROUND(AE140*AI140,2)*CX140,2)</f>
        <v>0</v>
      </c>
      <c r="DG140">
        <f>ROUND(ROUND(AF140,2)*CX140,2)</f>
        <v>0</v>
      </c>
      <c r="DH140">
        <f>ROUND(ROUND(AG140,2)*CX140,2)</f>
        <v>0</v>
      </c>
      <c r="DI140">
        <f t="shared" si="64"/>
        <v>0</v>
      </c>
      <c r="DJ140">
        <f>DF140</f>
        <v>0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ROW(Source!A126)</f>
        <v>126</v>
      </c>
      <c r="B141">
        <v>145185703</v>
      </c>
      <c r="C141">
        <v>145197598</v>
      </c>
      <c r="D141">
        <v>140765020</v>
      </c>
      <c r="E141">
        <v>70</v>
      </c>
      <c r="F141">
        <v>1</v>
      </c>
      <c r="G141">
        <v>1</v>
      </c>
      <c r="H141">
        <v>3</v>
      </c>
      <c r="I141" t="s">
        <v>399</v>
      </c>
      <c r="J141" t="s">
        <v>3</v>
      </c>
      <c r="K141" t="s">
        <v>400</v>
      </c>
      <c r="L141">
        <v>1348</v>
      </c>
      <c r="N141">
        <v>1009</v>
      </c>
      <c r="O141" t="s">
        <v>21</v>
      </c>
      <c r="P141" t="s">
        <v>21</v>
      </c>
      <c r="Q141">
        <v>1000</v>
      </c>
      <c r="W141">
        <v>0</v>
      </c>
      <c r="X141">
        <v>2102561428</v>
      </c>
      <c r="Y141">
        <f t="shared" si="61"/>
        <v>2.11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8.3800000000000008</v>
      </c>
      <c r="AJ141">
        <v>1</v>
      </c>
      <c r="AK141">
        <v>1</v>
      </c>
      <c r="AL141">
        <v>1</v>
      </c>
      <c r="AM141">
        <v>4</v>
      </c>
      <c r="AN141">
        <v>0</v>
      </c>
      <c r="AO141">
        <v>0</v>
      </c>
      <c r="AP141">
        <v>0</v>
      </c>
      <c r="AQ141">
        <v>0</v>
      </c>
      <c r="AR141">
        <v>0</v>
      </c>
      <c r="AS141" t="s">
        <v>3</v>
      </c>
      <c r="AT141">
        <v>2.11</v>
      </c>
      <c r="AU141" t="s">
        <v>3</v>
      </c>
      <c r="AV141">
        <v>0</v>
      </c>
      <c r="AW141">
        <v>2</v>
      </c>
      <c r="AX141">
        <v>145197605</v>
      </c>
      <c r="AY141">
        <v>1</v>
      </c>
      <c r="AZ141">
        <v>0</v>
      </c>
      <c r="BA141">
        <v>141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ROUND(Y141*Source!I126,9)</f>
        <v>5.8025000000000002</v>
      </c>
      <c r="CY141">
        <f>AA141</f>
        <v>0</v>
      </c>
      <c r="CZ141">
        <f>AE141</f>
        <v>0</v>
      </c>
      <c r="DA141">
        <f>AI141</f>
        <v>8.3800000000000008</v>
      </c>
      <c r="DB141">
        <f t="shared" si="62"/>
        <v>0</v>
      </c>
      <c r="DC141">
        <f t="shared" si="63"/>
        <v>0</v>
      </c>
      <c r="DD141" t="s">
        <v>3</v>
      </c>
      <c r="DE141" t="s">
        <v>3</v>
      </c>
      <c r="DF141">
        <f>ROUND(ROUND(AE141*AI141,2)*CX141,2)</f>
        <v>0</v>
      </c>
      <c r="DG141">
        <f>ROUND(ROUND(AF141,2)*CX141,2)</f>
        <v>0</v>
      </c>
      <c r="DH141">
        <f>ROUND(ROUND(AG141,2)*CX141,2)</f>
        <v>0</v>
      </c>
      <c r="DI141">
        <f t="shared" si="64"/>
        <v>0</v>
      </c>
      <c r="DJ141">
        <f>DF141</f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ROW(Source!A128)</f>
        <v>128</v>
      </c>
      <c r="B142">
        <v>145185703</v>
      </c>
      <c r="C142">
        <v>145197606</v>
      </c>
      <c r="D142">
        <v>140759953</v>
      </c>
      <c r="E142">
        <v>70</v>
      </c>
      <c r="F142">
        <v>1</v>
      </c>
      <c r="G142">
        <v>1</v>
      </c>
      <c r="H142">
        <v>1</v>
      </c>
      <c r="I142" t="s">
        <v>519</v>
      </c>
      <c r="J142" t="s">
        <v>3</v>
      </c>
      <c r="K142" t="s">
        <v>520</v>
      </c>
      <c r="L142">
        <v>1191</v>
      </c>
      <c r="N142">
        <v>1013</v>
      </c>
      <c r="O142" t="s">
        <v>394</v>
      </c>
      <c r="P142" t="s">
        <v>394</v>
      </c>
      <c r="Q142">
        <v>1</v>
      </c>
      <c r="W142">
        <v>0</v>
      </c>
      <c r="X142">
        <v>-844220143</v>
      </c>
      <c r="Y142">
        <f t="shared" si="61"/>
        <v>22.68</v>
      </c>
      <c r="AA142">
        <v>0</v>
      </c>
      <c r="AB142">
        <v>0</v>
      </c>
      <c r="AC142">
        <v>0</v>
      </c>
      <c r="AD142">
        <v>369.79</v>
      </c>
      <c r="AE142">
        <v>0</v>
      </c>
      <c r="AF142">
        <v>0</v>
      </c>
      <c r="AG142">
        <v>0</v>
      </c>
      <c r="AH142">
        <v>8.09</v>
      </c>
      <c r="AI142">
        <v>1</v>
      </c>
      <c r="AJ142">
        <v>1</v>
      </c>
      <c r="AK142">
        <v>1</v>
      </c>
      <c r="AL142">
        <v>45.71</v>
      </c>
      <c r="AM142">
        <v>4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22.68</v>
      </c>
      <c r="AU142" t="s">
        <v>3</v>
      </c>
      <c r="AV142">
        <v>1</v>
      </c>
      <c r="AW142">
        <v>2</v>
      </c>
      <c r="AX142">
        <v>145197607</v>
      </c>
      <c r="AY142">
        <v>1</v>
      </c>
      <c r="AZ142">
        <v>0</v>
      </c>
      <c r="BA142">
        <v>142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ROUND(Y142*Source!I128,9)</f>
        <v>48.762</v>
      </c>
      <c r="CY142">
        <f>AD142</f>
        <v>369.79</v>
      </c>
      <c r="CZ142">
        <f>AH142</f>
        <v>8.09</v>
      </c>
      <c r="DA142">
        <f>AL142</f>
        <v>45.71</v>
      </c>
      <c r="DB142">
        <f t="shared" si="62"/>
        <v>183.48</v>
      </c>
      <c r="DC142">
        <f t="shared" si="63"/>
        <v>0</v>
      </c>
      <c r="DD142" t="s">
        <v>3</v>
      </c>
      <c r="DE142" t="s">
        <v>3</v>
      </c>
      <c r="DF142">
        <f>ROUND(ROUND(AE142,2)*CX142,2)</f>
        <v>0</v>
      </c>
      <c r="DG142">
        <f>ROUND(ROUND(AF142,2)*CX142,2)</f>
        <v>0</v>
      </c>
      <c r="DH142">
        <f>ROUND(ROUND(AG142,2)*CX142,2)</f>
        <v>0</v>
      </c>
      <c r="DI142">
        <f>ROUND(ROUND(AH142*AL142,2)*CX142,2)</f>
        <v>18031.7</v>
      </c>
      <c r="DJ142">
        <f>DI142</f>
        <v>18031.7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ROW(Source!A128)</f>
        <v>128</v>
      </c>
      <c r="B143">
        <v>145185703</v>
      </c>
      <c r="C143">
        <v>145197606</v>
      </c>
      <c r="D143">
        <v>140760225</v>
      </c>
      <c r="E143">
        <v>70</v>
      </c>
      <c r="F143">
        <v>1</v>
      </c>
      <c r="G143">
        <v>1</v>
      </c>
      <c r="H143">
        <v>1</v>
      </c>
      <c r="I143" t="s">
        <v>403</v>
      </c>
      <c r="J143" t="s">
        <v>3</v>
      </c>
      <c r="K143" t="s">
        <v>404</v>
      </c>
      <c r="L143">
        <v>1191</v>
      </c>
      <c r="N143">
        <v>1013</v>
      </c>
      <c r="O143" t="s">
        <v>394</v>
      </c>
      <c r="P143" t="s">
        <v>394</v>
      </c>
      <c r="Q143">
        <v>1</v>
      </c>
      <c r="W143">
        <v>0</v>
      </c>
      <c r="X143">
        <v>-1417349443</v>
      </c>
      <c r="Y143">
        <f t="shared" si="61"/>
        <v>0.28999999999999998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45.71</v>
      </c>
      <c r="AL143">
        <v>1</v>
      </c>
      <c r="AM143">
        <v>4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0.28999999999999998</v>
      </c>
      <c r="AU143" t="s">
        <v>3</v>
      </c>
      <c r="AV143">
        <v>2</v>
      </c>
      <c r="AW143">
        <v>2</v>
      </c>
      <c r="AX143">
        <v>145197608</v>
      </c>
      <c r="AY143">
        <v>1</v>
      </c>
      <c r="AZ143">
        <v>0</v>
      </c>
      <c r="BA143">
        <v>143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ROUND(Y143*Source!I128,9)</f>
        <v>0.62350000000000005</v>
      </c>
      <c r="CY143">
        <f>AD143</f>
        <v>0</v>
      </c>
      <c r="CZ143">
        <f>AH143</f>
        <v>0</v>
      </c>
      <c r="DA143">
        <f>AL143</f>
        <v>1</v>
      </c>
      <c r="DB143">
        <f t="shared" si="62"/>
        <v>0</v>
      </c>
      <c r="DC143">
        <f t="shared" si="63"/>
        <v>0</v>
      </c>
      <c r="DD143" t="s">
        <v>3</v>
      </c>
      <c r="DE143" t="s">
        <v>3</v>
      </c>
      <c r="DF143">
        <f>ROUND(ROUND(AE143,2)*CX143,2)</f>
        <v>0</v>
      </c>
      <c r="DG143">
        <f>ROUND(ROUND(AF143,2)*CX143,2)</f>
        <v>0</v>
      </c>
      <c r="DH143">
        <f>ROUND(ROUND(AG143*AK143,2)*CX143,2)</f>
        <v>0</v>
      </c>
      <c r="DI143">
        <f>ROUND(ROUND(AH143,2)*CX143,2)</f>
        <v>0</v>
      </c>
      <c r="DJ143">
        <f>DI143</f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ROW(Source!A128)</f>
        <v>128</v>
      </c>
      <c r="B144">
        <v>145185703</v>
      </c>
      <c r="C144">
        <v>145197606</v>
      </c>
      <c r="D144">
        <v>140922893</v>
      </c>
      <c r="E144">
        <v>1</v>
      </c>
      <c r="F144">
        <v>1</v>
      </c>
      <c r="G144">
        <v>1</v>
      </c>
      <c r="H144">
        <v>2</v>
      </c>
      <c r="I144" t="s">
        <v>470</v>
      </c>
      <c r="J144" t="s">
        <v>471</v>
      </c>
      <c r="K144" t="s">
        <v>472</v>
      </c>
      <c r="L144">
        <v>1367</v>
      </c>
      <c r="N144">
        <v>1011</v>
      </c>
      <c r="O144" t="s">
        <v>398</v>
      </c>
      <c r="P144" t="s">
        <v>398</v>
      </c>
      <c r="Q144">
        <v>1</v>
      </c>
      <c r="W144">
        <v>0</v>
      </c>
      <c r="X144">
        <v>-130837057</v>
      </c>
      <c r="Y144">
        <f t="shared" si="61"/>
        <v>0.28999999999999998</v>
      </c>
      <c r="AA144">
        <v>0</v>
      </c>
      <c r="AB144">
        <v>1158.6199999999999</v>
      </c>
      <c r="AC144">
        <v>617.09</v>
      </c>
      <c r="AD144">
        <v>0</v>
      </c>
      <c r="AE144">
        <v>0</v>
      </c>
      <c r="AF144">
        <v>86.4</v>
      </c>
      <c r="AG144">
        <v>13.5</v>
      </c>
      <c r="AH144">
        <v>0</v>
      </c>
      <c r="AI144">
        <v>1</v>
      </c>
      <c r="AJ144">
        <v>13.41</v>
      </c>
      <c r="AK144">
        <v>45.71</v>
      </c>
      <c r="AL144">
        <v>1</v>
      </c>
      <c r="AM144">
        <v>4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0.28999999999999998</v>
      </c>
      <c r="AU144" t="s">
        <v>3</v>
      </c>
      <c r="AV144">
        <v>0</v>
      </c>
      <c r="AW144">
        <v>2</v>
      </c>
      <c r="AX144">
        <v>145197609</v>
      </c>
      <c r="AY144">
        <v>1</v>
      </c>
      <c r="AZ144">
        <v>0</v>
      </c>
      <c r="BA144">
        <v>144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ROUND(Y144*Source!I128,9)</f>
        <v>0.62350000000000005</v>
      </c>
      <c r="CY144">
        <f>AB144</f>
        <v>1158.6199999999999</v>
      </c>
      <c r="CZ144">
        <f>AF144</f>
        <v>86.4</v>
      </c>
      <c r="DA144">
        <f>AJ144</f>
        <v>13.41</v>
      </c>
      <c r="DB144">
        <f t="shared" si="62"/>
        <v>25.06</v>
      </c>
      <c r="DC144">
        <f t="shared" si="63"/>
        <v>3.92</v>
      </c>
      <c r="DD144" t="s">
        <v>3</v>
      </c>
      <c r="DE144" t="s">
        <v>3</v>
      </c>
      <c r="DF144">
        <f>ROUND(ROUND(AE144,2)*CX144,2)</f>
        <v>0</v>
      </c>
      <c r="DG144">
        <f>ROUND(ROUND(AF144*AJ144,2)*CX144,2)</f>
        <v>722.4</v>
      </c>
      <c r="DH144">
        <f>ROUND(ROUND(AG144*AK144,2)*CX144,2)</f>
        <v>384.76</v>
      </c>
      <c r="DI144">
        <f>ROUND(ROUND(AH144,2)*CX144,2)</f>
        <v>0</v>
      </c>
      <c r="DJ144">
        <f>DG144</f>
        <v>722.4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ROW(Source!A128)</f>
        <v>128</v>
      </c>
      <c r="B145">
        <v>145185703</v>
      </c>
      <c r="C145">
        <v>145197606</v>
      </c>
      <c r="D145">
        <v>140765020</v>
      </c>
      <c r="E145">
        <v>70</v>
      </c>
      <c r="F145">
        <v>1</v>
      </c>
      <c r="G145">
        <v>1</v>
      </c>
      <c r="H145">
        <v>3</v>
      </c>
      <c r="I145" t="s">
        <v>399</v>
      </c>
      <c r="J145" t="s">
        <v>3</v>
      </c>
      <c r="K145" t="s">
        <v>400</v>
      </c>
      <c r="L145">
        <v>1348</v>
      </c>
      <c r="N145">
        <v>1009</v>
      </c>
      <c r="O145" t="s">
        <v>21</v>
      </c>
      <c r="P145" t="s">
        <v>21</v>
      </c>
      <c r="Q145">
        <v>1000</v>
      </c>
      <c r="W145">
        <v>0</v>
      </c>
      <c r="X145">
        <v>2102561428</v>
      </c>
      <c r="Y145">
        <f t="shared" si="61"/>
        <v>0.9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8.3800000000000008</v>
      </c>
      <c r="AJ145">
        <v>1</v>
      </c>
      <c r="AK145">
        <v>1</v>
      </c>
      <c r="AL145">
        <v>1</v>
      </c>
      <c r="AM145">
        <v>4</v>
      </c>
      <c r="AN145">
        <v>0</v>
      </c>
      <c r="AO145">
        <v>0</v>
      </c>
      <c r="AP145">
        <v>1</v>
      </c>
      <c r="AQ145">
        <v>0</v>
      </c>
      <c r="AR145">
        <v>0</v>
      </c>
      <c r="AS145" t="s">
        <v>3</v>
      </c>
      <c r="AT145">
        <v>0.9</v>
      </c>
      <c r="AU145" t="s">
        <v>3</v>
      </c>
      <c r="AV145">
        <v>0</v>
      </c>
      <c r="AW145">
        <v>2</v>
      </c>
      <c r="AX145">
        <v>145197610</v>
      </c>
      <c r="AY145">
        <v>1</v>
      </c>
      <c r="AZ145">
        <v>0</v>
      </c>
      <c r="BA145">
        <v>145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ROUND(Y145*Source!I128,9)</f>
        <v>1.9350000000000001</v>
      </c>
      <c r="CY145">
        <f>AA145</f>
        <v>0</v>
      </c>
      <c r="CZ145">
        <f>AE145</f>
        <v>0</v>
      </c>
      <c r="DA145">
        <f>AI145</f>
        <v>8.3800000000000008</v>
      </c>
      <c r="DB145">
        <f t="shared" si="62"/>
        <v>0</v>
      </c>
      <c r="DC145">
        <f t="shared" si="63"/>
        <v>0</v>
      </c>
      <c r="DD145" t="s">
        <v>3</v>
      </c>
      <c r="DE145" t="s">
        <v>3</v>
      </c>
      <c r="DF145">
        <f>ROUND(ROUND(AE145*AI145,2)*CX145,2)</f>
        <v>0</v>
      </c>
      <c r="DG145">
        <f>ROUND(ROUND(AF145,2)*CX145,2)</f>
        <v>0</v>
      </c>
      <c r="DH145">
        <f>ROUND(ROUND(AG145,2)*CX145,2)</f>
        <v>0</v>
      </c>
      <c r="DI145">
        <f>ROUND(ROUND(AH145,2)*CX145,2)</f>
        <v>0</v>
      </c>
      <c r="DJ145">
        <f>DF145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ROW(Source!A129)</f>
        <v>129</v>
      </c>
      <c r="B146">
        <v>145185703</v>
      </c>
      <c r="C146">
        <v>145197611</v>
      </c>
      <c r="D146">
        <v>140759966</v>
      </c>
      <c r="E146">
        <v>70</v>
      </c>
      <c r="F146">
        <v>1</v>
      </c>
      <c r="G146">
        <v>1</v>
      </c>
      <c r="H146">
        <v>1</v>
      </c>
      <c r="I146" t="s">
        <v>521</v>
      </c>
      <c r="J146" t="s">
        <v>3</v>
      </c>
      <c r="K146" t="s">
        <v>522</v>
      </c>
      <c r="L146">
        <v>1191</v>
      </c>
      <c r="N146">
        <v>1013</v>
      </c>
      <c r="O146" t="s">
        <v>394</v>
      </c>
      <c r="P146" t="s">
        <v>394</v>
      </c>
      <c r="Q146">
        <v>1</v>
      </c>
      <c r="W146">
        <v>0</v>
      </c>
      <c r="X146">
        <v>229328897</v>
      </c>
      <c r="Y146">
        <f>(AT146*1.15)</f>
        <v>27.369999999999997</v>
      </c>
      <c r="AA146">
        <v>0</v>
      </c>
      <c r="AB146">
        <v>0</v>
      </c>
      <c r="AC146">
        <v>0</v>
      </c>
      <c r="AD146">
        <v>379.85</v>
      </c>
      <c r="AE146">
        <v>0</v>
      </c>
      <c r="AF146">
        <v>0</v>
      </c>
      <c r="AG146">
        <v>0</v>
      </c>
      <c r="AH146">
        <v>8.31</v>
      </c>
      <c r="AI146">
        <v>1</v>
      </c>
      <c r="AJ146">
        <v>1</v>
      </c>
      <c r="AK146">
        <v>1</v>
      </c>
      <c r="AL146">
        <v>45.71</v>
      </c>
      <c r="AM146">
        <v>4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23.8</v>
      </c>
      <c r="AU146" t="s">
        <v>43</v>
      </c>
      <c r="AV146">
        <v>1</v>
      </c>
      <c r="AW146">
        <v>2</v>
      </c>
      <c r="AX146">
        <v>145197612</v>
      </c>
      <c r="AY146">
        <v>1</v>
      </c>
      <c r="AZ146">
        <v>0</v>
      </c>
      <c r="BA146">
        <v>146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ROUND(Y146*Source!I129,9)</f>
        <v>156.28270000000001</v>
      </c>
      <c r="CY146">
        <f>AD146</f>
        <v>379.85</v>
      </c>
      <c r="CZ146">
        <f>AH146</f>
        <v>8.31</v>
      </c>
      <c r="DA146">
        <f>AL146</f>
        <v>45.71</v>
      </c>
      <c r="DB146">
        <f>ROUND((ROUND(AT146*CZ146,2)*1.15),2)</f>
        <v>227.45</v>
      </c>
      <c r="DC146">
        <f>ROUND((ROUND(AT146*AG146,2)*1.15),2)</f>
        <v>0</v>
      </c>
      <c r="DD146" t="s">
        <v>3</v>
      </c>
      <c r="DE146" t="s">
        <v>3</v>
      </c>
      <c r="DF146">
        <f>ROUND(ROUND(AE146,2)*CX146,2)</f>
        <v>0</v>
      </c>
      <c r="DG146">
        <f>ROUND(ROUND(AF146,2)*CX146,2)</f>
        <v>0</v>
      </c>
      <c r="DH146">
        <f>ROUND(ROUND(AG146,2)*CX146,2)</f>
        <v>0</v>
      </c>
      <c r="DI146">
        <f>ROUND(ROUND(AH146*AL146,2)*CX146,2)</f>
        <v>59363.98</v>
      </c>
      <c r="DJ146">
        <f>DI146</f>
        <v>59363.98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ROW(Source!A129)</f>
        <v>129</v>
      </c>
      <c r="B147">
        <v>145185703</v>
      </c>
      <c r="C147">
        <v>145197611</v>
      </c>
      <c r="D147">
        <v>140760225</v>
      </c>
      <c r="E147">
        <v>70</v>
      </c>
      <c r="F147">
        <v>1</v>
      </c>
      <c r="G147">
        <v>1</v>
      </c>
      <c r="H147">
        <v>1</v>
      </c>
      <c r="I147" t="s">
        <v>403</v>
      </c>
      <c r="J147" t="s">
        <v>3</v>
      </c>
      <c r="K147" t="s">
        <v>404</v>
      </c>
      <c r="L147">
        <v>1191</v>
      </c>
      <c r="N147">
        <v>1013</v>
      </c>
      <c r="O147" t="s">
        <v>394</v>
      </c>
      <c r="P147" t="s">
        <v>394</v>
      </c>
      <c r="Q147">
        <v>1</v>
      </c>
      <c r="W147">
        <v>0</v>
      </c>
      <c r="X147">
        <v>-1417349443</v>
      </c>
      <c r="Y147">
        <f>(AT147*1.25)</f>
        <v>0.46250000000000002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45.71</v>
      </c>
      <c r="AL147">
        <v>1</v>
      </c>
      <c r="AM147">
        <v>4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0.37</v>
      </c>
      <c r="AU147" t="s">
        <v>42</v>
      </c>
      <c r="AV147">
        <v>2</v>
      </c>
      <c r="AW147">
        <v>2</v>
      </c>
      <c r="AX147">
        <v>145197613</v>
      </c>
      <c r="AY147">
        <v>1</v>
      </c>
      <c r="AZ147">
        <v>0</v>
      </c>
      <c r="BA147">
        <v>147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ROUND(Y147*Source!I129,9)</f>
        <v>2.6408749999999999</v>
      </c>
      <c r="CY147">
        <f>AD147</f>
        <v>0</v>
      </c>
      <c r="CZ147">
        <f>AH147</f>
        <v>0</v>
      </c>
      <c r="DA147">
        <f>AL147</f>
        <v>1</v>
      </c>
      <c r="DB147">
        <f>ROUND((ROUND(AT147*CZ147,2)*1.25),2)</f>
        <v>0</v>
      </c>
      <c r="DC147">
        <f>ROUND((ROUND(AT147*AG147,2)*1.25),2)</f>
        <v>0</v>
      </c>
      <c r="DD147" t="s">
        <v>3</v>
      </c>
      <c r="DE147" t="s">
        <v>3</v>
      </c>
      <c r="DF147">
        <f>ROUND(ROUND(AE147,2)*CX147,2)</f>
        <v>0</v>
      </c>
      <c r="DG147">
        <f>ROUND(ROUND(AF147,2)*CX147,2)</f>
        <v>0</v>
      </c>
      <c r="DH147">
        <f>ROUND(ROUND(AG147*AK147,2)*CX147,2)</f>
        <v>0</v>
      </c>
      <c r="DI147">
        <f t="shared" ref="DI147:DI157" si="65">ROUND(ROUND(AH147,2)*CX147,2)</f>
        <v>0</v>
      </c>
      <c r="DJ147">
        <f>DI147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ROW(Source!A129)</f>
        <v>129</v>
      </c>
      <c r="B148">
        <v>145185703</v>
      </c>
      <c r="C148">
        <v>145197611</v>
      </c>
      <c r="D148">
        <v>140922951</v>
      </c>
      <c r="E148">
        <v>1</v>
      </c>
      <c r="F148">
        <v>1</v>
      </c>
      <c r="G148">
        <v>1</v>
      </c>
      <c r="H148">
        <v>2</v>
      </c>
      <c r="I148" t="s">
        <v>408</v>
      </c>
      <c r="J148" t="s">
        <v>409</v>
      </c>
      <c r="K148" t="s">
        <v>410</v>
      </c>
      <c r="L148">
        <v>1367</v>
      </c>
      <c r="N148">
        <v>1011</v>
      </c>
      <c r="O148" t="s">
        <v>398</v>
      </c>
      <c r="P148" t="s">
        <v>398</v>
      </c>
      <c r="Q148">
        <v>1</v>
      </c>
      <c r="W148">
        <v>0</v>
      </c>
      <c r="X148">
        <v>-430484415</v>
      </c>
      <c r="Y148">
        <f>(AT148*1.25)</f>
        <v>0.1875</v>
      </c>
      <c r="AA148">
        <v>0</v>
      </c>
      <c r="AB148">
        <v>1547.51</v>
      </c>
      <c r="AC148">
        <v>617.09</v>
      </c>
      <c r="AD148">
        <v>0</v>
      </c>
      <c r="AE148">
        <v>0</v>
      </c>
      <c r="AF148">
        <v>115.4</v>
      </c>
      <c r="AG148">
        <v>13.5</v>
      </c>
      <c r="AH148">
        <v>0</v>
      </c>
      <c r="AI148">
        <v>1</v>
      </c>
      <c r="AJ148">
        <v>13.41</v>
      </c>
      <c r="AK148">
        <v>45.71</v>
      </c>
      <c r="AL148">
        <v>1</v>
      </c>
      <c r="AM148">
        <v>4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0.15</v>
      </c>
      <c r="AU148" t="s">
        <v>42</v>
      </c>
      <c r="AV148">
        <v>0</v>
      </c>
      <c r="AW148">
        <v>2</v>
      </c>
      <c r="AX148">
        <v>145197614</v>
      </c>
      <c r="AY148">
        <v>1</v>
      </c>
      <c r="AZ148">
        <v>0</v>
      </c>
      <c r="BA148">
        <v>148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ROUND(Y148*Source!I129,9)</f>
        <v>1.0706249999999999</v>
      </c>
      <c r="CY148">
        <f>AB148</f>
        <v>1547.51</v>
      </c>
      <c r="CZ148">
        <f>AF148</f>
        <v>115.4</v>
      </c>
      <c r="DA148">
        <f>AJ148</f>
        <v>13.41</v>
      </c>
      <c r="DB148">
        <f>ROUND((ROUND(AT148*CZ148,2)*1.25),2)</f>
        <v>21.64</v>
      </c>
      <c r="DC148">
        <f>ROUND((ROUND(AT148*AG148,2)*1.25),2)</f>
        <v>2.54</v>
      </c>
      <c r="DD148" t="s">
        <v>3</v>
      </c>
      <c r="DE148" t="s">
        <v>3</v>
      </c>
      <c r="DF148">
        <f>ROUND(ROUND(AE148,2)*CX148,2)</f>
        <v>0</v>
      </c>
      <c r="DG148">
        <f>ROUND(ROUND(AF148*AJ148,2)*CX148,2)</f>
        <v>1656.8</v>
      </c>
      <c r="DH148">
        <f>ROUND(ROUND(AG148*AK148,2)*CX148,2)</f>
        <v>660.67</v>
      </c>
      <c r="DI148">
        <f t="shared" si="65"/>
        <v>0</v>
      </c>
      <c r="DJ148">
        <f>DG148</f>
        <v>1656.8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ROW(Source!A129)</f>
        <v>129</v>
      </c>
      <c r="B149">
        <v>145185703</v>
      </c>
      <c r="C149">
        <v>145197611</v>
      </c>
      <c r="D149">
        <v>140923885</v>
      </c>
      <c r="E149">
        <v>1</v>
      </c>
      <c r="F149">
        <v>1</v>
      </c>
      <c r="G149">
        <v>1</v>
      </c>
      <c r="H149">
        <v>2</v>
      </c>
      <c r="I149" t="s">
        <v>417</v>
      </c>
      <c r="J149" t="s">
        <v>418</v>
      </c>
      <c r="K149" t="s">
        <v>419</v>
      </c>
      <c r="L149">
        <v>1367</v>
      </c>
      <c r="N149">
        <v>1011</v>
      </c>
      <c r="O149" t="s">
        <v>398</v>
      </c>
      <c r="P149" t="s">
        <v>398</v>
      </c>
      <c r="Q149">
        <v>1</v>
      </c>
      <c r="W149">
        <v>0</v>
      </c>
      <c r="X149">
        <v>509054691</v>
      </c>
      <c r="Y149">
        <f>(AT149*1.25)</f>
        <v>0.27500000000000002</v>
      </c>
      <c r="AA149">
        <v>0</v>
      </c>
      <c r="AB149">
        <v>881.17</v>
      </c>
      <c r="AC149">
        <v>530.24</v>
      </c>
      <c r="AD149">
        <v>0</v>
      </c>
      <c r="AE149">
        <v>0</v>
      </c>
      <c r="AF149">
        <v>65.709999999999994</v>
      </c>
      <c r="AG149">
        <v>11.6</v>
      </c>
      <c r="AH149">
        <v>0</v>
      </c>
      <c r="AI149">
        <v>1</v>
      </c>
      <c r="AJ149">
        <v>13.41</v>
      </c>
      <c r="AK149">
        <v>45.71</v>
      </c>
      <c r="AL149">
        <v>1</v>
      </c>
      <c r="AM149">
        <v>4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0.22</v>
      </c>
      <c r="AU149" t="s">
        <v>42</v>
      </c>
      <c r="AV149">
        <v>0</v>
      </c>
      <c r="AW149">
        <v>2</v>
      </c>
      <c r="AX149">
        <v>145197615</v>
      </c>
      <c r="AY149">
        <v>1</v>
      </c>
      <c r="AZ149">
        <v>0</v>
      </c>
      <c r="BA149">
        <v>149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ROUND(Y149*Source!I129,9)</f>
        <v>1.5702499999999999</v>
      </c>
      <c r="CY149">
        <f>AB149</f>
        <v>881.17</v>
      </c>
      <c r="CZ149">
        <f>AF149</f>
        <v>65.709999999999994</v>
      </c>
      <c r="DA149">
        <f>AJ149</f>
        <v>13.41</v>
      </c>
      <c r="DB149">
        <f>ROUND((ROUND(AT149*CZ149,2)*1.25),2)</f>
        <v>18.079999999999998</v>
      </c>
      <c r="DC149">
        <f>ROUND((ROUND(AT149*AG149,2)*1.25),2)</f>
        <v>3.19</v>
      </c>
      <c r="DD149" t="s">
        <v>3</v>
      </c>
      <c r="DE149" t="s">
        <v>3</v>
      </c>
      <c r="DF149">
        <f>ROUND(ROUND(AE149,2)*CX149,2)</f>
        <v>0</v>
      </c>
      <c r="DG149">
        <f>ROUND(ROUND(AF149*AJ149,2)*CX149,2)</f>
        <v>1383.66</v>
      </c>
      <c r="DH149">
        <f>ROUND(ROUND(AG149*AK149,2)*CX149,2)</f>
        <v>832.61</v>
      </c>
      <c r="DI149">
        <f t="shared" si="65"/>
        <v>0</v>
      </c>
      <c r="DJ149">
        <f>DG149</f>
        <v>1383.66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ROW(Source!A129)</f>
        <v>129</v>
      </c>
      <c r="B150">
        <v>145185703</v>
      </c>
      <c r="C150">
        <v>145197611</v>
      </c>
      <c r="D150">
        <v>140775118</v>
      </c>
      <c r="E150">
        <v>1</v>
      </c>
      <c r="F150">
        <v>1</v>
      </c>
      <c r="G150">
        <v>1</v>
      </c>
      <c r="H150">
        <v>3</v>
      </c>
      <c r="I150" t="s">
        <v>500</v>
      </c>
      <c r="J150" t="s">
        <v>501</v>
      </c>
      <c r="K150" t="s">
        <v>502</v>
      </c>
      <c r="L150">
        <v>1348</v>
      </c>
      <c r="N150">
        <v>1009</v>
      </c>
      <c r="O150" t="s">
        <v>21</v>
      </c>
      <c r="P150" t="s">
        <v>21</v>
      </c>
      <c r="Q150">
        <v>1000</v>
      </c>
      <c r="W150">
        <v>0</v>
      </c>
      <c r="X150">
        <v>-45966985</v>
      </c>
      <c r="Y150">
        <f t="shared" ref="Y150:Y157" si="66">AT150</f>
        <v>7.1999999999999998E-3</v>
      </c>
      <c r="AA150">
        <v>100375.64</v>
      </c>
      <c r="AB150">
        <v>0</v>
      </c>
      <c r="AC150">
        <v>0</v>
      </c>
      <c r="AD150">
        <v>0</v>
      </c>
      <c r="AE150">
        <v>11978</v>
      </c>
      <c r="AF150">
        <v>0</v>
      </c>
      <c r="AG150">
        <v>0</v>
      </c>
      <c r="AH150">
        <v>0</v>
      </c>
      <c r="AI150">
        <v>8.3800000000000008</v>
      </c>
      <c r="AJ150">
        <v>1</v>
      </c>
      <c r="AK150">
        <v>1</v>
      </c>
      <c r="AL150">
        <v>1</v>
      </c>
      <c r="AM150">
        <v>4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7.1999999999999998E-3</v>
      </c>
      <c r="AU150" t="s">
        <v>3</v>
      </c>
      <c r="AV150">
        <v>0</v>
      </c>
      <c r="AW150">
        <v>2</v>
      </c>
      <c r="AX150">
        <v>145197616</v>
      </c>
      <c r="AY150">
        <v>1</v>
      </c>
      <c r="AZ150">
        <v>0</v>
      </c>
      <c r="BA150">
        <v>150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ROUND(Y150*Source!I129,9)</f>
        <v>4.1112000000000003E-2</v>
      </c>
      <c r="CY150">
        <f t="shared" ref="CY150:CY157" si="67">AA150</f>
        <v>100375.64</v>
      </c>
      <c r="CZ150">
        <f t="shared" ref="CZ150:CZ157" si="68">AE150</f>
        <v>11978</v>
      </c>
      <c r="DA150">
        <f t="shared" ref="DA150:DA157" si="69">AI150</f>
        <v>8.3800000000000008</v>
      </c>
      <c r="DB150">
        <f t="shared" ref="DB150:DB157" si="70">ROUND(ROUND(AT150*CZ150,2),2)</f>
        <v>86.24</v>
      </c>
      <c r="DC150">
        <f t="shared" ref="DC150:DC157" si="71">ROUND(ROUND(AT150*AG150,2),2)</f>
        <v>0</v>
      </c>
      <c r="DD150" t="s">
        <v>3</v>
      </c>
      <c r="DE150" t="s">
        <v>3</v>
      </c>
      <c r="DF150">
        <f t="shared" ref="DF150:DF157" si="72">ROUND(ROUND(AE150*AI150,2)*CX150,2)</f>
        <v>4126.6400000000003</v>
      </c>
      <c r="DG150">
        <f t="shared" ref="DG150:DG159" si="73">ROUND(ROUND(AF150,2)*CX150,2)</f>
        <v>0</v>
      </c>
      <c r="DH150">
        <f t="shared" ref="DH150:DH158" si="74">ROUND(ROUND(AG150,2)*CX150,2)</f>
        <v>0</v>
      </c>
      <c r="DI150">
        <f t="shared" si="65"/>
        <v>0</v>
      </c>
      <c r="DJ150">
        <f t="shared" ref="DJ150:DJ157" si="75">DF150</f>
        <v>4126.6400000000003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ROW(Source!A129)</f>
        <v>129</v>
      </c>
      <c r="B151">
        <v>145185703</v>
      </c>
      <c r="C151">
        <v>145197611</v>
      </c>
      <c r="D151">
        <v>140790834</v>
      </c>
      <c r="E151">
        <v>1</v>
      </c>
      <c r="F151">
        <v>1</v>
      </c>
      <c r="G151">
        <v>1</v>
      </c>
      <c r="H151">
        <v>3</v>
      </c>
      <c r="I151" t="s">
        <v>523</v>
      </c>
      <c r="J151" t="s">
        <v>524</v>
      </c>
      <c r="K151" t="s">
        <v>525</v>
      </c>
      <c r="L151">
        <v>1348</v>
      </c>
      <c r="N151">
        <v>1009</v>
      </c>
      <c r="O151" t="s">
        <v>21</v>
      </c>
      <c r="P151" t="s">
        <v>21</v>
      </c>
      <c r="Q151">
        <v>1000</v>
      </c>
      <c r="W151">
        <v>0</v>
      </c>
      <c r="X151">
        <v>-807853778</v>
      </c>
      <c r="Y151">
        <f t="shared" si="66"/>
        <v>3.7999999999999999E-2</v>
      </c>
      <c r="AA151">
        <v>50187.82</v>
      </c>
      <c r="AB151">
        <v>0</v>
      </c>
      <c r="AC151">
        <v>0</v>
      </c>
      <c r="AD151">
        <v>0</v>
      </c>
      <c r="AE151">
        <v>5989</v>
      </c>
      <c r="AF151">
        <v>0</v>
      </c>
      <c r="AG151">
        <v>0</v>
      </c>
      <c r="AH151">
        <v>0</v>
      </c>
      <c r="AI151">
        <v>8.3800000000000008</v>
      </c>
      <c r="AJ151">
        <v>1</v>
      </c>
      <c r="AK151">
        <v>1</v>
      </c>
      <c r="AL151">
        <v>1</v>
      </c>
      <c r="AM151">
        <v>4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3.7999999999999999E-2</v>
      </c>
      <c r="AU151" t="s">
        <v>3</v>
      </c>
      <c r="AV151">
        <v>0</v>
      </c>
      <c r="AW151">
        <v>2</v>
      </c>
      <c r="AX151">
        <v>145197617</v>
      </c>
      <c r="AY151">
        <v>1</v>
      </c>
      <c r="AZ151">
        <v>0</v>
      </c>
      <c r="BA151">
        <v>151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ROUND(Y151*Source!I129,9)</f>
        <v>0.21698000000000001</v>
      </c>
      <c r="CY151">
        <f t="shared" si="67"/>
        <v>50187.82</v>
      </c>
      <c r="CZ151">
        <f t="shared" si="68"/>
        <v>5989</v>
      </c>
      <c r="DA151">
        <f t="shared" si="69"/>
        <v>8.3800000000000008</v>
      </c>
      <c r="DB151">
        <f t="shared" si="70"/>
        <v>227.58</v>
      </c>
      <c r="DC151">
        <f t="shared" si="71"/>
        <v>0</v>
      </c>
      <c r="DD151" t="s">
        <v>3</v>
      </c>
      <c r="DE151" t="s">
        <v>3</v>
      </c>
      <c r="DF151">
        <f t="shared" si="72"/>
        <v>10889.75</v>
      </c>
      <c r="DG151">
        <f t="shared" si="73"/>
        <v>0</v>
      </c>
      <c r="DH151">
        <f t="shared" si="74"/>
        <v>0</v>
      </c>
      <c r="DI151">
        <f t="shared" si="65"/>
        <v>0</v>
      </c>
      <c r="DJ151">
        <f t="shared" si="75"/>
        <v>10889.75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ROW(Source!A129)</f>
        <v>129</v>
      </c>
      <c r="B152">
        <v>145185703</v>
      </c>
      <c r="C152">
        <v>145197611</v>
      </c>
      <c r="D152">
        <v>140792339</v>
      </c>
      <c r="E152">
        <v>1</v>
      </c>
      <c r="F152">
        <v>1</v>
      </c>
      <c r="G152">
        <v>1</v>
      </c>
      <c r="H152">
        <v>3</v>
      </c>
      <c r="I152" t="s">
        <v>451</v>
      </c>
      <c r="J152" t="s">
        <v>452</v>
      </c>
      <c r="K152" t="s">
        <v>453</v>
      </c>
      <c r="L152">
        <v>1348</v>
      </c>
      <c r="N152">
        <v>1009</v>
      </c>
      <c r="O152" t="s">
        <v>21</v>
      </c>
      <c r="P152" t="s">
        <v>21</v>
      </c>
      <c r="Q152">
        <v>1000</v>
      </c>
      <c r="W152">
        <v>0</v>
      </c>
      <c r="X152">
        <v>-120483918</v>
      </c>
      <c r="Y152">
        <f t="shared" si="66"/>
        <v>4.3800000000000002E-3</v>
      </c>
      <c r="AA152">
        <v>37334.58</v>
      </c>
      <c r="AB152">
        <v>0</v>
      </c>
      <c r="AC152">
        <v>0</v>
      </c>
      <c r="AD152">
        <v>0</v>
      </c>
      <c r="AE152">
        <v>4455.2</v>
      </c>
      <c r="AF152">
        <v>0</v>
      </c>
      <c r="AG152">
        <v>0</v>
      </c>
      <c r="AH152">
        <v>0</v>
      </c>
      <c r="AI152">
        <v>8.3800000000000008</v>
      </c>
      <c r="AJ152">
        <v>1</v>
      </c>
      <c r="AK152">
        <v>1</v>
      </c>
      <c r="AL152">
        <v>1</v>
      </c>
      <c r="AM152">
        <v>4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4.3800000000000002E-3</v>
      </c>
      <c r="AU152" t="s">
        <v>3</v>
      </c>
      <c r="AV152">
        <v>0</v>
      </c>
      <c r="AW152">
        <v>2</v>
      </c>
      <c r="AX152">
        <v>145197618</v>
      </c>
      <c r="AY152">
        <v>1</v>
      </c>
      <c r="AZ152">
        <v>0</v>
      </c>
      <c r="BA152">
        <v>152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ROUND(Y152*Source!I129,9)</f>
        <v>2.5009799999999999E-2</v>
      </c>
      <c r="CY152">
        <f t="shared" si="67"/>
        <v>37334.58</v>
      </c>
      <c r="CZ152">
        <f t="shared" si="68"/>
        <v>4455.2</v>
      </c>
      <c r="DA152">
        <f t="shared" si="69"/>
        <v>8.3800000000000008</v>
      </c>
      <c r="DB152">
        <f t="shared" si="70"/>
        <v>19.510000000000002</v>
      </c>
      <c r="DC152">
        <f t="shared" si="71"/>
        <v>0</v>
      </c>
      <c r="DD152" t="s">
        <v>3</v>
      </c>
      <c r="DE152" t="s">
        <v>3</v>
      </c>
      <c r="DF152">
        <f t="shared" si="72"/>
        <v>933.73</v>
      </c>
      <c r="DG152">
        <f t="shared" si="73"/>
        <v>0</v>
      </c>
      <c r="DH152">
        <f t="shared" si="74"/>
        <v>0</v>
      </c>
      <c r="DI152">
        <f t="shared" si="65"/>
        <v>0</v>
      </c>
      <c r="DJ152">
        <f t="shared" si="75"/>
        <v>933.73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ROW(Source!A129)</f>
        <v>129</v>
      </c>
      <c r="B153">
        <v>145185703</v>
      </c>
      <c r="C153">
        <v>145197611</v>
      </c>
      <c r="D153">
        <v>140796352</v>
      </c>
      <c r="E153">
        <v>1</v>
      </c>
      <c r="F153">
        <v>1</v>
      </c>
      <c r="G153">
        <v>1</v>
      </c>
      <c r="H153">
        <v>3</v>
      </c>
      <c r="I153" t="s">
        <v>281</v>
      </c>
      <c r="J153" t="s">
        <v>283</v>
      </c>
      <c r="K153" t="s">
        <v>282</v>
      </c>
      <c r="L153">
        <v>1339</v>
      </c>
      <c r="N153">
        <v>1007</v>
      </c>
      <c r="O153" t="s">
        <v>141</v>
      </c>
      <c r="P153" t="s">
        <v>141</v>
      </c>
      <c r="Q153">
        <v>1</v>
      </c>
      <c r="W153">
        <v>1</v>
      </c>
      <c r="X153">
        <v>-1365085067</v>
      </c>
      <c r="Y153">
        <f t="shared" si="66"/>
        <v>-0.16</v>
      </c>
      <c r="AA153">
        <v>13416.38</v>
      </c>
      <c r="AB153">
        <v>0</v>
      </c>
      <c r="AC153">
        <v>0</v>
      </c>
      <c r="AD153">
        <v>0</v>
      </c>
      <c r="AE153">
        <v>1601</v>
      </c>
      <c r="AF153">
        <v>0</v>
      </c>
      <c r="AG153">
        <v>0</v>
      </c>
      <c r="AH153">
        <v>0</v>
      </c>
      <c r="AI153">
        <v>8.3800000000000008</v>
      </c>
      <c r="AJ153">
        <v>1</v>
      </c>
      <c r="AK153">
        <v>1</v>
      </c>
      <c r="AL153">
        <v>1</v>
      </c>
      <c r="AM153">
        <v>4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-0.16</v>
      </c>
      <c r="AU153" t="s">
        <v>3</v>
      </c>
      <c r="AV153">
        <v>0</v>
      </c>
      <c r="AW153">
        <v>2</v>
      </c>
      <c r="AX153">
        <v>145197619</v>
      </c>
      <c r="AY153">
        <v>1</v>
      </c>
      <c r="AZ153">
        <v>6144</v>
      </c>
      <c r="BA153">
        <v>153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ROUND(Y153*Source!I129,9)</f>
        <v>-0.91359999999999997</v>
      </c>
      <c r="CY153">
        <f t="shared" si="67"/>
        <v>13416.38</v>
      </c>
      <c r="CZ153">
        <f t="shared" si="68"/>
        <v>1601</v>
      </c>
      <c r="DA153">
        <f t="shared" si="69"/>
        <v>8.3800000000000008</v>
      </c>
      <c r="DB153">
        <f t="shared" si="70"/>
        <v>-256.16000000000003</v>
      </c>
      <c r="DC153">
        <f t="shared" si="71"/>
        <v>0</v>
      </c>
      <c r="DD153" t="s">
        <v>3</v>
      </c>
      <c r="DE153" t="s">
        <v>3</v>
      </c>
      <c r="DF153">
        <f t="shared" si="72"/>
        <v>-12257.2</v>
      </c>
      <c r="DG153">
        <f t="shared" si="73"/>
        <v>0</v>
      </c>
      <c r="DH153">
        <f t="shared" si="74"/>
        <v>0</v>
      </c>
      <c r="DI153">
        <f t="shared" si="65"/>
        <v>0</v>
      </c>
      <c r="DJ153">
        <f t="shared" si="75"/>
        <v>-12257.2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ROW(Source!A129)</f>
        <v>129</v>
      </c>
      <c r="B154">
        <v>145185703</v>
      </c>
      <c r="C154">
        <v>145197611</v>
      </c>
      <c r="D154">
        <v>140796356</v>
      </c>
      <c r="E154">
        <v>1</v>
      </c>
      <c r="F154">
        <v>1</v>
      </c>
      <c r="G154">
        <v>1</v>
      </c>
      <c r="H154">
        <v>3</v>
      </c>
      <c r="I154" t="s">
        <v>285</v>
      </c>
      <c r="J154" t="s">
        <v>287</v>
      </c>
      <c r="K154" t="s">
        <v>286</v>
      </c>
      <c r="L154">
        <v>1339</v>
      </c>
      <c r="N154">
        <v>1007</v>
      </c>
      <c r="O154" t="s">
        <v>141</v>
      </c>
      <c r="P154" t="s">
        <v>141</v>
      </c>
      <c r="Q154">
        <v>1</v>
      </c>
      <c r="W154">
        <v>1</v>
      </c>
      <c r="X154">
        <v>1697255399</v>
      </c>
      <c r="Y154">
        <f t="shared" si="66"/>
        <v>-0.06</v>
      </c>
      <c r="AA154">
        <v>16592.400000000001</v>
      </c>
      <c r="AB154">
        <v>0</v>
      </c>
      <c r="AC154">
        <v>0</v>
      </c>
      <c r="AD154">
        <v>0</v>
      </c>
      <c r="AE154">
        <v>1980</v>
      </c>
      <c r="AF154">
        <v>0</v>
      </c>
      <c r="AG154">
        <v>0</v>
      </c>
      <c r="AH154">
        <v>0</v>
      </c>
      <c r="AI154">
        <v>8.3800000000000008</v>
      </c>
      <c r="AJ154">
        <v>1</v>
      </c>
      <c r="AK154">
        <v>1</v>
      </c>
      <c r="AL154">
        <v>1</v>
      </c>
      <c r="AM154">
        <v>4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-0.06</v>
      </c>
      <c r="AU154" t="s">
        <v>3</v>
      </c>
      <c r="AV154">
        <v>0</v>
      </c>
      <c r="AW154">
        <v>2</v>
      </c>
      <c r="AX154">
        <v>145197620</v>
      </c>
      <c r="AY154">
        <v>1</v>
      </c>
      <c r="AZ154">
        <v>6144</v>
      </c>
      <c r="BA154">
        <v>154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ROUND(Y154*Source!I129,9)</f>
        <v>-0.34260000000000002</v>
      </c>
      <c r="CY154">
        <f t="shared" si="67"/>
        <v>16592.400000000001</v>
      </c>
      <c r="CZ154">
        <f t="shared" si="68"/>
        <v>1980</v>
      </c>
      <c r="DA154">
        <f t="shared" si="69"/>
        <v>8.3800000000000008</v>
      </c>
      <c r="DB154">
        <f t="shared" si="70"/>
        <v>-118.8</v>
      </c>
      <c r="DC154">
        <f t="shared" si="71"/>
        <v>0</v>
      </c>
      <c r="DD154" t="s">
        <v>3</v>
      </c>
      <c r="DE154" t="s">
        <v>3</v>
      </c>
      <c r="DF154">
        <f t="shared" si="72"/>
        <v>-5684.56</v>
      </c>
      <c r="DG154">
        <f t="shared" si="73"/>
        <v>0</v>
      </c>
      <c r="DH154">
        <f t="shared" si="74"/>
        <v>0</v>
      </c>
      <c r="DI154">
        <f t="shared" si="65"/>
        <v>0</v>
      </c>
      <c r="DJ154">
        <f t="shared" si="75"/>
        <v>-5684.56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ROW(Source!A129)</f>
        <v>129</v>
      </c>
      <c r="B155">
        <v>145185703</v>
      </c>
      <c r="C155">
        <v>145197611</v>
      </c>
      <c r="D155">
        <v>140796539</v>
      </c>
      <c r="E155">
        <v>1</v>
      </c>
      <c r="F155">
        <v>1</v>
      </c>
      <c r="G155">
        <v>1</v>
      </c>
      <c r="H155">
        <v>3</v>
      </c>
      <c r="I155" t="s">
        <v>289</v>
      </c>
      <c r="J155" t="s">
        <v>291</v>
      </c>
      <c r="K155" t="s">
        <v>290</v>
      </c>
      <c r="L155">
        <v>1339</v>
      </c>
      <c r="N155">
        <v>1007</v>
      </c>
      <c r="O155" t="s">
        <v>141</v>
      </c>
      <c r="P155" t="s">
        <v>141</v>
      </c>
      <c r="Q155">
        <v>1</v>
      </c>
      <c r="W155">
        <v>1</v>
      </c>
      <c r="X155">
        <v>1629719122</v>
      </c>
      <c r="Y155">
        <f t="shared" si="66"/>
        <v>-0.83</v>
      </c>
      <c r="AA155">
        <v>13173.36</v>
      </c>
      <c r="AB155">
        <v>0</v>
      </c>
      <c r="AC155">
        <v>0</v>
      </c>
      <c r="AD155">
        <v>0</v>
      </c>
      <c r="AE155">
        <v>1572</v>
      </c>
      <c r="AF155">
        <v>0</v>
      </c>
      <c r="AG155">
        <v>0</v>
      </c>
      <c r="AH155">
        <v>0</v>
      </c>
      <c r="AI155">
        <v>8.3800000000000008</v>
      </c>
      <c r="AJ155">
        <v>1</v>
      </c>
      <c r="AK155">
        <v>1</v>
      </c>
      <c r="AL155">
        <v>1</v>
      </c>
      <c r="AM155">
        <v>4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-0.83</v>
      </c>
      <c r="AU155" t="s">
        <v>3</v>
      </c>
      <c r="AV155">
        <v>0</v>
      </c>
      <c r="AW155">
        <v>2</v>
      </c>
      <c r="AX155">
        <v>145197621</v>
      </c>
      <c r="AY155">
        <v>1</v>
      </c>
      <c r="AZ155">
        <v>6144</v>
      </c>
      <c r="BA155">
        <v>155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ROUND(Y155*Source!I129,9)</f>
        <v>-4.7393000000000001</v>
      </c>
      <c r="CY155">
        <f t="shared" si="67"/>
        <v>13173.36</v>
      </c>
      <c r="CZ155">
        <f t="shared" si="68"/>
        <v>1572</v>
      </c>
      <c r="DA155">
        <f t="shared" si="69"/>
        <v>8.3800000000000008</v>
      </c>
      <c r="DB155">
        <f t="shared" si="70"/>
        <v>-1304.76</v>
      </c>
      <c r="DC155">
        <f t="shared" si="71"/>
        <v>0</v>
      </c>
      <c r="DD155" t="s">
        <v>3</v>
      </c>
      <c r="DE155" t="s">
        <v>3</v>
      </c>
      <c r="DF155">
        <f t="shared" si="72"/>
        <v>-62432.51</v>
      </c>
      <c r="DG155">
        <f t="shared" si="73"/>
        <v>0</v>
      </c>
      <c r="DH155">
        <f t="shared" si="74"/>
        <v>0</v>
      </c>
      <c r="DI155">
        <f t="shared" si="65"/>
        <v>0</v>
      </c>
      <c r="DJ155">
        <f t="shared" si="75"/>
        <v>-62432.51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ROW(Source!A129)</f>
        <v>129</v>
      </c>
      <c r="B156">
        <v>145185703</v>
      </c>
      <c r="C156">
        <v>145197611</v>
      </c>
      <c r="D156">
        <v>140798954</v>
      </c>
      <c r="E156">
        <v>1</v>
      </c>
      <c r="F156">
        <v>1</v>
      </c>
      <c r="G156">
        <v>1</v>
      </c>
      <c r="H156">
        <v>3</v>
      </c>
      <c r="I156" t="s">
        <v>526</v>
      </c>
      <c r="J156" t="s">
        <v>527</v>
      </c>
      <c r="K156" t="s">
        <v>528</v>
      </c>
      <c r="L156">
        <v>1327</v>
      </c>
      <c r="N156">
        <v>1005</v>
      </c>
      <c r="O156" t="s">
        <v>53</v>
      </c>
      <c r="P156" t="s">
        <v>53</v>
      </c>
      <c r="Q156">
        <v>1</v>
      </c>
      <c r="W156">
        <v>0</v>
      </c>
      <c r="X156">
        <v>1262617901</v>
      </c>
      <c r="Y156">
        <f t="shared" si="66"/>
        <v>3.38</v>
      </c>
      <c r="AA156">
        <v>62.51</v>
      </c>
      <c r="AB156">
        <v>0</v>
      </c>
      <c r="AC156">
        <v>0</v>
      </c>
      <c r="AD156">
        <v>0</v>
      </c>
      <c r="AE156">
        <v>7.46</v>
      </c>
      <c r="AF156">
        <v>0</v>
      </c>
      <c r="AG156">
        <v>0</v>
      </c>
      <c r="AH156">
        <v>0</v>
      </c>
      <c r="AI156">
        <v>8.3800000000000008</v>
      </c>
      <c r="AJ156">
        <v>1</v>
      </c>
      <c r="AK156">
        <v>1</v>
      </c>
      <c r="AL156">
        <v>1</v>
      </c>
      <c r="AM156">
        <v>4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3.38</v>
      </c>
      <c r="AU156" t="s">
        <v>3</v>
      </c>
      <c r="AV156">
        <v>0</v>
      </c>
      <c r="AW156">
        <v>2</v>
      </c>
      <c r="AX156">
        <v>145197622</v>
      </c>
      <c r="AY156">
        <v>1</v>
      </c>
      <c r="AZ156">
        <v>0</v>
      </c>
      <c r="BA156">
        <v>156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ROUND(Y156*Source!I129,9)</f>
        <v>19.299800000000001</v>
      </c>
      <c r="CY156">
        <f t="shared" si="67"/>
        <v>62.51</v>
      </c>
      <c r="CZ156">
        <f t="shared" si="68"/>
        <v>7.46</v>
      </c>
      <c r="DA156">
        <f t="shared" si="69"/>
        <v>8.3800000000000008</v>
      </c>
      <c r="DB156">
        <f t="shared" si="70"/>
        <v>25.21</v>
      </c>
      <c r="DC156">
        <f t="shared" si="71"/>
        <v>0</v>
      </c>
      <c r="DD156" t="s">
        <v>3</v>
      </c>
      <c r="DE156" t="s">
        <v>3</v>
      </c>
      <c r="DF156">
        <f t="shared" si="72"/>
        <v>1206.43</v>
      </c>
      <c r="DG156">
        <f t="shared" si="73"/>
        <v>0</v>
      </c>
      <c r="DH156">
        <f t="shared" si="74"/>
        <v>0</v>
      </c>
      <c r="DI156">
        <f t="shared" si="65"/>
        <v>0</v>
      </c>
      <c r="DJ156">
        <f t="shared" si="75"/>
        <v>1206.43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ROW(Source!A129)</f>
        <v>129</v>
      </c>
      <c r="B157">
        <v>145185703</v>
      </c>
      <c r="C157">
        <v>145197611</v>
      </c>
      <c r="D157">
        <v>140805027</v>
      </c>
      <c r="E157">
        <v>1</v>
      </c>
      <c r="F157">
        <v>1</v>
      </c>
      <c r="G157">
        <v>1</v>
      </c>
      <c r="H157">
        <v>3</v>
      </c>
      <c r="I157" t="s">
        <v>293</v>
      </c>
      <c r="J157" t="s">
        <v>295</v>
      </c>
      <c r="K157" t="s">
        <v>294</v>
      </c>
      <c r="L157">
        <v>1348</v>
      </c>
      <c r="N157">
        <v>1009</v>
      </c>
      <c r="O157" t="s">
        <v>21</v>
      </c>
      <c r="P157" t="s">
        <v>21</v>
      </c>
      <c r="Q157">
        <v>1000</v>
      </c>
      <c r="W157">
        <v>1</v>
      </c>
      <c r="X157">
        <v>1837692376</v>
      </c>
      <c r="Y157">
        <f t="shared" si="66"/>
        <v>-1.9599999999999999E-3</v>
      </c>
      <c r="AA157">
        <v>127836.9</v>
      </c>
      <c r="AB157">
        <v>0</v>
      </c>
      <c r="AC157">
        <v>0</v>
      </c>
      <c r="AD157">
        <v>0</v>
      </c>
      <c r="AE157">
        <v>15255</v>
      </c>
      <c r="AF157">
        <v>0</v>
      </c>
      <c r="AG157">
        <v>0</v>
      </c>
      <c r="AH157">
        <v>0</v>
      </c>
      <c r="AI157">
        <v>8.3800000000000008</v>
      </c>
      <c r="AJ157">
        <v>1</v>
      </c>
      <c r="AK157">
        <v>1</v>
      </c>
      <c r="AL157">
        <v>1</v>
      </c>
      <c r="AM157">
        <v>4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-1.9599999999999999E-3</v>
      </c>
      <c r="AU157" t="s">
        <v>3</v>
      </c>
      <c r="AV157">
        <v>0</v>
      </c>
      <c r="AW157">
        <v>2</v>
      </c>
      <c r="AX157">
        <v>145197623</v>
      </c>
      <c r="AY157">
        <v>1</v>
      </c>
      <c r="AZ157">
        <v>6144</v>
      </c>
      <c r="BA157">
        <v>157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ROUND(Y157*Source!I129,9)</f>
        <v>-1.1191599999999999E-2</v>
      </c>
      <c r="CY157">
        <f t="shared" si="67"/>
        <v>127836.9</v>
      </c>
      <c r="CZ157">
        <f t="shared" si="68"/>
        <v>15255</v>
      </c>
      <c r="DA157">
        <f t="shared" si="69"/>
        <v>8.3800000000000008</v>
      </c>
      <c r="DB157">
        <f t="shared" si="70"/>
        <v>-29.9</v>
      </c>
      <c r="DC157">
        <f t="shared" si="71"/>
        <v>0</v>
      </c>
      <c r="DD157" t="s">
        <v>3</v>
      </c>
      <c r="DE157" t="s">
        <v>3</v>
      </c>
      <c r="DF157">
        <f t="shared" si="72"/>
        <v>-1430.7</v>
      </c>
      <c r="DG157">
        <f t="shared" si="73"/>
        <v>0</v>
      </c>
      <c r="DH157">
        <f t="shared" si="74"/>
        <v>0</v>
      </c>
      <c r="DI157">
        <f t="shared" si="65"/>
        <v>0</v>
      </c>
      <c r="DJ157">
        <f t="shared" si="75"/>
        <v>-1430.7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ROW(Source!A136)</f>
        <v>136</v>
      </c>
      <c r="B158">
        <v>145185703</v>
      </c>
      <c r="C158">
        <v>145197578</v>
      </c>
      <c r="D158">
        <v>140755435</v>
      </c>
      <c r="E158">
        <v>70</v>
      </c>
      <c r="F158">
        <v>1</v>
      </c>
      <c r="G158">
        <v>1</v>
      </c>
      <c r="H158">
        <v>1</v>
      </c>
      <c r="I158" t="s">
        <v>401</v>
      </c>
      <c r="J158" t="s">
        <v>3</v>
      </c>
      <c r="K158" t="s">
        <v>402</v>
      </c>
      <c r="L158">
        <v>1191</v>
      </c>
      <c r="N158">
        <v>1013</v>
      </c>
      <c r="O158" t="s">
        <v>394</v>
      </c>
      <c r="P158" t="s">
        <v>394</v>
      </c>
      <c r="Q158">
        <v>1</v>
      </c>
      <c r="W158">
        <v>0</v>
      </c>
      <c r="X158">
        <v>784619160</v>
      </c>
      <c r="Y158">
        <f>(AT158*1.15)</f>
        <v>4.6345000000000001</v>
      </c>
      <c r="AA158">
        <v>0</v>
      </c>
      <c r="AB158">
        <v>0</v>
      </c>
      <c r="AC158">
        <v>0</v>
      </c>
      <c r="AD158">
        <v>399.51</v>
      </c>
      <c r="AE158">
        <v>0</v>
      </c>
      <c r="AF158">
        <v>0</v>
      </c>
      <c r="AG158">
        <v>0</v>
      </c>
      <c r="AH158">
        <v>8.74</v>
      </c>
      <c r="AI158">
        <v>1</v>
      </c>
      <c r="AJ158">
        <v>1</v>
      </c>
      <c r="AK158">
        <v>1</v>
      </c>
      <c r="AL158">
        <v>45.71</v>
      </c>
      <c r="AM158">
        <v>4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4.03</v>
      </c>
      <c r="AU158" t="s">
        <v>43</v>
      </c>
      <c r="AV158">
        <v>1</v>
      </c>
      <c r="AW158">
        <v>2</v>
      </c>
      <c r="AX158">
        <v>145197586</v>
      </c>
      <c r="AY158">
        <v>1</v>
      </c>
      <c r="AZ158">
        <v>0</v>
      </c>
      <c r="BA158">
        <v>158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ROUND(Y158*Source!I136,9)</f>
        <v>17.46047875</v>
      </c>
      <c r="CY158">
        <f>AD158</f>
        <v>399.51</v>
      </c>
      <c r="CZ158">
        <f>AH158</f>
        <v>8.74</v>
      </c>
      <c r="DA158">
        <f>AL158</f>
        <v>45.71</v>
      </c>
      <c r="DB158">
        <f>ROUND((ROUND(AT158*CZ158,2)*1.15),2)</f>
        <v>40.5</v>
      </c>
      <c r="DC158">
        <f>ROUND((ROUND(AT158*AG158,2)*1.15),2)</f>
        <v>0</v>
      </c>
      <c r="DD158" t="s">
        <v>3</v>
      </c>
      <c r="DE158" t="s">
        <v>3</v>
      </c>
      <c r="DF158">
        <f>ROUND(ROUND(AE158,2)*CX158,2)</f>
        <v>0</v>
      </c>
      <c r="DG158">
        <f t="shared" si="73"/>
        <v>0</v>
      </c>
      <c r="DH158">
        <f t="shared" si="74"/>
        <v>0</v>
      </c>
      <c r="DI158">
        <f>ROUND(ROUND(AH158*AL158,2)*CX158,2)</f>
        <v>6975.64</v>
      </c>
      <c r="DJ158">
        <f>DI158</f>
        <v>6975.64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ROW(Source!A136)</f>
        <v>136</v>
      </c>
      <c r="B159">
        <v>145185703</v>
      </c>
      <c r="C159">
        <v>145197578</v>
      </c>
      <c r="D159">
        <v>140755491</v>
      </c>
      <c r="E159">
        <v>70</v>
      </c>
      <c r="F159">
        <v>1</v>
      </c>
      <c r="G159">
        <v>1</v>
      </c>
      <c r="H159">
        <v>1</v>
      </c>
      <c r="I159" t="s">
        <v>403</v>
      </c>
      <c r="J159" t="s">
        <v>3</v>
      </c>
      <c r="K159" t="s">
        <v>404</v>
      </c>
      <c r="L159">
        <v>1191</v>
      </c>
      <c r="N159">
        <v>1013</v>
      </c>
      <c r="O159" t="s">
        <v>394</v>
      </c>
      <c r="P159" t="s">
        <v>394</v>
      </c>
      <c r="Q159">
        <v>1</v>
      </c>
      <c r="W159">
        <v>0</v>
      </c>
      <c r="X159">
        <v>-1417349443</v>
      </c>
      <c r="Y159">
        <f>(AT159*1.25)</f>
        <v>7.4999999999999997E-2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45.71</v>
      </c>
      <c r="AL159">
        <v>1</v>
      </c>
      <c r="AM159">
        <v>4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0.06</v>
      </c>
      <c r="AU159" t="s">
        <v>42</v>
      </c>
      <c r="AV159">
        <v>2</v>
      </c>
      <c r="AW159">
        <v>2</v>
      </c>
      <c r="AX159">
        <v>145197587</v>
      </c>
      <c r="AY159">
        <v>1</v>
      </c>
      <c r="AZ159">
        <v>0</v>
      </c>
      <c r="BA159">
        <v>159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ROUND(Y159*Source!I136,9)</f>
        <v>0.28256249999999999</v>
      </c>
      <c r="CY159">
        <f>AD159</f>
        <v>0</v>
      </c>
      <c r="CZ159">
        <f>AH159</f>
        <v>0</v>
      </c>
      <c r="DA159">
        <f>AL159</f>
        <v>1</v>
      </c>
      <c r="DB159">
        <f>ROUND((ROUND(AT159*CZ159,2)*1.25),2)</f>
        <v>0</v>
      </c>
      <c r="DC159">
        <f>ROUND((ROUND(AT159*AG159,2)*1.25),2)</f>
        <v>0</v>
      </c>
      <c r="DD159" t="s">
        <v>3</v>
      </c>
      <c r="DE159" t="s">
        <v>3</v>
      </c>
      <c r="DF159">
        <f>ROUND(ROUND(AE159,2)*CX159,2)</f>
        <v>0</v>
      </c>
      <c r="DG159">
        <f t="shared" si="73"/>
        <v>0</v>
      </c>
      <c r="DH159">
        <f>ROUND(ROUND(AG159*AK159,2)*CX159,2)</f>
        <v>0</v>
      </c>
      <c r="DI159">
        <f t="shared" ref="DI159:DI164" si="76">ROUND(ROUND(AH159,2)*CX159,2)</f>
        <v>0</v>
      </c>
      <c r="DJ159">
        <f>DI159</f>
        <v>0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ROW(Source!A136)</f>
        <v>136</v>
      </c>
      <c r="B160">
        <v>145185703</v>
      </c>
      <c r="C160">
        <v>145197578</v>
      </c>
      <c r="D160">
        <v>140922951</v>
      </c>
      <c r="E160">
        <v>1</v>
      </c>
      <c r="F160">
        <v>1</v>
      </c>
      <c r="G160">
        <v>1</v>
      </c>
      <c r="H160">
        <v>2</v>
      </c>
      <c r="I160" t="s">
        <v>408</v>
      </c>
      <c r="J160" t="s">
        <v>409</v>
      </c>
      <c r="K160" t="s">
        <v>410</v>
      </c>
      <c r="L160">
        <v>1367</v>
      </c>
      <c r="N160">
        <v>1011</v>
      </c>
      <c r="O160" t="s">
        <v>398</v>
      </c>
      <c r="P160" t="s">
        <v>398</v>
      </c>
      <c r="Q160">
        <v>1</v>
      </c>
      <c r="W160">
        <v>0</v>
      </c>
      <c r="X160">
        <v>-430484415</v>
      </c>
      <c r="Y160">
        <f>(AT160*1.25)</f>
        <v>2.5000000000000001E-2</v>
      </c>
      <c r="AA160">
        <v>0</v>
      </c>
      <c r="AB160">
        <v>1547.51</v>
      </c>
      <c r="AC160">
        <v>617.09</v>
      </c>
      <c r="AD160">
        <v>0</v>
      </c>
      <c r="AE160">
        <v>0</v>
      </c>
      <c r="AF160">
        <v>115.4</v>
      </c>
      <c r="AG160">
        <v>13.5</v>
      </c>
      <c r="AH160">
        <v>0</v>
      </c>
      <c r="AI160">
        <v>1</v>
      </c>
      <c r="AJ160">
        <v>13.41</v>
      </c>
      <c r="AK160">
        <v>45.71</v>
      </c>
      <c r="AL160">
        <v>1</v>
      </c>
      <c r="AM160">
        <v>4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0.02</v>
      </c>
      <c r="AU160" t="s">
        <v>42</v>
      </c>
      <c r="AV160">
        <v>0</v>
      </c>
      <c r="AW160">
        <v>2</v>
      </c>
      <c r="AX160">
        <v>145197588</v>
      </c>
      <c r="AY160">
        <v>1</v>
      </c>
      <c r="AZ160">
        <v>0</v>
      </c>
      <c r="BA160">
        <v>160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ROUND(Y160*Source!I136,9)</f>
        <v>9.4187499999999993E-2</v>
      </c>
      <c r="CY160">
        <f>AB160</f>
        <v>1547.51</v>
      </c>
      <c r="CZ160">
        <f>AF160</f>
        <v>115.4</v>
      </c>
      <c r="DA160">
        <f>AJ160</f>
        <v>13.41</v>
      </c>
      <c r="DB160">
        <f>ROUND((ROUND(AT160*CZ160,2)*1.25),2)</f>
        <v>2.89</v>
      </c>
      <c r="DC160">
        <f>ROUND((ROUND(AT160*AG160,2)*1.25),2)</f>
        <v>0.34</v>
      </c>
      <c r="DD160" t="s">
        <v>3</v>
      </c>
      <c r="DE160" t="s">
        <v>3</v>
      </c>
      <c r="DF160">
        <f>ROUND(ROUND(AE160,2)*CX160,2)</f>
        <v>0</v>
      </c>
      <c r="DG160">
        <f>ROUND(ROUND(AF160*AJ160,2)*CX160,2)</f>
        <v>145.76</v>
      </c>
      <c r="DH160">
        <f>ROUND(ROUND(AG160*AK160,2)*CX160,2)</f>
        <v>58.12</v>
      </c>
      <c r="DI160">
        <f t="shared" si="76"/>
        <v>0</v>
      </c>
      <c r="DJ160">
        <f>DG160</f>
        <v>145.76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ROW(Source!A136)</f>
        <v>136</v>
      </c>
      <c r="B161">
        <v>145185703</v>
      </c>
      <c r="C161">
        <v>145197578</v>
      </c>
      <c r="D161">
        <v>140923885</v>
      </c>
      <c r="E161">
        <v>1</v>
      </c>
      <c r="F161">
        <v>1</v>
      </c>
      <c r="G161">
        <v>1</v>
      </c>
      <c r="H161">
        <v>2</v>
      </c>
      <c r="I161" t="s">
        <v>417</v>
      </c>
      <c r="J161" t="s">
        <v>418</v>
      </c>
      <c r="K161" t="s">
        <v>419</v>
      </c>
      <c r="L161">
        <v>1367</v>
      </c>
      <c r="N161">
        <v>1011</v>
      </c>
      <c r="O161" t="s">
        <v>398</v>
      </c>
      <c r="P161" t="s">
        <v>398</v>
      </c>
      <c r="Q161">
        <v>1</v>
      </c>
      <c r="W161">
        <v>0</v>
      </c>
      <c r="X161">
        <v>509054691</v>
      </c>
      <c r="Y161">
        <f>(AT161*1.25)</f>
        <v>0.05</v>
      </c>
      <c r="AA161">
        <v>0</v>
      </c>
      <c r="AB161">
        <v>881.17</v>
      </c>
      <c r="AC161">
        <v>530.24</v>
      </c>
      <c r="AD161">
        <v>0</v>
      </c>
      <c r="AE161">
        <v>0</v>
      </c>
      <c r="AF161">
        <v>65.709999999999994</v>
      </c>
      <c r="AG161">
        <v>11.6</v>
      </c>
      <c r="AH161">
        <v>0</v>
      </c>
      <c r="AI161">
        <v>1</v>
      </c>
      <c r="AJ161">
        <v>13.41</v>
      </c>
      <c r="AK161">
        <v>45.71</v>
      </c>
      <c r="AL161">
        <v>1</v>
      </c>
      <c r="AM161">
        <v>4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0.04</v>
      </c>
      <c r="AU161" t="s">
        <v>42</v>
      </c>
      <c r="AV161">
        <v>0</v>
      </c>
      <c r="AW161">
        <v>2</v>
      </c>
      <c r="AX161">
        <v>145197589</v>
      </c>
      <c r="AY161">
        <v>1</v>
      </c>
      <c r="AZ161">
        <v>0</v>
      </c>
      <c r="BA161">
        <v>161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ROUND(Y161*Source!I136,9)</f>
        <v>0.18837499999999999</v>
      </c>
      <c r="CY161">
        <f>AB161</f>
        <v>881.17</v>
      </c>
      <c r="CZ161">
        <f>AF161</f>
        <v>65.709999999999994</v>
      </c>
      <c r="DA161">
        <f>AJ161</f>
        <v>13.41</v>
      </c>
      <c r="DB161">
        <f>ROUND((ROUND(AT161*CZ161,2)*1.25),2)</f>
        <v>3.29</v>
      </c>
      <c r="DC161">
        <f>ROUND((ROUND(AT161*AG161,2)*1.25),2)</f>
        <v>0.57999999999999996</v>
      </c>
      <c r="DD161" t="s">
        <v>3</v>
      </c>
      <c r="DE161" t="s">
        <v>3</v>
      </c>
      <c r="DF161">
        <f>ROUND(ROUND(AE161,2)*CX161,2)</f>
        <v>0</v>
      </c>
      <c r="DG161">
        <f>ROUND(ROUND(AF161*AJ161,2)*CX161,2)</f>
        <v>165.99</v>
      </c>
      <c r="DH161">
        <f>ROUND(ROUND(AG161*AK161,2)*CX161,2)</f>
        <v>99.88</v>
      </c>
      <c r="DI161">
        <f t="shared" si="76"/>
        <v>0</v>
      </c>
      <c r="DJ161">
        <f>DG161</f>
        <v>165.99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ROW(Source!A136)</f>
        <v>136</v>
      </c>
      <c r="B162">
        <v>145185703</v>
      </c>
      <c r="C162">
        <v>145197578</v>
      </c>
      <c r="D162">
        <v>140924530</v>
      </c>
      <c r="E162">
        <v>1</v>
      </c>
      <c r="F162">
        <v>1</v>
      </c>
      <c r="G162">
        <v>1</v>
      </c>
      <c r="H162">
        <v>2</v>
      </c>
      <c r="I162" t="s">
        <v>505</v>
      </c>
      <c r="J162" t="s">
        <v>506</v>
      </c>
      <c r="K162" t="s">
        <v>507</v>
      </c>
      <c r="L162">
        <v>1367</v>
      </c>
      <c r="N162">
        <v>1011</v>
      </c>
      <c r="O162" t="s">
        <v>398</v>
      </c>
      <c r="P162" t="s">
        <v>398</v>
      </c>
      <c r="Q162">
        <v>1</v>
      </c>
      <c r="W162">
        <v>0</v>
      </c>
      <c r="X162">
        <v>316008196</v>
      </c>
      <c r="Y162">
        <f>(AT162*1.25)</f>
        <v>1.5249999999999999</v>
      </c>
      <c r="AA162">
        <v>0</v>
      </c>
      <c r="AB162">
        <v>36.21</v>
      </c>
      <c r="AC162">
        <v>0</v>
      </c>
      <c r="AD162">
        <v>0</v>
      </c>
      <c r="AE162">
        <v>0</v>
      </c>
      <c r="AF162">
        <v>2.7</v>
      </c>
      <c r="AG162">
        <v>0</v>
      </c>
      <c r="AH162">
        <v>0</v>
      </c>
      <c r="AI162">
        <v>1</v>
      </c>
      <c r="AJ162">
        <v>13.41</v>
      </c>
      <c r="AK162">
        <v>45.71</v>
      </c>
      <c r="AL162">
        <v>1</v>
      </c>
      <c r="AM162">
        <v>4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1.22</v>
      </c>
      <c r="AU162" t="s">
        <v>42</v>
      </c>
      <c r="AV162">
        <v>0</v>
      </c>
      <c r="AW162">
        <v>2</v>
      </c>
      <c r="AX162">
        <v>145197590</v>
      </c>
      <c r="AY162">
        <v>1</v>
      </c>
      <c r="AZ162">
        <v>0</v>
      </c>
      <c r="BA162">
        <v>162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ROUND(Y162*Source!I136,9)</f>
        <v>5.7454375000000004</v>
      </c>
      <c r="CY162">
        <f>AB162</f>
        <v>36.21</v>
      </c>
      <c r="CZ162">
        <f>AF162</f>
        <v>2.7</v>
      </c>
      <c r="DA162">
        <f>AJ162</f>
        <v>13.41</v>
      </c>
      <c r="DB162">
        <f>ROUND((ROUND(AT162*CZ162,2)*1.25),2)</f>
        <v>4.1100000000000003</v>
      </c>
      <c r="DC162">
        <f>ROUND((ROUND(AT162*AG162,2)*1.25),2)</f>
        <v>0</v>
      </c>
      <c r="DD162" t="s">
        <v>3</v>
      </c>
      <c r="DE162" t="s">
        <v>3</v>
      </c>
      <c r="DF162">
        <f>ROUND(ROUND(AE162,2)*CX162,2)</f>
        <v>0</v>
      </c>
      <c r="DG162">
        <f>ROUND(ROUND(AF162*AJ162,2)*CX162,2)</f>
        <v>208.04</v>
      </c>
      <c r="DH162">
        <f>ROUND(ROUND(AG162*AK162,2)*CX162,2)</f>
        <v>0</v>
      </c>
      <c r="DI162">
        <f t="shared" si="76"/>
        <v>0</v>
      </c>
      <c r="DJ162">
        <f>DG162</f>
        <v>208.04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ROW(Source!A136)</f>
        <v>136</v>
      </c>
      <c r="B163">
        <v>145185703</v>
      </c>
      <c r="C163">
        <v>145197578</v>
      </c>
      <c r="D163">
        <v>140771314</v>
      </c>
      <c r="E163">
        <v>1</v>
      </c>
      <c r="F163">
        <v>1</v>
      </c>
      <c r="G163">
        <v>1</v>
      </c>
      <c r="H163">
        <v>3</v>
      </c>
      <c r="I163" t="s">
        <v>152</v>
      </c>
      <c r="J163" t="s">
        <v>154</v>
      </c>
      <c r="K163" t="s">
        <v>153</v>
      </c>
      <c r="L163">
        <v>1348</v>
      </c>
      <c r="N163">
        <v>1009</v>
      </c>
      <c r="O163" t="s">
        <v>21</v>
      </c>
      <c r="P163" t="s">
        <v>21</v>
      </c>
      <c r="Q163">
        <v>1000</v>
      </c>
      <c r="W163">
        <v>1</v>
      </c>
      <c r="X163">
        <v>-1616928744</v>
      </c>
      <c r="Y163">
        <f t="shared" ref="Y163:Y177" si="77">AT163</f>
        <v>-8.9999999999999993E-3</v>
      </c>
      <c r="AA163">
        <v>160058</v>
      </c>
      <c r="AB163">
        <v>0</v>
      </c>
      <c r="AC163">
        <v>0</v>
      </c>
      <c r="AD163">
        <v>0</v>
      </c>
      <c r="AE163">
        <v>19100</v>
      </c>
      <c r="AF163">
        <v>0</v>
      </c>
      <c r="AG163">
        <v>0</v>
      </c>
      <c r="AH163">
        <v>0</v>
      </c>
      <c r="AI163">
        <v>8.3800000000000008</v>
      </c>
      <c r="AJ163">
        <v>1</v>
      </c>
      <c r="AK163">
        <v>1</v>
      </c>
      <c r="AL163">
        <v>1</v>
      </c>
      <c r="AM163">
        <v>4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-8.9999999999999993E-3</v>
      </c>
      <c r="AU163" t="s">
        <v>3</v>
      </c>
      <c r="AV163">
        <v>0</v>
      </c>
      <c r="AW163">
        <v>2</v>
      </c>
      <c r="AX163">
        <v>145197591</v>
      </c>
      <c r="AY163">
        <v>1</v>
      </c>
      <c r="AZ163">
        <v>6144</v>
      </c>
      <c r="BA163">
        <v>163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ROUND(Y163*Source!I136,9)</f>
        <v>-3.39075E-2</v>
      </c>
      <c r="CY163">
        <f>AA163</f>
        <v>160058</v>
      </c>
      <c r="CZ163">
        <f>AE163</f>
        <v>19100</v>
      </c>
      <c r="DA163">
        <f>AI163</f>
        <v>8.3800000000000008</v>
      </c>
      <c r="DB163">
        <f t="shared" ref="DB163:DB177" si="78">ROUND(ROUND(AT163*CZ163,2),2)</f>
        <v>-171.9</v>
      </c>
      <c r="DC163">
        <f t="shared" ref="DC163:DC177" si="79">ROUND(ROUND(AT163*AG163,2),2)</f>
        <v>0</v>
      </c>
      <c r="DD163" t="s">
        <v>3</v>
      </c>
      <c r="DE163" t="s">
        <v>3</v>
      </c>
      <c r="DF163">
        <f>ROUND(ROUND(AE163*AI163,2)*CX163,2)</f>
        <v>-5427.17</v>
      </c>
      <c r="DG163">
        <f>ROUND(ROUND(AF163,2)*CX163,2)</f>
        <v>0</v>
      </c>
      <c r="DH163">
        <f>ROUND(ROUND(AG163,2)*CX163,2)</f>
        <v>0</v>
      </c>
      <c r="DI163">
        <f t="shared" si="76"/>
        <v>0</v>
      </c>
      <c r="DJ163">
        <f>DF163</f>
        <v>-5427.17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ROW(Source!A136)</f>
        <v>136</v>
      </c>
      <c r="B164">
        <v>145185703</v>
      </c>
      <c r="C164">
        <v>145197578</v>
      </c>
      <c r="D164">
        <v>140772680</v>
      </c>
      <c r="E164">
        <v>1</v>
      </c>
      <c r="F164">
        <v>1</v>
      </c>
      <c r="G164">
        <v>1</v>
      </c>
      <c r="H164">
        <v>3</v>
      </c>
      <c r="I164" t="s">
        <v>508</v>
      </c>
      <c r="J164" t="s">
        <v>509</v>
      </c>
      <c r="K164" t="s">
        <v>510</v>
      </c>
      <c r="L164">
        <v>1339</v>
      </c>
      <c r="N164">
        <v>1007</v>
      </c>
      <c r="O164" t="s">
        <v>141</v>
      </c>
      <c r="P164" t="s">
        <v>141</v>
      </c>
      <c r="Q164">
        <v>1</v>
      </c>
      <c r="W164">
        <v>0</v>
      </c>
      <c r="X164">
        <v>-143474561</v>
      </c>
      <c r="Y164">
        <f t="shared" si="77"/>
        <v>0.16</v>
      </c>
      <c r="AA164">
        <v>20.45</v>
      </c>
      <c r="AB164">
        <v>0</v>
      </c>
      <c r="AC164">
        <v>0</v>
      </c>
      <c r="AD164">
        <v>0</v>
      </c>
      <c r="AE164">
        <v>2.44</v>
      </c>
      <c r="AF164">
        <v>0</v>
      </c>
      <c r="AG164">
        <v>0</v>
      </c>
      <c r="AH164">
        <v>0</v>
      </c>
      <c r="AI164">
        <v>8.3800000000000008</v>
      </c>
      <c r="AJ164">
        <v>1</v>
      </c>
      <c r="AK164">
        <v>1</v>
      </c>
      <c r="AL164">
        <v>1</v>
      </c>
      <c r="AM164">
        <v>4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0.16</v>
      </c>
      <c r="AU164" t="s">
        <v>3</v>
      </c>
      <c r="AV164">
        <v>0</v>
      </c>
      <c r="AW164">
        <v>2</v>
      </c>
      <c r="AX164">
        <v>145197592</v>
      </c>
      <c r="AY164">
        <v>1</v>
      </c>
      <c r="AZ164">
        <v>0</v>
      </c>
      <c r="BA164">
        <v>164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ROUND(Y164*Source!I136,9)</f>
        <v>0.6028</v>
      </c>
      <c r="CY164">
        <f>AA164</f>
        <v>20.45</v>
      </c>
      <c r="CZ164">
        <f>AE164</f>
        <v>2.44</v>
      </c>
      <c r="DA164">
        <f>AI164</f>
        <v>8.3800000000000008</v>
      </c>
      <c r="DB164">
        <f t="shared" si="78"/>
        <v>0.39</v>
      </c>
      <c r="DC164">
        <f t="shared" si="79"/>
        <v>0</v>
      </c>
      <c r="DD164" t="s">
        <v>3</v>
      </c>
      <c r="DE164" t="s">
        <v>3</v>
      </c>
      <c r="DF164">
        <f>ROUND(ROUND(AE164*AI164,2)*CX164,2)</f>
        <v>12.33</v>
      </c>
      <c r="DG164">
        <f>ROUND(ROUND(AF164,2)*CX164,2)</f>
        <v>0</v>
      </c>
      <c r="DH164">
        <f>ROUND(ROUND(AG164,2)*CX164,2)</f>
        <v>0</v>
      </c>
      <c r="DI164">
        <f t="shared" si="76"/>
        <v>0</v>
      </c>
      <c r="DJ164">
        <f>DF164</f>
        <v>12.33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ROW(Source!A139)</f>
        <v>139</v>
      </c>
      <c r="B165">
        <v>145185703</v>
      </c>
      <c r="C165">
        <v>145197664</v>
      </c>
      <c r="D165">
        <v>140760027</v>
      </c>
      <c r="E165">
        <v>70</v>
      </c>
      <c r="F165">
        <v>1</v>
      </c>
      <c r="G165">
        <v>1</v>
      </c>
      <c r="H165">
        <v>1</v>
      </c>
      <c r="I165" t="s">
        <v>529</v>
      </c>
      <c r="J165" t="s">
        <v>3</v>
      </c>
      <c r="K165" t="s">
        <v>530</v>
      </c>
      <c r="L165">
        <v>1191</v>
      </c>
      <c r="N165">
        <v>1013</v>
      </c>
      <c r="O165" t="s">
        <v>394</v>
      </c>
      <c r="P165" t="s">
        <v>394</v>
      </c>
      <c r="Q165">
        <v>1</v>
      </c>
      <c r="W165">
        <v>0</v>
      </c>
      <c r="X165">
        <v>1608048003</v>
      </c>
      <c r="Y165">
        <f t="shared" si="77"/>
        <v>20.91</v>
      </c>
      <c r="AA165">
        <v>0</v>
      </c>
      <c r="AB165">
        <v>0</v>
      </c>
      <c r="AC165">
        <v>0</v>
      </c>
      <c r="AD165">
        <v>434.7</v>
      </c>
      <c r="AE165">
        <v>0</v>
      </c>
      <c r="AF165">
        <v>0</v>
      </c>
      <c r="AG165">
        <v>0</v>
      </c>
      <c r="AH165">
        <v>9.51</v>
      </c>
      <c r="AI165">
        <v>1</v>
      </c>
      <c r="AJ165">
        <v>1</v>
      </c>
      <c r="AK165">
        <v>1</v>
      </c>
      <c r="AL165">
        <v>45.71</v>
      </c>
      <c r="AM165">
        <v>4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20.91</v>
      </c>
      <c r="AU165" t="s">
        <v>3</v>
      </c>
      <c r="AV165">
        <v>1</v>
      </c>
      <c r="AW165">
        <v>2</v>
      </c>
      <c r="AX165">
        <v>145197665</v>
      </c>
      <c r="AY165">
        <v>1</v>
      </c>
      <c r="AZ165">
        <v>0</v>
      </c>
      <c r="BA165">
        <v>165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ROUND(Y165*Source!I139,9)</f>
        <v>41.82</v>
      </c>
      <c r="CY165">
        <f>AD165</f>
        <v>434.7</v>
      </c>
      <c r="CZ165">
        <f>AH165</f>
        <v>9.51</v>
      </c>
      <c r="DA165">
        <f>AL165</f>
        <v>45.71</v>
      </c>
      <c r="DB165">
        <f t="shared" si="78"/>
        <v>198.85</v>
      </c>
      <c r="DC165">
        <f t="shared" si="79"/>
        <v>0</v>
      </c>
      <c r="DD165" t="s">
        <v>3</v>
      </c>
      <c r="DE165" t="s">
        <v>3</v>
      </c>
      <c r="DF165">
        <f t="shared" ref="DF165:DF172" si="80">ROUND(ROUND(AE165,2)*CX165,2)</f>
        <v>0</v>
      </c>
      <c r="DG165">
        <f>ROUND(ROUND(AF165,2)*CX165,2)</f>
        <v>0</v>
      </c>
      <c r="DH165">
        <f>ROUND(ROUND(AG165,2)*CX165,2)</f>
        <v>0</v>
      </c>
      <c r="DI165">
        <f>ROUND(ROUND(AH165*AL165,2)*CX165,2)</f>
        <v>18179.150000000001</v>
      </c>
      <c r="DJ165">
        <f>DI165</f>
        <v>18179.150000000001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ROW(Source!A139)</f>
        <v>139</v>
      </c>
      <c r="B166">
        <v>145185703</v>
      </c>
      <c r="C166">
        <v>145197664</v>
      </c>
      <c r="D166">
        <v>140760225</v>
      </c>
      <c r="E166">
        <v>70</v>
      </c>
      <c r="F166">
        <v>1</v>
      </c>
      <c r="G166">
        <v>1</v>
      </c>
      <c r="H166">
        <v>1</v>
      </c>
      <c r="I166" t="s">
        <v>403</v>
      </c>
      <c r="J166" t="s">
        <v>3</v>
      </c>
      <c r="K166" t="s">
        <v>404</v>
      </c>
      <c r="L166">
        <v>1191</v>
      </c>
      <c r="N166">
        <v>1013</v>
      </c>
      <c r="O166" t="s">
        <v>394</v>
      </c>
      <c r="P166" t="s">
        <v>394</v>
      </c>
      <c r="Q166">
        <v>1</v>
      </c>
      <c r="W166">
        <v>0</v>
      </c>
      <c r="X166">
        <v>-1417349443</v>
      </c>
      <c r="Y166">
        <f t="shared" si="77"/>
        <v>0.35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45.71</v>
      </c>
      <c r="AL166">
        <v>1</v>
      </c>
      <c r="AM166">
        <v>4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0.35</v>
      </c>
      <c r="AU166" t="s">
        <v>3</v>
      </c>
      <c r="AV166">
        <v>2</v>
      </c>
      <c r="AW166">
        <v>2</v>
      </c>
      <c r="AX166">
        <v>145197666</v>
      </c>
      <c r="AY166">
        <v>1</v>
      </c>
      <c r="AZ166">
        <v>0</v>
      </c>
      <c r="BA166">
        <v>166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ROUND(Y166*Source!I139,9)</f>
        <v>0.7</v>
      </c>
      <c r="CY166">
        <f>AD166</f>
        <v>0</v>
      </c>
      <c r="CZ166">
        <f>AH166</f>
        <v>0</v>
      </c>
      <c r="DA166">
        <f>AL166</f>
        <v>1</v>
      </c>
      <c r="DB166">
        <f t="shared" si="78"/>
        <v>0</v>
      </c>
      <c r="DC166">
        <f t="shared" si="79"/>
        <v>0</v>
      </c>
      <c r="DD166" t="s">
        <v>3</v>
      </c>
      <c r="DE166" t="s">
        <v>3</v>
      </c>
      <c r="DF166">
        <f t="shared" si="80"/>
        <v>0</v>
      </c>
      <c r="DG166">
        <f>ROUND(ROUND(AF166,2)*CX166,2)</f>
        <v>0</v>
      </c>
      <c r="DH166">
        <f t="shared" ref="DH166:DH172" si="81">ROUND(ROUND(AG166*AK166,2)*CX166,2)</f>
        <v>0</v>
      </c>
      <c r="DI166">
        <f t="shared" ref="DI166:DI177" si="82">ROUND(ROUND(AH166,2)*CX166,2)</f>
        <v>0</v>
      </c>
      <c r="DJ166">
        <f>DI166</f>
        <v>0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ROW(Source!A139)</f>
        <v>139</v>
      </c>
      <c r="B167">
        <v>145185703</v>
      </c>
      <c r="C167">
        <v>145197664</v>
      </c>
      <c r="D167">
        <v>140922951</v>
      </c>
      <c r="E167">
        <v>1</v>
      </c>
      <c r="F167">
        <v>1</v>
      </c>
      <c r="G167">
        <v>1</v>
      </c>
      <c r="H167">
        <v>2</v>
      </c>
      <c r="I167" t="s">
        <v>408</v>
      </c>
      <c r="J167" t="s">
        <v>409</v>
      </c>
      <c r="K167" t="s">
        <v>410</v>
      </c>
      <c r="L167">
        <v>1367</v>
      </c>
      <c r="N167">
        <v>1011</v>
      </c>
      <c r="O167" t="s">
        <v>398</v>
      </c>
      <c r="P167" t="s">
        <v>398</v>
      </c>
      <c r="Q167">
        <v>1</v>
      </c>
      <c r="W167">
        <v>0</v>
      </c>
      <c r="X167">
        <v>-430484415</v>
      </c>
      <c r="Y167">
        <f t="shared" si="77"/>
        <v>0.02</v>
      </c>
      <c r="AA167">
        <v>0</v>
      </c>
      <c r="AB167">
        <v>1547.51</v>
      </c>
      <c r="AC167">
        <v>617.09</v>
      </c>
      <c r="AD167">
        <v>0</v>
      </c>
      <c r="AE167">
        <v>0</v>
      </c>
      <c r="AF167">
        <v>115.4</v>
      </c>
      <c r="AG167">
        <v>13.5</v>
      </c>
      <c r="AH167">
        <v>0</v>
      </c>
      <c r="AI167">
        <v>1</v>
      </c>
      <c r="AJ167">
        <v>13.41</v>
      </c>
      <c r="AK167">
        <v>45.71</v>
      </c>
      <c r="AL167">
        <v>1</v>
      </c>
      <c r="AM167">
        <v>4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0.02</v>
      </c>
      <c r="AU167" t="s">
        <v>3</v>
      </c>
      <c r="AV167">
        <v>0</v>
      </c>
      <c r="AW167">
        <v>2</v>
      </c>
      <c r="AX167">
        <v>145197667</v>
      </c>
      <c r="AY167">
        <v>1</v>
      </c>
      <c r="AZ167">
        <v>0</v>
      </c>
      <c r="BA167">
        <v>167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ROUND(Y167*Source!I139,9)</f>
        <v>0.04</v>
      </c>
      <c r="CY167">
        <f t="shared" ref="CY167:CY172" si="83">AB167</f>
        <v>1547.51</v>
      </c>
      <c r="CZ167">
        <f t="shared" ref="CZ167:CZ172" si="84">AF167</f>
        <v>115.4</v>
      </c>
      <c r="DA167">
        <f t="shared" ref="DA167:DA172" si="85">AJ167</f>
        <v>13.41</v>
      </c>
      <c r="DB167">
        <f t="shared" si="78"/>
        <v>2.31</v>
      </c>
      <c r="DC167">
        <f t="shared" si="79"/>
        <v>0.27</v>
      </c>
      <c r="DD167" t="s">
        <v>3</v>
      </c>
      <c r="DE167" t="s">
        <v>3</v>
      </c>
      <c r="DF167">
        <f t="shared" si="80"/>
        <v>0</v>
      </c>
      <c r="DG167">
        <f t="shared" ref="DG167:DG172" si="86">ROUND(ROUND(AF167*AJ167,2)*CX167,2)</f>
        <v>61.9</v>
      </c>
      <c r="DH167">
        <f t="shared" si="81"/>
        <v>24.68</v>
      </c>
      <c r="DI167">
        <f t="shared" si="82"/>
        <v>0</v>
      </c>
      <c r="DJ167">
        <f t="shared" ref="DJ167:DJ172" si="87">DG167</f>
        <v>61.9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ROW(Source!A139)</f>
        <v>139</v>
      </c>
      <c r="B168">
        <v>145185703</v>
      </c>
      <c r="C168">
        <v>145197664</v>
      </c>
      <c r="D168">
        <v>140923145</v>
      </c>
      <c r="E168">
        <v>1</v>
      </c>
      <c r="F168">
        <v>1</v>
      </c>
      <c r="G168">
        <v>1</v>
      </c>
      <c r="H168">
        <v>2</v>
      </c>
      <c r="I168" t="s">
        <v>511</v>
      </c>
      <c r="J168" t="s">
        <v>512</v>
      </c>
      <c r="K168" t="s">
        <v>513</v>
      </c>
      <c r="L168">
        <v>1367</v>
      </c>
      <c r="N168">
        <v>1011</v>
      </c>
      <c r="O168" t="s">
        <v>398</v>
      </c>
      <c r="P168" t="s">
        <v>398</v>
      </c>
      <c r="Q168">
        <v>1</v>
      </c>
      <c r="W168">
        <v>0</v>
      </c>
      <c r="X168">
        <v>1232162608</v>
      </c>
      <c r="Y168">
        <f t="shared" si="77"/>
        <v>0.3</v>
      </c>
      <c r="AA168">
        <v>0</v>
      </c>
      <c r="AB168">
        <v>419.2</v>
      </c>
      <c r="AC168">
        <v>617.09</v>
      </c>
      <c r="AD168">
        <v>0</v>
      </c>
      <c r="AE168">
        <v>0</v>
      </c>
      <c r="AF168">
        <v>31.26</v>
      </c>
      <c r="AG168">
        <v>13.5</v>
      </c>
      <c r="AH168">
        <v>0</v>
      </c>
      <c r="AI168">
        <v>1</v>
      </c>
      <c r="AJ168">
        <v>13.41</v>
      </c>
      <c r="AK168">
        <v>45.71</v>
      </c>
      <c r="AL168">
        <v>1</v>
      </c>
      <c r="AM168">
        <v>4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0.3</v>
      </c>
      <c r="AU168" t="s">
        <v>3</v>
      </c>
      <c r="AV168">
        <v>0</v>
      </c>
      <c r="AW168">
        <v>2</v>
      </c>
      <c r="AX168">
        <v>145197668</v>
      </c>
      <c r="AY168">
        <v>1</v>
      </c>
      <c r="AZ168">
        <v>0</v>
      </c>
      <c r="BA168">
        <v>168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ROUND(Y168*Source!I139,9)</f>
        <v>0.6</v>
      </c>
      <c r="CY168">
        <f t="shared" si="83"/>
        <v>419.2</v>
      </c>
      <c r="CZ168">
        <f t="shared" si="84"/>
        <v>31.26</v>
      </c>
      <c r="DA168">
        <f t="shared" si="85"/>
        <v>13.41</v>
      </c>
      <c r="DB168">
        <f t="shared" si="78"/>
        <v>9.3800000000000008</v>
      </c>
      <c r="DC168">
        <f t="shared" si="79"/>
        <v>4.05</v>
      </c>
      <c r="DD168" t="s">
        <v>3</v>
      </c>
      <c r="DE168" t="s">
        <v>3</v>
      </c>
      <c r="DF168">
        <f t="shared" si="80"/>
        <v>0</v>
      </c>
      <c r="DG168">
        <f t="shared" si="86"/>
        <v>251.52</v>
      </c>
      <c r="DH168">
        <f t="shared" si="81"/>
        <v>370.25</v>
      </c>
      <c r="DI168">
        <f t="shared" si="82"/>
        <v>0</v>
      </c>
      <c r="DJ168">
        <f t="shared" si="87"/>
        <v>251.52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ROW(Source!A139)</f>
        <v>139</v>
      </c>
      <c r="B169">
        <v>145185703</v>
      </c>
      <c r="C169">
        <v>145197664</v>
      </c>
      <c r="D169">
        <v>140923229</v>
      </c>
      <c r="E169">
        <v>1</v>
      </c>
      <c r="F169">
        <v>1</v>
      </c>
      <c r="G169">
        <v>1</v>
      </c>
      <c r="H169">
        <v>2</v>
      </c>
      <c r="I169" t="s">
        <v>531</v>
      </c>
      <c r="J169" t="s">
        <v>532</v>
      </c>
      <c r="K169" t="s">
        <v>533</v>
      </c>
      <c r="L169">
        <v>1367</v>
      </c>
      <c r="N169">
        <v>1011</v>
      </c>
      <c r="O169" t="s">
        <v>398</v>
      </c>
      <c r="P169" t="s">
        <v>398</v>
      </c>
      <c r="Q169">
        <v>1</v>
      </c>
      <c r="W169">
        <v>0</v>
      </c>
      <c r="X169">
        <v>-1322498708</v>
      </c>
      <c r="Y169">
        <f t="shared" si="77"/>
        <v>0.75</v>
      </c>
      <c r="AA169">
        <v>0</v>
      </c>
      <c r="AB169">
        <v>6.71</v>
      </c>
      <c r="AC169">
        <v>0</v>
      </c>
      <c r="AD169">
        <v>0</v>
      </c>
      <c r="AE169">
        <v>0</v>
      </c>
      <c r="AF169">
        <v>0.5</v>
      </c>
      <c r="AG169">
        <v>0</v>
      </c>
      <c r="AH169">
        <v>0</v>
      </c>
      <c r="AI169">
        <v>1</v>
      </c>
      <c r="AJ169">
        <v>13.41</v>
      </c>
      <c r="AK169">
        <v>45.71</v>
      </c>
      <c r="AL169">
        <v>1</v>
      </c>
      <c r="AM169">
        <v>4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0.75</v>
      </c>
      <c r="AU169" t="s">
        <v>3</v>
      </c>
      <c r="AV169">
        <v>0</v>
      </c>
      <c r="AW169">
        <v>2</v>
      </c>
      <c r="AX169">
        <v>145197669</v>
      </c>
      <c r="AY169">
        <v>1</v>
      </c>
      <c r="AZ169">
        <v>0</v>
      </c>
      <c r="BA169">
        <v>169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ROUND(Y169*Source!I139,9)</f>
        <v>1.5</v>
      </c>
      <c r="CY169">
        <f t="shared" si="83"/>
        <v>6.71</v>
      </c>
      <c r="CZ169">
        <f t="shared" si="84"/>
        <v>0.5</v>
      </c>
      <c r="DA169">
        <f t="shared" si="85"/>
        <v>13.41</v>
      </c>
      <c r="DB169">
        <f t="shared" si="78"/>
        <v>0.38</v>
      </c>
      <c r="DC169">
        <f t="shared" si="79"/>
        <v>0</v>
      </c>
      <c r="DD169" t="s">
        <v>3</v>
      </c>
      <c r="DE169" t="s">
        <v>3</v>
      </c>
      <c r="DF169">
        <f t="shared" si="80"/>
        <v>0</v>
      </c>
      <c r="DG169">
        <f t="shared" si="86"/>
        <v>10.07</v>
      </c>
      <c r="DH169">
        <f t="shared" si="81"/>
        <v>0</v>
      </c>
      <c r="DI169">
        <f t="shared" si="82"/>
        <v>0</v>
      </c>
      <c r="DJ169">
        <f t="shared" si="87"/>
        <v>10.07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ROW(Source!A139)</f>
        <v>139</v>
      </c>
      <c r="B170">
        <v>145185703</v>
      </c>
      <c r="C170">
        <v>145197664</v>
      </c>
      <c r="D170">
        <v>140923885</v>
      </c>
      <c r="E170">
        <v>1</v>
      </c>
      <c r="F170">
        <v>1</v>
      </c>
      <c r="G170">
        <v>1</v>
      </c>
      <c r="H170">
        <v>2</v>
      </c>
      <c r="I170" t="s">
        <v>417</v>
      </c>
      <c r="J170" t="s">
        <v>418</v>
      </c>
      <c r="K170" t="s">
        <v>419</v>
      </c>
      <c r="L170">
        <v>1367</v>
      </c>
      <c r="N170">
        <v>1011</v>
      </c>
      <c r="O170" t="s">
        <v>398</v>
      </c>
      <c r="P170" t="s">
        <v>398</v>
      </c>
      <c r="Q170">
        <v>1</v>
      </c>
      <c r="W170">
        <v>0</v>
      </c>
      <c r="X170">
        <v>509054691</v>
      </c>
      <c r="Y170">
        <f t="shared" si="77"/>
        <v>0.03</v>
      </c>
      <c r="AA170">
        <v>0</v>
      </c>
      <c r="AB170">
        <v>881.17</v>
      </c>
      <c r="AC170">
        <v>530.24</v>
      </c>
      <c r="AD170">
        <v>0</v>
      </c>
      <c r="AE170">
        <v>0</v>
      </c>
      <c r="AF170">
        <v>65.709999999999994</v>
      </c>
      <c r="AG170">
        <v>11.6</v>
      </c>
      <c r="AH170">
        <v>0</v>
      </c>
      <c r="AI170">
        <v>1</v>
      </c>
      <c r="AJ170">
        <v>13.41</v>
      </c>
      <c r="AK170">
        <v>45.71</v>
      </c>
      <c r="AL170">
        <v>1</v>
      </c>
      <c r="AM170">
        <v>4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0.03</v>
      </c>
      <c r="AU170" t="s">
        <v>3</v>
      </c>
      <c r="AV170">
        <v>0</v>
      </c>
      <c r="AW170">
        <v>2</v>
      </c>
      <c r="AX170">
        <v>145197670</v>
      </c>
      <c r="AY170">
        <v>1</v>
      </c>
      <c r="AZ170">
        <v>0</v>
      </c>
      <c r="BA170">
        <v>170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ROUND(Y170*Source!I139,9)</f>
        <v>0.06</v>
      </c>
      <c r="CY170">
        <f t="shared" si="83"/>
        <v>881.17</v>
      </c>
      <c r="CZ170">
        <f t="shared" si="84"/>
        <v>65.709999999999994</v>
      </c>
      <c r="DA170">
        <f t="shared" si="85"/>
        <v>13.41</v>
      </c>
      <c r="DB170">
        <f t="shared" si="78"/>
        <v>1.97</v>
      </c>
      <c r="DC170">
        <f t="shared" si="79"/>
        <v>0.35</v>
      </c>
      <c r="DD170" t="s">
        <v>3</v>
      </c>
      <c r="DE170" t="s">
        <v>3</v>
      </c>
      <c r="DF170">
        <f t="shared" si="80"/>
        <v>0</v>
      </c>
      <c r="DG170">
        <f t="shared" si="86"/>
        <v>52.87</v>
      </c>
      <c r="DH170">
        <f t="shared" si="81"/>
        <v>31.81</v>
      </c>
      <c r="DI170">
        <f t="shared" si="82"/>
        <v>0</v>
      </c>
      <c r="DJ170">
        <f t="shared" si="87"/>
        <v>52.87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ROW(Source!A139)</f>
        <v>139</v>
      </c>
      <c r="B171">
        <v>145185703</v>
      </c>
      <c r="C171">
        <v>145197664</v>
      </c>
      <c r="D171">
        <v>140924121</v>
      </c>
      <c r="E171">
        <v>1</v>
      </c>
      <c r="F171">
        <v>1</v>
      </c>
      <c r="G171">
        <v>1</v>
      </c>
      <c r="H171">
        <v>2</v>
      </c>
      <c r="I171" t="s">
        <v>534</v>
      </c>
      <c r="J171" t="s">
        <v>535</v>
      </c>
      <c r="K171" t="s">
        <v>536</v>
      </c>
      <c r="L171">
        <v>1367</v>
      </c>
      <c r="N171">
        <v>1011</v>
      </c>
      <c r="O171" t="s">
        <v>398</v>
      </c>
      <c r="P171" t="s">
        <v>398</v>
      </c>
      <c r="Q171">
        <v>1</v>
      </c>
      <c r="W171">
        <v>0</v>
      </c>
      <c r="X171">
        <v>-1506375854</v>
      </c>
      <c r="Y171">
        <f t="shared" si="77"/>
        <v>5</v>
      </c>
      <c r="AA171">
        <v>0</v>
      </c>
      <c r="AB171">
        <v>654.54</v>
      </c>
      <c r="AC171">
        <v>0</v>
      </c>
      <c r="AD171">
        <v>0</v>
      </c>
      <c r="AE171">
        <v>0</v>
      </c>
      <c r="AF171">
        <v>48.81</v>
      </c>
      <c r="AG171">
        <v>0</v>
      </c>
      <c r="AH171">
        <v>0</v>
      </c>
      <c r="AI171">
        <v>1</v>
      </c>
      <c r="AJ171">
        <v>13.41</v>
      </c>
      <c r="AK171">
        <v>45.71</v>
      </c>
      <c r="AL171">
        <v>1</v>
      </c>
      <c r="AM171">
        <v>4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3</v>
      </c>
      <c r="AT171">
        <v>5</v>
      </c>
      <c r="AU171" t="s">
        <v>3</v>
      </c>
      <c r="AV171">
        <v>0</v>
      </c>
      <c r="AW171">
        <v>2</v>
      </c>
      <c r="AX171">
        <v>145197671</v>
      </c>
      <c r="AY171">
        <v>1</v>
      </c>
      <c r="AZ171">
        <v>0</v>
      </c>
      <c r="BA171">
        <v>171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ROUND(Y171*Source!I139,9)</f>
        <v>10</v>
      </c>
      <c r="CY171">
        <f t="shared" si="83"/>
        <v>654.54</v>
      </c>
      <c r="CZ171">
        <f t="shared" si="84"/>
        <v>48.81</v>
      </c>
      <c r="DA171">
        <f t="shared" si="85"/>
        <v>13.41</v>
      </c>
      <c r="DB171">
        <f t="shared" si="78"/>
        <v>244.05</v>
      </c>
      <c r="DC171">
        <f t="shared" si="79"/>
        <v>0</v>
      </c>
      <c r="DD171" t="s">
        <v>3</v>
      </c>
      <c r="DE171" t="s">
        <v>3</v>
      </c>
      <c r="DF171">
        <f t="shared" si="80"/>
        <v>0</v>
      </c>
      <c r="DG171">
        <f t="shared" si="86"/>
        <v>6545.4</v>
      </c>
      <c r="DH171">
        <f t="shared" si="81"/>
        <v>0</v>
      </c>
      <c r="DI171">
        <f t="shared" si="82"/>
        <v>0</v>
      </c>
      <c r="DJ171">
        <f t="shared" si="87"/>
        <v>6545.4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ROW(Source!A139)</f>
        <v>139</v>
      </c>
      <c r="B172">
        <v>145185703</v>
      </c>
      <c r="C172">
        <v>145197664</v>
      </c>
      <c r="D172">
        <v>140924577</v>
      </c>
      <c r="E172">
        <v>1</v>
      </c>
      <c r="F172">
        <v>1</v>
      </c>
      <c r="G172">
        <v>1</v>
      </c>
      <c r="H172">
        <v>2</v>
      </c>
      <c r="I172" t="s">
        <v>537</v>
      </c>
      <c r="J172" t="s">
        <v>538</v>
      </c>
      <c r="K172" t="s">
        <v>539</v>
      </c>
      <c r="L172">
        <v>1367</v>
      </c>
      <c r="N172">
        <v>1011</v>
      </c>
      <c r="O172" t="s">
        <v>398</v>
      </c>
      <c r="P172" t="s">
        <v>398</v>
      </c>
      <c r="Q172">
        <v>1</v>
      </c>
      <c r="W172">
        <v>0</v>
      </c>
      <c r="X172">
        <v>1998121820</v>
      </c>
      <c r="Y172">
        <f t="shared" si="77"/>
        <v>10</v>
      </c>
      <c r="AA172">
        <v>0</v>
      </c>
      <c r="AB172">
        <v>20.52</v>
      </c>
      <c r="AC172">
        <v>0</v>
      </c>
      <c r="AD172">
        <v>0</v>
      </c>
      <c r="AE172">
        <v>0</v>
      </c>
      <c r="AF172">
        <v>1.53</v>
      </c>
      <c r="AG172">
        <v>0</v>
      </c>
      <c r="AH172">
        <v>0</v>
      </c>
      <c r="AI172">
        <v>1</v>
      </c>
      <c r="AJ172">
        <v>13.41</v>
      </c>
      <c r="AK172">
        <v>45.71</v>
      </c>
      <c r="AL172">
        <v>1</v>
      </c>
      <c r="AM172">
        <v>4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10</v>
      </c>
      <c r="AU172" t="s">
        <v>3</v>
      </c>
      <c r="AV172">
        <v>0</v>
      </c>
      <c r="AW172">
        <v>2</v>
      </c>
      <c r="AX172">
        <v>145197672</v>
      </c>
      <c r="AY172">
        <v>1</v>
      </c>
      <c r="AZ172">
        <v>0</v>
      </c>
      <c r="BA172">
        <v>172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ROUND(Y172*Source!I139,9)</f>
        <v>20</v>
      </c>
      <c r="CY172">
        <f t="shared" si="83"/>
        <v>20.52</v>
      </c>
      <c r="CZ172">
        <f t="shared" si="84"/>
        <v>1.53</v>
      </c>
      <c r="DA172">
        <f t="shared" si="85"/>
        <v>13.41</v>
      </c>
      <c r="DB172">
        <f t="shared" si="78"/>
        <v>15.3</v>
      </c>
      <c r="DC172">
        <f t="shared" si="79"/>
        <v>0</v>
      </c>
      <c r="DD172" t="s">
        <v>3</v>
      </c>
      <c r="DE172" t="s">
        <v>3</v>
      </c>
      <c r="DF172">
        <f t="shared" si="80"/>
        <v>0</v>
      </c>
      <c r="DG172">
        <f t="shared" si="86"/>
        <v>410.4</v>
      </c>
      <c r="DH172">
        <f t="shared" si="81"/>
        <v>0</v>
      </c>
      <c r="DI172">
        <f t="shared" si="82"/>
        <v>0</v>
      </c>
      <c r="DJ172">
        <f t="shared" si="87"/>
        <v>410.4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ROW(Source!A139)</f>
        <v>139</v>
      </c>
      <c r="B173">
        <v>145185703</v>
      </c>
      <c r="C173">
        <v>145197664</v>
      </c>
      <c r="D173">
        <v>140772680</v>
      </c>
      <c r="E173">
        <v>1</v>
      </c>
      <c r="F173">
        <v>1</v>
      </c>
      <c r="G173">
        <v>1</v>
      </c>
      <c r="H173">
        <v>3</v>
      </c>
      <c r="I173" t="s">
        <v>508</v>
      </c>
      <c r="J173" t="s">
        <v>509</v>
      </c>
      <c r="K173" t="s">
        <v>510</v>
      </c>
      <c r="L173">
        <v>1339</v>
      </c>
      <c r="N173">
        <v>1007</v>
      </c>
      <c r="O173" t="s">
        <v>141</v>
      </c>
      <c r="P173" t="s">
        <v>141</v>
      </c>
      <c r="Q173">
        <v>1</v>
      </c>
      <c r="W173">
        <v>0</v>
      </c>
      <c r="X173">
        <v>-143474561</v>
      </c>
      <c r="Y173">
        <f t="shared" si="77"/>
        <v>7.0000000000000007E-2</v>
      </c>
      <c r="AA173">
        <v>20.45</v>
      </c>
      <c r="AB173">
        <v>0</v>
      </c>
      <c r="AC173">
        <v>0</v>
      </c>
      <c r="AD173">
        <v>0</v>
      </c>
      <c r="AE173">
        <v>2.44</v>
      </c>
      <c r="AF173">
        <v>0</v>
      </c>
      <c r="AG173">
        <v>0</v>
      </c>
      <c r="AH173">
        <v>0</v>
      </c>
      <c r="AI173">
        <v>8.3800000000000008</v>
      </c>
      <c r="AJ173">
        <v>1</v>
      </c>
      <c r="AK173">
        <v>1</v>
      </c>
      <c r="AL173">
        <v>1</v>
      </c>
      <c r="AM173">
        <v>4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3</v>
      </c>
      <c r="AT173">
        <v>7.0000000000000007E-2</v>
      </c>
      <c r="AU173" t="s">
        <v>3</v>
      </c>
      <c r="AV173">
        <v>0</v>
      </c>
      <c r="AW173">
        <v>2</v>
      </c>
      <c r="AX173">
        <v>145197673</v>
      </c>
      <c r="AY173">
        <v>1</v>
      </c>
      <c r="AZ173">
        <v>0</v>
      </c>
      <c r="BA173">
        <v>173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ROUND(Y173*Source!I139,9)</f>
        <v>0.14000000000000001</v>
      </c>
      <c r="CY173">
        <f>AA173</f>
        <v>20.45</v>
      </c>
      <c r="CZ173">
        <f>AE173</f>
        <v>2.44</v>
      </c>
      <c r="DA173">
        <f>AI173</f>
        <v>8.3800000000000008</v>
      </c>
      <c r="DB173">
        <f t="shared" si="78"/>
        <v>0.17</v>
      </c>
      <c r="DC173">
        <f t="shared" si="79"/>
        <v>0</v>
      </c>
      <c r="DD173" t="s">
        <v>3</v>
      </c>
      <c r="DE173" t="s">
        <v>3</v>
      </c>
      <c r="DF173">
        <f>ROUND(ROUND(AE173*AI173,2)*CX173,2)</f>
        <v>2.86</v>
      </c>
      <c r="DG173">
        <f>ROUND(ROUND(AF173,2)*CX173,2)</f>
        <v>0</v>
      </c>
      <c r="DH173">
        <f>ROUND(ROUND(AG173,2)*CX173,2)</f>
        <v>0</v>
      </c>
      <c r="DI173">
        <f t="shared" si="82"/>
        <v>0</v>
      </c>
      <c r="DJ173">
        <f>DF173</f>
        <v>2.86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ROW(Source!A139)</f>
        <v>139</v>
      </c>
      <c r="B174">
        <v>145185703</v>
      </c>
      <c r="C174">
        <v>145197664</v>
      </c>
      <c r="D174">
        <v>140776236</v>
      </c>
      <c r="E174">
        <v>1</v>
      </c>
      <c r="F174">
        <v>1</v>
      </c>
      <c r="G174">
        <v>1</v>
      </c>
      <c r="H174">
        <v>3</v>
      </c>
      <c r="I174" t="s">
        <v>540</v>
      </c>
      <c r="J174" t="s">
        <v>541</v>
      </c>
      <c r="K174" t="s">
        <v>542</v>
      </c>
      <c r="L174">
        <v>1327</v>
      </c>
      <c r="N174">
        <v>1005</v>
      </c>
      <c r="O174" t="s">
        <v>53</v>
      </c>
      <c r="P174" t="s">
        <v>53</v>
      </c>
      <c r="Q174">
        <v>1</v>
      </c>
      <c r="W174">
        <v>0</v>
      </c>
      <c r="X174">
        <v>1717590951</v>
      </c>
      <c r="Y174">
        <f t="shared" si="77"/>
        <v>2.06</v>
      </c>
      <c r="AA174">
        <v>85.48</v>
      </c>
      <c r="AB174">
        <v>0</v>
      </c>
      <c r="AC174">
        <v>0</v>
      </c>
      <c r="AD174">
        <v>0</v>
      </c>
      <c r="AE174">
        <v>10.199999999999999</v>
      </c>
      <c r="AF174">
        <v>0</v>
      </c>
      <c r="AG174">
        <v>0</v>
      </c>
      <c r="AH174">
        <v>0</v>
      </c>
      <c r="AI174">
        <v>8.3800000000000008</v>
      </c>
      <c r="AJ174">
        <v>1</v>
      </c>
      <c r="AK174">
        <v>1</v>
      </c>
      <c r="AL174">
        <v>1</v>
      </c>
      <c r="AM174">
        <v>4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2.06</v>
      </c>
      <c r="AU174" t="s">
        <v>3</v>
      </c>
      <c r="AV174">
        <v>0</v>
      </c>
      <c r="AW174">
        <v>2</v>
      </c>
      <c r="AX174">
        <v>145197674</v>
      </c>
      <c r="AY174">
        <v>1</v>
      </c>
      <c r="AZ174">
        <v>0</v>
      </c>
      <c r="BA174">
        <v>174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ROUND(Y174*Source!I139,9)</f>
        <v>4.12</v>
      </c>
      <c r="CY174">
        <f>AA174</f>
        <v>85.48</v>
      </c>
      <c r="CZ174">
        <f>AE174</f>
        <v>10.199999999999999</v>
      </c>
      <c r="DA174">
        <f>AI174</f>
        <v>8.3800000000000008</v>
      </c>
      <c r="DB174">
        <f t="shared" si="78"/>
        <v>21.01</v>
      </c>
      <c r="DC174">
        <f t="shared" si="79"/>
        <v>0</v>
      </c>
      <c r="DD174" t="s">
        <v>3</v>
      </c>
      <c r="DE174" t="s">
        <v>3</v>
      </c>
      <c r="DF174">
        <f>ROUND(ROUND(AE174*AI174,2)*CX174,2)</f>
        <v>352.18</v>
      </c>
      <c r="DG174">
        <f>ROUND(ROUND(AF174,2)*CX174,2)</f>
        <v>0</v>
      </c>
      <c r="DH174">
        <f>ROUND(ROUND(AG174,2)*CX174,2)</f>
        <v>0</v>
      </c>
      <c r="DI174">
        <f t="shared" si="82"/>
        <v>0</v>
      </c>
      <c r="DJ174">
        <f>DF174</f>
        <v>352.18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ROW(Source!A139)</f>
        <v>139</v>
      </c>
      <c r="B175">
        <v>145185703</v>
      </c>
      <c r="C175">
        <v>145197664</v>
      </c>
      <c r="D175">
        <v>140761051</v>
      </c>
      <c r="E175">
        <v>70</v>
      </c>
      <c r="F175">
        <v>1</v>
      </c>
      <c r="G175">
        <v>1</v>
      </c>
      <c r="H175">
        <v>3</v>
      </c>
      <c r="I175" t="s">
        <v>543</v>
      </c>
      <c r="J175" t="s">
        <v>3</v>
      </c>
      <c r="K175" t="s">
        <v>544</v>
      </c>
      <c r="L175">
        <v>1339</v>
      </c>
      <c r="N175">
        <v>1007</v>
      </c>
      <c r="O175" t="s">
        <v>141</v>
      </c>
      <c r="P175" t="s">
        <v>141</v>
      </c>
      <c r="Q175">
        <v>1</v>
      </c>
      <c r="W175">
        <v>0</v>
      </c>
      <c r="X175">
        <v>-157982121</v>
      </c>
      <c r="Y175">
        <f t="shared" si="77"/>
        <v>1.02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8.3800000000000008</v>
      </c>
      <c r="AJ175">
        <v>1</v>
      </c>
      <c r="AK175">
        <v>1</v>
      </c>
      <c r="AL175">
        <v>1</v>
      </c>
      <c r="AM175">
        <v>4</v>
      </c>
      <c r="AN175">
        <v>0</v>
      </c>
      <c r="AO175">
        <v>0</v>
      </c>
      <c r="AP175">
        <v>0</v>
      </c>
      <c r="AQ175">
        <v>0</v>
      </c>
      <c r="AR175">
        <v>0</v>
      </c>
      <c r="AS175" t="s">
        <v>3</v>
      </c>
      <c r="AT175">
        <v>1.02</v>
      </c>
      <c r="AU175" t="s">
        <v>3</v>
      </c>
      <c r="AV175">
        <v>0</v>
      </c>
      <c r="AW175">
        <v>2</v>
      </c>
      <c r="AX175">
        <v>145197675</v>
      </c>
      <c r="AY175">
        <v>1</v>
      </c>
      <c r="AZ175">
        <v>0</v>
      </c>
      <c r="BA175">
        <v>175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ROUND(Y175*Source!I139,9)</f>
        <v>2.04</v>
      </c>
      <c r="CY175">
        <f>AA175</f>
        <v>0</v>
      </c>
      <c r="CZ175">
        <f>AE175</f>
        <v>0</v>
      </c>
      <c r="DA175">
        <f>AI175</f>
        <v>8.3800000000000008</v>
      </c>
      <c r="DB175">
        <f t="shared" si="78"/>
        <v>0</v>
      </c>
      <c r="DC175">
        <f t="shared" si="79"/>
        <v>0</v>
      </c>
      <c r="DD175" t="s">
        <v>3</v>
      </c>
      <c r="DE175" t="s">
        <v>3</v>
      </c>
      <c r="DF175">
        <f>ROUND(ROUND(AE175*AI175,2)*CX175,2)</f>
        <v>0</v>
      </c>
      <c r="DG175">
        <f>ROUND(ROUND(AF175,2)*CX175,2)</f>
        <v>0</v>
      </c>
      <c r="DH175">
        <f>ROUND(ROUND(AG175,2)*CX175,2)</f>
        <v>0</v>
      </c>
      <c r="DI175">
        <f t="shared" si="82"/>
        <v>0</v>
      </c>
      <c r="DJ175">
        <f>DF175</f>
        <v>0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ROW(Source!A139)</f>
        <v>139</v>
      </c>
      <c r="B176">
        <v>145185703</v>
      </c>
      <c r="C176">
        <v>145197664</v>
      </c>
      <c r="D176">
        <v>140792339</v>
      </c>
      <c r="E176">
        <v>1</v>
      </c>
      <c r="F176">
        <v>1</v>
      </c>
      <c r="G176">
        <v>1</v>
      </c>
      <c r="H176">
        <v>3</v>
      </c>
      <c r="I176" t="s">
        <v>451</v>
      </c>
      <c r="J176" t="s">
        <v>452</v>
      </c>
      <c r="K176" t="s">
        <v>453</v>
      </c>
      <c r="L176">
        <v>1348</v>
      </c>
      <c r="N176">
        <v>1009</v>
      </c>
      <c r="O176" t="s">
        <v>21</v>
      </c>
      <c r="P176" t="s">
        <v>21</v>
      </c>
      <c r="Q176">
        <v>1000</v>
      </c>
      <c r="W176">
        <v>0</v>
      </c>
      <c r="X176">
        <v>-120483918</v>
      </c>
      <c r="Y176">
        <f t="shared" si="77"/>
        <v>5.6999999999999998E-4</v>
      </c>
      <c r="AA176">
        <v>37334.58</v>
      </c>
      <c r="AB176">
        <v>0</v>
      </c>
      <c r="AC176">
        <v>0</v>
      </c>
      <c r="AD176">
        <v>0</v>
      </c>
      <c r="AE176">
        <v>4455.2</v>
      </c>
      <c r="AF176">
        <v>0</v>
      </c>
      <c r="AG176">
        <v>0</v>
      </c>
      <c r="AH176">
        <v>0</v>
      </c>
      <c r="AI176">
        <v>8.3800000000000008</v>
      </c>
      <c r="AJ176">
        <v>1</v>
      </c>
      <c r="AK176">
        <v>1</v>
      </c>
      <c r="AL176">
        <v>1</v>
      </c>
      <c r="AM176">
        <v>4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5.6999999999999998E-4</v>
      </c>
      <c r="AU176" t="s">
        <v>3</v>
      </c>
      <c r="AV176">
        <v>0</v>
      </c>
      <c r="AW176">
        <v>2</v>
      </c>
      <c r="AX176">
        <v>145197676</v>
      </c>
      <c r="AY176">
        <v>1</v>
      </c>
      <c r="AZ176">
        <v>0</v>
      </c>
      <c r="BA176">
        <v>176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ROUND(Y176*Source!I139,9)</f>
        <v>1.14E-3</v>
      </c>
      <c r="CY176">
        <f>AA176</f>
        <v>37334.58</v>
      </c>
      <c r="CZ176">
        <f>AE176</f>
        <v>4455.2</v>
      </c>
      <c r="DA176">
        <f>AI176</f>
        <v>8.3800000000000008</v>
      </c>
      <c r="DB176">
        <f t="shared" si="78"/>
        <v>2.54</v>
      </c>
      <c r="DC176">
        <f t="shared" si="79"/>
        <v>0</v>
      </c>
      <c r="DD176" t="s">
        <v>3</v>
      </c>
      <c r="DE176" t="s">
        <v>3</v>
      </c>
      <c r="DF176">
        <f>ROUND(ROUND(AE176*AI176,2)*CX176,2)</f>
        <v>42.56</v>
      </c>
      <c r="DG176">
        <f>ROUND(ROUND(AF176,2)*CX176,2)</f>
        <v>0</v>
      </c>
      <c r="DH176">
        <f>ROUND(ROUND(AG176,2)*CX176,2)</f>
        <v>0</v>
      </c>
      <c r="DI176">
        <f t="shared" si="82"/>
        <v>0</v>
      </c>
      <c r="DJ176">
        <f>DF176</f>
        <v>42.56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ROW(Source!A139)</f>
        <v>139</v>
      </c>
      <c r="B177">
        <v>145185703</v>
      </c>
      <c r="C177">
        <v>145197664</v>
      </c>
      <c r="D177">
        <v>140762427</v>
      </c>
      <c r="E177">
        <v>70</v>
      </c>
      <c r="F177">
        <v>1</v>
      </c>
      <c r="G177">
        <v>1</v>
      </c>
      <c r="H177">
        <v>3</v>
      </c>
      <c r="I177" t="s">
        <v>545</v>
      </c>
      <c r="J177" t="s">
        <v>3</v>
      </c>
      <c r="K177" t="s">
        <v>546</v>
      </c>
      <c r="L177">
        <v>1348</v>
      </c>
      <c r="N177">
        <v>1009</v>
      </c>
      <c r="O177" t="s">
        <v>21</v>
      </c>
      <c r="P177" t="s">
        <v>21</v>
      </c>
      <c r="Q177">
        <v>1000</v>
      </c>
      <c r="W177">
        <v>0</v>
      </c>
      <c r="X177">
        <v>1471899773</v>
      </c>
      <c r="Y177">
        <f t="shared" si="77"/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8.3800000000000008</v>
      </c>
      <c r="AJ177">
        <v>1</v>
      </c>
      <c r="AK177">
        <v>1</v>
      </c>
      <c r="AL177">
        <v>1</v>
      </c>
      <c r="AM177">
        <v>4</v>
      </c>
      <c r="AN177">
        <v>1</v>
      </c>
      <c r="AO177">
        <v>0</v>
      </c>
      <c r="AP177">
        <v>0</v>
      </c>
      <c r="AQ177">
        <v>0</v>
      </c>
      <c r="AR177">
        <v>0</v>
      </c>
      <c r="AS177" t="s">
        <v>3</v>
      </c>
      <c r="AT177">
        <v>0</v>
      </c>
      <c r="AU177" t="s">
        <v>3</v>
      </c>
      <c r="AV177">
        <v>0</v>
      </c>
      <c r="AW177">
        <v>2</v>
      </c>
      <c r="AX177">
        <v>145197677</v>
      </c>
      <c r="AY177">
        <v>1</v>
      </c>
      <c r="AZ177">
        <v>0</v>
      </c>
      <c r="BA177">
        <v>177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ROUND(Y177*Source!I139,9)</f>
        <v>0</v>
      </c>
      <c r="CY177">
        <f>AA177</f>
        <v>0</v>
      </c>
      <c r="CZ177">
        <f>AE177</f>
        <v>0</v>
      </c>
      <c r="DA177">
        <f>AI177</f>
        <v>8.3800000000000008</v>
      </c>
      <c r="DB177">
        <f t="shared" si="78"/>
        <v>0</v>
      </c>
      <c r="DC177">
        <f t="shared" si="79"/>
        <v>0</v>
      </c>
      <c r="DD177" t="s">
        <v>3</v>
      </c>
      <c r="DE177" t="s">
        <v>3</v>
      </c>
      <c r="DF177">
        <f>ROUND(ROUND(AE177*AI177,2)*CX177,2)</f>
        <v>0</v>
      </c>
      <c r="DG177">
        <f>ROUND(ROUND(AF177,2)*CX177,2)</f>
        <v>0</v>
      </c>
      <c r="DH177">
        <f>ROUND(ROUND(AG177,2)*CX177,2)</f>
        <v>0</v>
      </c>
      <c r="DI177">
        <f t="shared" si="82"/>
        <v>0</v>
      </c>
      <c r="DJ177">
        <f>DF177</f>
        <v>0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1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ROW(Source!A29)</f>
        <v>29</v>
      </c>
      <c r="B1">
        <v>145186575</v>
      </c>
      <c r="C1">
        <v>145186574</v>
      </c>
      <c r="D1">
        <v>140759935</v>
      </c>
      <c r="E1">
        <v>70</v>
      </c>
      <c r="F1">
        <v>1</v>
      </c>
      <c r="G1">
        <v>1</v>
      </c>
      <c r="H1">
        <v>1</v>
      </c>
      <c r="I1" t="s">
        <v>392</v>
      </c>
      <c r="J1" t="s">
        <v>3</v>
      </c>
      <c r="K1" t="s">
        <v>393</v>
      </c>
      <c r="L1">
        <v>1191</v>
      </c>
      <c r="N1">
        <v>1013</v>
      </c>
      <c r="O1" t="s">
        <v>394</v>
      </c>
      <c r="P1" t="s">
        <v>394</v>
      </c>
      <c r="Q1">
        <v>1</v>
      </c>
      <c r="X1">
        <v>15.9</v>
      </c>
      <c r="Y1">
        <v>0</v>
      </c>
      <c r="Z1">
        <v>0</v>
      </c>
      <c r="AA1">
        <v>0</v>
      </c>
      <c r="AB1">
        <v>7.8</v>
      </c>
      <c r="AC1">
        <v>0</v>
      </c>
      <c r="AD1">
        <v>1</v>
      </c>
      <c r="AE1">
        <v>1</v>
      </c>
      <c r="AF1" t="s">
        <v>3</v>
      </c>
      <c r="AG1">
        <v>15.9</v>
      </c>
      <c r="AH1">
        <v>2</v>
      </c>
      <c r="AI1">
        <v>145186575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145186576</v>
      </c>
      <c r="C2">
        <v>145186574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395</v>
      </c>
      <c r="J2" t="s">
        <v>396</v>
      </c>
      <c r="K2" t="s">
        <v>397</v>
      </c>
      <c r="L2">
        <v>1367</v>
      </c>
      <c r="N2">
        <v>1011</v>
      </c>
      <c r="O2" t="s">
        <v>398</v>
      </c>
      <c r="P2" t="s">
        <v>398</v>
      </c>
      <c r="Q2">
        <v>1</v>
      </c>
      <c r="X2">
        <v>4.5999999999999996</v>
      </c>
      <c r="Y2">
        <v>0</v>
      </c>
      <c r="Z2">
        <v>6.66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4.5999999999999996</v>
      </c>
      <c r="AH2">
        <v>2</v>
      </c>
      <c r="AI2">
        <v>145186576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145186577</v>
      </c>
      <c r="C3">
        <v>145186574</v>
      </c>
      <c r="D3">
        <v>140765020</v>
      </c>
      <c r="E3">
        <v>70</v>
      </c>
      <c r="F3">
        <v>1</v>
      </c>
      <c r="G3">
        <v>1</v>
      </c>
      <c r="H3">
        <v>3</v>
      </c>
      <c r="I3" t="s">
        <v>399</v>
      </c>
      <c r="J3" t="s">
        <v>3</v>
      </c>
      <c r="K3" t="s">
        <v>400</v>
      </c>
      <c r="L3">
        <v>1348</v>
      </c>
      <c r="N3">
        <v>1009</v>
      </c>
      <c r="O3" t="s">
        <v>21</v>
      </c>
      <c r="P3" t="s">
        <v>21</v>
      </c>
      <c r="Q3">
        <v>1000</v>
      </c>
      <c r="X3">
        <v>2.1800000000000002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 t="s">
        <v>3</v>
      </c>
      <c r="AG3">
        <v>2.1800000000000002</v>
      </c>
      <c r="AH3">
        <v>2</v>
      </c>
      <c r="AI3">
        <v>145186577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145187279</v>
      </c>
      <c r="C4">
        <v>145187278</v>
      </c>
      <c r="D4">
        <v>140759985</v>
      </c>
      <c r="E4">
        <v>70</v>
      </c>
      <c r="F4">
        <v>1</v>
      </c>
      <c r="G4">
        <v>1</v>
      </c>
      <c r="H4">
        <v>1</v>
      </c>
      <c r="I4" t="s">
        <v>401</v>
      </c>
      <c r="J4" t="s">
        <v>3</v>
      </c>
      <c r="K4" t="s">
        <v>402</v>
      </c>
      <c r="L4">
        <v>1191</v>
      </c>
      <c r="N4">
        <v>1013</v>
      </c>
      <c r="O4" t="s">
        <v>394</v>
      </c>
      <c r="P4" t="s">
        <v>394</v>
      </c>
      <c r="Q4">
        <v>1</v>
      </c>
      <c r="X4">
        <v>31.7</v>
      </c>
      <c r="Y4">
        <v>0</v>
      </c>
      <c r="Z4">
        <v>0</v>
      </c>
      <c r="AA4">
        <v>0</v>
      </c>
      <c r="AB4">
        <v>8.74</v>
      </c>
      <c r="AC4">
        <v>0</v>
      </c>
      <c r="AD4">
        <v>1</v>
      </c>
      <c r="AE4">
        <v>1</v>
      </c>
      <c r="AF4" t="s">
        <v>43</v>
      </c>
      <c r="AG4">
        <v>36.454999999999998</v>
      </c>
      <c r="AH4">
        <v>2</v>
      </c>
      <c r="AI4">
        <v>145187279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145187280</v>
      </c>
      <c r="C5">
        <v>145187278</v>
      </c>
      <c r="D5">
        <v>140760225</v>
      </c>
      <c r="E5">
        <v>70</v>
      </c>
      <c r="F5">
        <v>1</v>
      </c>
      <c r="G5">
        <v>1</v>
      </c>
      <c r="H5">
        <v>1</v>
      </c>
      <c r="I5" t="s">
        <v>403</v>
      </c>
      <c r="J5" t="s">
        <v>3</v>
      </c>
      <c r="K5" t="s">
        <v>404</v>
      </c>
      <c r="L5">
        <v>1191</v>
      </c>
      <c r="N5">
        <v>1013</v>
      </c>
      <c r="O5" t="s">
        <v>394</v>
      </c>
      <c r="P5" t="s">
        <v>394</v>
      </c>
      <c r="Q5">
        <v>1</v>
      </c>
      <c r="X5">
        <v>2.93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2</v>
      </c>
      <c r="AF5" t="s">
        <v>42</v>
      </c>
      <c r="AG5">
        <v>3.6625000000000001</v>
      </c>
      <c r="AH5">
        <v>2</v>
      </c>
      <c r="AI5">
        <v>145187280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145187281</v>
      </c>
      <c r="C6">
        <v>145187278</v>
      </c>
      <c r="D6">
        <v>140922906</v>
      </c>
      <c r="E6">
        <v>1</v>
      </c>
      <c r="F6">
        <v>1</v>
      </c>
      <c r="G6">
        <v>1</v>
      </c>
      <c r="H6">
        <v>2</v>
      </c>
      <c r="I6" t="s">
        <v>405</v>
      </c>
      <c r="J6" t="s">
        <v>406</v>
      </c>
      <c r="K6" t="s">
        <v>407</v>
      </c>
      <c r="L6">
        <v>1367</v>
      </c>
      <c r="N6">
        <v>1011</v>
      </c>
      <c r="O6" t="s">
        <v>398</v>
      </c>
      <c r="P6" t="s">
        <v>398</v>
      </c>
      <c r="Q6">
        <v>1</v>
      </c>
      <c r="X6">
        <v>0.04</v>
      </c>
      <c r="Y6">
        <v>0</v>
      </c>
      <c r="Z6">
        <v>120.24</v>
      </c>
      <c r="AA6">
        <v>15.42</v>
      </c>
      <c r="AB6">
        <v>0</v>
      </c>
      <c r="AC6">
        <v>0</v>
      </c>
      <c r="AD6">
        <v>1</v>
      </c>
      <c r="AE6">
        <v>0</v>
      </c>
      <c r="AF6" t="s">
        <v>42</v>
      </c>
      <c r="AG6">
        <v>0.05</v>
      </c>
      <c r="AH6">
        <v>2</v>
      </c>
      <c r="AI6">
        <v>145187281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145187282</v>
      </c>
      <c r="C7">
        <v>145187278</v>
      </c>
      <c r="D7">
        <v>140922951</v>
      </c>
      <c r="E7">
        <v>1</v>
      </c>
      <c r="F7">
        <v>1</v>
      </c>
      <c r="G7">
        <v>1</v>
      </c>
      <c r="H7">
        <v>2</v>
      </c>
      <c r="I7" t="s">
        <v>408</v>
      </c>
      <c r="J7" t="s">
        <v>409</v>
      </c>
      <c r="K7" t="s">
        <v>410</v>
      </c>
      <c r="L7">
        <v>1367</v>
      </c>
      <c r="N7">
        <v>1011</v>
      </c>
      <c r="O7" t="s">
        <v>398</v>
      </c>
      <c r="P7" t="s">
        <v>398</v>
      </c>
      <c r="Q7">
        <v>1</v>
      </c>
      <c r="X7">
        <v>0.21</v>
      </c>
      <c r="Y7">
        <v>0</v>
      </c>
      <c r="Z7">
        <v>115.4</v>
      </c>
      <c r="AA7">
        <v>13.5</v>
      </c>
      <c r="AB7">
        <v>0</v>
      </c>
      <c r="AC7">
        <v>0</v>
      </c>
      <c r="AD7">
        <v>1</v>
      </c>
      <c r="AE7">
        <v>0</v>
      </c>
      <c r="AF7" t="s">
        <v>42</v>
      </c>
      <c r="AG7">
        <v>0.26250000000000001</v>
      </c>
      <c r="AH7">
        <v>2</v>
      </c>
      <c r="AI7">
        <v>145187282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145187283</v>
      </c>
      <c r="C8">
        <v>145187278</v>
      </c>
      <c r="D8">
        <v>140922958</v>
      </c>
      <c r="E8">
        <v>1</v>
      </c>
      <c r="F8">
        <v>1</v>
      </c>
      <c r="G8">
        <v>1</v>
      </c>
      <c r="H8">
        <v>2</v>
      </c>
      <c r="I8" t="s">
        <v>411</v>
      </c>
      <c r="J8" t="s">
        <v>412</v>
      </c>
      <c r="K8" t="s">
        <v>413</v>
      </c>
      <c r="L8">
        <v>1367</v>
      </c>
      <c r="N8">
        <v>1011</v>
      </c>
      <c r="O8" t="s">
        <v>398</v>
      </c>
      <c r="P8" t="s">
        <v>398</v>
      </c>
      <c r="Q8">
        <v>1</v>
      </c>
      <c r="X8">
        <v>2.36</v>
      </c>
      <c r="Y8">
        <v>0</v>
      </c>
      <c r="Z8">
        <v>175.56</v>
      </c>
      <c r="AA8">
        <v>14.4</v>
      </c>
      <c r="AB8">
        <v>0</v>
      </c>
      <c r="AC8">
        <v>0</v>
      </c>
      <c r="AD8">
        <v>1</v>
      </c>
      <c r="AE8">
        <v>0</v>
      </c>
      <c r="AF8" t="s">
        <v>42</v>
      </c>
      <c r="AG8">
        <v>2.9499999999999997</v>
      </c>
      <c r="AH8">
        <v>2</v>
      </c>
      <c r="AI8">
        <v>145187283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145187284</v>
      </c>
      <c r="C9">
        <v>145187278</v>
      </c>
      <c r="D9">
        <v>140923032</v>
      </c>
      <c r="E9">
        <v>1</v>
      </c>
      <c r="F9">
        <v>1</v>
      </c>
      <c r="G9">
        <v>1</v>
      </c>
      <c r="H9">
        <v>2</v>
      </c>
      <c r="I9" t="s">
        <v>414</v>
      </c>
      <c r="J9" t="s">
        <v>415</v>
      </c>
      <c r="K9" t="s">
        <v>416</v>
      </c>
      <c r="L9">
        <v>1367</v>
      </c>
      <c r="N9">
        <v>1011</v>
      </c>
      <c r="O9" t="s">
        <v>398</v>
      </c>
      <c r="P9" t="s">
        <v>398</v>
      </c>
      <c r="Q9">
        <v>1</v>
      </c>
      <c r="X9">
        <v>0.88</v>
      </c>
      <c r="Y9">
        <v>0</v>
      </c>
      <c r="Z9">
        <v>0.9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42</v>
      </c>
      <c r="AG9">
        <v>1.1000000000000001</v>
      </c>
      <c r="AH9">
        <v>2</v>
      </c>
      <c r="AI9">
        <v>145187284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145187285</v>
      </c>
      <c r="C10">
        <v>145187278</v>
      </c>
      <c r="D10">
        <v>140923885</v>
      </c>
      <c r="E10">
        <v>1</v>
      </c>
      <c r="F10">
        <v>1</v>
      </c>
      <c r="G10">
        <v>1</v>
      </c>
      <c r="H10">
        <v>2</v>
      </c>
      <c r="I10" t="s">
        <v>417</v>
      </c>
      <c r="J10" t="s">
        <v>418</v>
      </c>
      <c r="K10" t="s">
        <v>419</v>
      </c>
      <c r="L10">
        <v>1367</v>
      </c>
      <c r="N10">
        <v>1011</v>
      </c>
      <c r="O10" t="s">
        <v>398</v>
      </c>
      <c r="P10" t="s">
        <v>398</v>
      </c>
      <c r="Q10">
        <v>1</v>
      </c>
      <c r="X10">
        <v>0.32</v>
      </c>
      <c r="Y10">
        <v>0</v>
      </c>
      <c r="Z10">
        <v>65.709999999999994</v>
      </c>
      <c r="AA10">
        <v>11.6</v>
      </c>
      <c r="AB10">
        <v>0</v>
      </c>
      <c r="AC10">
        <v>0</v>
      </c>
      <c r="AD10">
        <v>1</v>
      </c>
      <c r="AE10">
        <v>0</v>
      </c>
      <c r="AF10" t="s">
        <v>42</v>
      </c>
      <c r="AG10">
        <v>0.4</v>
      </c>
      <c r="AH10">
        <v>2</v>
      </c>
      <c r="AI10">
        <v>145187285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145187286</v>
      </c>
      <c r="C11">
        <v>145187278</v>
      </c>
      <c r="D11">
        <v>140924041</v>
      </c>
      <c r="E11">
        <v>1</v>
      </c>
      <c r="F11">
        <v>1</v>
      </c>
      <c r="G11">
        <v>1</v>
      </c>
      <c r="H11">
        <v>2</v>
      </c>
      <c r="I11" t="s">
        <v>420</v>
      </c>
      <c r="J11" t="s">
        <v>421</v>
      </c>
      <c r="K11" t="s">
        <v>422</v>
      </c>
      <c r="L11">
        <v>1367</v>
      </c>
      <c r="N11">
        <v>1011</v>
      </c>
      <c r="O11" t="s">
        <v>398</v>
      </c>
      <c r="P11" t="s">
        <v>398</v>
      </c>
      <c r="Q11">
        <v>1</v>
      </c>
      <c r="X11">
        <v>1.68</v>
      </c>
      <c r="Y11">
        <v>0</v>
      </c>
      <c r="Z11">
        <v>1.2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42</v>
      </c>
      <c r="AG11">
        <v>2.1</v>
      </c>
      <c r="AH11">
        <v>2</v>
      </c>
      <c r="AI11">
        <v>145187286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ROW(Source!A30)</f>
        <v>30</v>
      </c>
      <c r="B12">
        <v>145187287</v>
      </c>
      <c r="C12">
        <v>145187278</v>
      </c>
      <c r="D12">
        <v>140924084</v>
      </c>
      <c r="E12">
        <v>1</v>
      </c>
      <c r="F12">
        <v>1</v>
      </c>
      <c r="G12">
        <v>1</v>
      </c>
      <c r="H12">
        <v>2</v>
      </c>
      <c r="I12" t="s">
        <v>423</v>
      </c>
      <c r="J12" t="s">
        <v>424</v>
      </c>
      <c r="K12" t="s">
        <v>425</v>
      </c>
      <c r="L12">
        <v>1367</v>
      </c>
      <c r="N12">
        <v>1011</v>
      </c>
      <c r="O12" t="s">
        <v>398</v>
      </c>
      <c r="P12" t="s">
        <v>398</v>
      </c>
      <c r="Q12">
        <v>1</v>
      </c>
      <c r="X12">
        <v>0.16</v>
      </c>
      <c r="Y12">
        <v>0</v>
      </c>
      <c r="Z12">
        <v>12.31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42</v>
      </c>
      <c r="AG12">
        <v>0.2</v>
      </c>
      <c r="AH12">
        <v>2</v>
      </c>
      <c r="AI12">
        <v>145187287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ROW(Source!A30)</f>
        <v>30</v>
      </c>
      <c r="B13">
        <v>145187288</v>
      </c>
      <c r="C13">
        <v>145187278</v>
      </c>
      <c r="D13">
        <v>140771005</v>
      </c>
      <c r="E13">
        <v>1</v>
      </c>
      <c r="F13">
        <v>1</v>
      </c>
      <c r="G13">
        <v>1</v>
      </c>
      <c r="H13">
        <v>3</v>
      </c>
      <c r="I13" t="s">
        <v>426</v>
      </c>
      <c r="J13" t="s">
        <v>427</v>
      </c>
      <c r="K13" t="s">
        <v>428</v>
      </c>
      <c r="L13">
        <v>1339</v>
      </c>
      <c r="N13">
        <v>1007</v>
      </c>
      <c r="O13" t="s">
        <v>141</v>
      </c>
      <c r="P13" t="s">
        <v>141</v>
      </c>
      <c r="Q13">
        <v>1</v>
      </c>
      <c r="X13">
        <v>1.4</v>
      </c>
      <c r="Y13">
        <v>6.22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1.4</v>
      </c>
      <c r="AH13">
        <v>2</v>
      </c>
      <c r="AI13">
        <v>145187288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ROW(Source!A30)</f>
        <v>30</v>
      </c>
      <c r="B14">
        <v>145187289</v>
      </c>
      <c r="C14">
        <v>145187278</v>
      </c>
      <c r="D14">
        <v>140771011</v>
      </c>
      <c r="E14">
        <v>1</v>
      </c>
      <c r="F14">
        <v>1</v>
      </c>
      <c r="G14">
        <v>1</v>
      </c>
      <c r="H14">
        <v>3</v>
      </c>
      <c r="I14" t="s">
        <v>429</v>
      </c>
      <c r="J14" t="s">
        <v>430</v>
      </c>
      <c r="K14" t="s">
        <v>431</v>
      </c>
      <c r="L14">
        <v>1346</v>
      </c>
      <c r="N14">
        <v>1009</v>
      </c>
      <c r="O14" t="s">
        <v>432</v>
      </c>
      <c r="P14" t="s">
        <v>432</v>
      </c>
      <c r="Q14">
        <v>1</v>
      </c>
      <c r="X14">
        <v>0.42</v>
      </c>
      <c r="Y14">
        <v>6.09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0.42</v>
      </c>
      <c r="AH14">
        <v>2</v>
      </c>
      <c r="AI14">
        <v>145187289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145187290</v>
      </c>
      <c r="C15">
        <v>145187278</v>
      </c>
      <c r="D15">
        <v>140773776</v>
      </c>
      <c r="E15">
        <v>1</v>
      </c>
      <c r="F15">
        <v>1</v>
      </c>
      <c r="G15">
        <v>1</v>
      </c>
      <c r="H15">
        <v>3</v>
      </c>
      <c r="I15" t="s">
        <v>433</v>
      </c>
      <c r="J15" t="s">
        <v>434</v>
      </c>
      <c r="K15" t="s">
        <v>435</v>
      </c>
      <c r="L15">
        <v>1348</v>
      </c>
      <c r="N15">
        <v>1009</v>
      </c>
      <c r="O15" t="s">
        <v>21</v>
      </c>
      <c r="P15" t="s">
        <v>21</v>
      </c>
      <c r="Q15">
        <v>1000</v>
      </c>
      <c r="X15">
        <v>6.0999999999999997E-4</v>
      </c>
      <c r="Y15">
        <v>10315.01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6.0999999999999997E-4</v>
      </c>
      <c r="AH15">
        <v>2</v>
      </c>
      <c r="AI15">
        <v>145187290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145187291</v>
      </c>
      <c r="C16">
        <v>145187278</v>
      </c>
      <c r="D16">
        <v>140775017</v>
      </c>
      <c r="E16">
        <v>1</v>
      </c>
      <c r="F16">
        <v>1</v>
      </c>
      <c r="G16">
        <v>1</v>
      </c>
      <c r="H16">
        <v>3</v>
      </c>
      <c r="I16" t="s">
        <v>436</v>
      </c>
      <c r="J16" t="s">
        <v>437</v>
      </c>
      <c r="K16" t="s">
        <v>438</v>
      </c>
      <c r="L16">
        <v>1346</v>
      </c>
      <c r="N16">
        <v>1009</v>
      </c>
      <c r="O16" t="s">
        <v>432</v>
      </c>
      <c r="P16" t="s">
        <v>432</v>
      </c>
      <c r="Q16">
        <v>1</v>
      </c>
      <c r="X16">
        <v>2.2000000000000002</v>
      </c>
      <c r="Y16">
        <v>9.0399999999999991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2.2000000000000002</v>
      </c>
      <c r="AH16">
        <v>2</v>
      </c>
      <c r="AI16">
        <v>145187291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145187292</v>
      </c>
      <c r="C17">
        <v>145187278</v>
      </c>
      <c r="D17">
        <v>140776229</v>
      </c>
      <c r="E17">
        <v>1</v>
      </c>
      <c r="F17">
        <v>1</v>
      </c>
      <c r="G17">
        <v>1</v>
      </c>
      <c r="H17">
        <v>3</v>
      </c>
      <c r="I17" t="s">
        <v>439</v>
      </c>
      <c r="J17" t="s">
        <v>440</v>
      </c>
      <c r="K17" t="s">
        <v>441</v>
      </c>
      <c r="L17">
        <v>1348</v>
      </c>
      <c r="N17">
        <v>1009</v>
      </c>
      <c r="O17" t="s">
        <v>21</v>
      </c>
      <c r="P17" t="s">
        <v>21</v>
      </c>
      <c r="Q17">
        <v>1000</v>
      </c>
      <c r="X17">
        <v>1.4999999999999999E-4</v>
      </c>
      <c r="Y17">
        <v>37900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1.4999999999999999E-4</v>
      </c>
      <c r="AH17">
        <v>2</v>
      </c>
      <c r="AI17">
        <v>145187292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145187293</v>
      </c>
      <c r="C18">
        <v>145187278</v>
      </c>
      <c r="D18">
        <v>140789856</v>
      </c>
      <c r="E18">
        <v>1</v>
      </c>
      <c r="F18">
        <v>1</v>
      </c>
      <c r="G18">
        <v>1</v>
      </c>
      <c r="H18">
        <v>3</v>
      </c>
      <c r="I18" t="s">
        <v>442</v>
      </c>
      <c r="J18" t="s">
        <v>443</v>
      </c>
      <c r="K18" t="s">
        <v>444</v>
      </c>
      <c r="L18">
        <v>1348</v>
      </c>
      <c r="N18">
        <v>1009</v>
      </c>
      <c r="O18" t="s">
        <v>21</v>
      </c>
      <c r="P18" t="s">
        <v>21</v>
      </c>
      <c r="Q18">
        <v>1000</v>
      </c>
      <c r="X18">
        <v>1.0999999999999999E-2</v>
      </c>
      <c r="Y18">
        <v>7712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1.0999999999999999E-2</v>
      </c>
      <c r="AH18">
        <v>2</v>
      </c>
      <c r="AI18">
        <v>145187293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145187294</v>
      </c>
      <c r="C19">
        <v>145187278</v>
      </c>
      <c r="D19">
        <v>140762187</v>
      </c>
      <c r="E19">
        <v>70</v>
      </c>
      <c r="F19">
        <v>1</v>
      </c>
      <c r="G19">
        <v>1</v>
      </c>
      <c r="H19">
        <v>3</v>
      </c>
      <c r="I19" t="s">
        <v>445</v>
      </c>
      <c r="J19" t="s">
        <v>3</v>
      </c>
      <c r="K19" t="s">
        <v>446</v>
      </c>
      <c r="L19">
        <v>1348</v>
      </c>
      <c r="N19">
        <v>1009</v>
      </c>
      <c r="O19" t="s">
        <v>21</v>
      </c>
      <c r="P19" t="s">
        <v>21</v>
      </c>
      <c r="Q19">
        <v>1000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 t="s">
        <v>3</v>
      </c>
      <c r="AG19">
        <v>0</v>
      </c>
      <c r="AH19">
        <v>2</v>
      </c>
      <c r="AI19">
        <v>145187294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145187295</v>
      </c>
      <c r="C20">
        <v>145187278</v>
      </c>
      <c r="D20">
        <v>140791984</v>
      </c>
      <c r="E20">
        <v>1</v>
      </c>
      <c r="F20">
        <v>1</v>
      </c>
      <c r="G20">
        <v>1</v>
      </c>
      <c r="H20">
        <v>3</v>
      </c>
      <c r="I20" t="s">
        <v>447</v>
      </c>
      <c r="J20" t="s">
        <v>448</v>
      </c>
      <c r="K20" t="s">
        <v>449</v>
      </c>
      <c r="L20">
        <v>1302</v>
      </c>
      <c r="N20">
        <v>1003</v>
      </c>
      <c r="O20" t="s">
        <v>450</v>
      </c>
      <c r="P20" t="s">
        <v>450</v>
      </c>
      <c r="Q20">
        <v>10</v>
      </c>
      <c r="X20">
        <v>1.6E-2</v>
      </c>
      <c r="Y20">
        <v>50.24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1.6E-2</v>
      </c>
      <c r="AH20">
        <v>2</v>
      </c>
      <c r="AI20">
        <v>145187295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ROW(Source!A30)</f>
        <v>30</v>
      </c>
      <c r="B21">
        <v>145187296</v>
      </c>
      <c r="C21">
        <v>145187278</v>
      </c>
      <c r="D21">
        <v>140792339</v>
      </c>
      <c r="E21">
        <v>1</v>
      </c>
      <c r="F21">
        <v>1</v>
      </c>
      <c r="G21">
        <v>1</v>
      </c>
      <c r="H21">
        <v>3</v>
      </c>
      <c r="I21" t="s">
        <v>451</v>
      </c>
      <c r="J21" t="s">
        <v>452</v>
      </c>
      <c r="K21" t="s">
        <v>453</v>
      </c>
      <c r="L21">
        <v>1348</v>
      </c>
      <c r="N21">
        <v>1009</v>
      </c>
      <c r="O21" t="s">
        <v>21</v>
      </c>
      <c r="P21" t="s">
        <v>21</v>
      </c>
      <c r="Q21">
        <v>1000</v>
      </c>
      <c r="X21">
        <v>4.0000000000000003E-5</v>
      </c>
      <c r="Y21">
        <v>4455.2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4.0000000000000003E-5</v>
      </c>
      <c r="AH21">
        <v>2</v>
      </c>
      <c r="AI21">
        <v>145187296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ROW(Source!A30)</f>
        <v>30</v>
      </c>
      <c r="B22">
        <v>145187297</v>
      </c>
      <c r="C22">
        <v>145187278</v>
      </c>
      <c r="D22">
        <v>140762343</v>
      </c>
      <c r="E22">
        <v>70</v>
      </c>
      <c r="F22">
        <v>1</v>
      </c>
      <c r="G22">
        <v>1</v>
      </c>
      <c r="H22">
        <v>3</v>
      </c>
      <c r="I22" t="s">
        <v>454</v>
      </c>
      <c r="J22" t="s">
        <v>3</v>
      </c>
      <c r="K22" t="s">
        <v>455</v>
      </c>
      <c r="L22">
        <v>1348</v>
      </c>
      <c r="N22">
        <v>1009</v>
      </c>
      <c r="O22" t="s">
        <v>21</v>
      </c>
      <c r="P22" t="s">
        <v>21</v>
      </c>
      <c r="Q22">
        <v>1000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</v>
      </c>
      <c r="AD22">
        <v>0</v>
      </c>
      <c r="AE22">
        <v>0</v>
      </c>
      <c r="AF22" t="s">
        <v>3</v>
      </c>
      <c r="AG22">
        <v>0</v>
      </c>
      <c r="AH22">
        <v>2</v>
      </c>
      <c r="AI22">
        <v>145187297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145187298</v>
      </c>
      <c r="C23">
        <v>145187278</v>
      </c>
      <c r="D23">
        <v>140793072</v>
      </c>
      <c r="E23">
        <v>1</v>
      </c>
      <c r="F23">
        <v>1</v>
      </c>
      <c r="G23">
        <v>1</v>
      </c>
      <c r="H23">
        <v>3</v>
      </c>
      <c r="I23" t="s">
        <v>456</v>
      </c>
      <c r="J23" t="s">
        <v>457</v>
      </c>
      <c r="K23" t="s">
        <v>458</v>
      </c>
      <c r="L23">
        <v>1348</v>
      </c>
      <c r="N23">
        <v>1009</v>
      </c>
      <c r="O23" t="s">
        <v>21</v>
      </c>
      <c r="P23" t="s">
        <v>21</v>
      </c>
      <c r="Q23">
        <v>1000</v>
      </c>
      <c r="X23">
        <v>2.97E-3</v>
      </c>
      <c r="Y23">
        <v>4920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2.97E-3</v>
      </c>
      <c r="AH23">
        <v>2</v>
      </c>
      <c r="AI23">
        <v>145187298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145187299</v>
      </c>
      <c r="C24">
        <v>145187278</v>
      </c>
      <c r="D24">
        <v>140796351</v>
      </c>
      <c r="E24">
        <v>1</v>
      </c>
      <c r="F24">
        <v>1</v>
      </c>
      <c r="G24">
        <v>1</v>
      </c>
      <c r="H24">
        <v>3</v>
      </c>
      <c r="I24" t="s">
        <v>459</v>
      </c>
      <c r="J24" t="s">
        <v>460</v>
      </c>
      <c r="K24" t="s">
        <v>461</v>
      </c>
      <c r="L24">
        <v>1339</v>
      </c>
      <c r="N24">
        <v>1007</v>
      </c>
      <c r="O24" t="s">
        <v>141</v>
      </c>
      <c r="P24" t="s">
        <v>141</v>
      </c>
      <c r="Q24">
        <v>1</v>
      </c>
      <c r="X24">
        <v>1.2999999999999999E-3</v>
      </c>
      <c r="Y24">
        <v>1700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1.2999999999999999E-3</v>
      </c>
      <c r="AH24">
        <v>2</v>
      </c>
      <c r="AI24">
        <v>145187299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145187300</v>
      </c>
      <c r="C25">
        <v>145187278</v>
      </c>
      <c r="D25">
        <v>140804058</v>
      </c>
      <c r="E25">
        <v>1</v>
      </c>
      <c r="F25">
        <v>1</v>
      </c>
      <c r="G25">
        <v>1</v>
      </c>
      <c r="H25">
        <v>3</v>
      </c>
      <c r="I25" t="s">
        <v>462</v>
      </c>
      <c r="J25" t="s">
        <v>463</v>
      </c>
      <c r="K25" t="s">
        <v>464</v>
      </c>
      <c r="L25">
        <v>1348</v>
      </c>
      <c r="N25">
        <v>1009</v>
      </c>
      <c r="O25" t="s">
        <v>21</v>
      </c>
      <c r="P25" t="s">
        <v>21</v>
      </c>
      <c r="Q25">
        <v>1000</v>
      </c>
      <c r="X25">
        <v>4.6999999999999999E-4</v>
      </c>
      <c r="Y25">
        <v>15620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4.6999999999999999E-4</v>
      </c>
      <c r="AH25">
        <v>2</v>
      </c>
      <c r="AI25">
        <v>145187300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ROW(Source!A30)</f>
        <v>30</v>
      </c>
      <c r="B26">
        <v>145187301</v>
      </c>
      <c r="C26">
        <v>145187278</v>
      </c>
      <c r="D26">
        <v>140805182</v>
      </c>
      <c r="E26">
        <v>1</v>
      </c>
      <c r="F26">
        <v>1</v>
      </c>
      <c r="G26">
        <v>1</v>
      </c>
      <c r="H26">
        <v>3</v>
      </c>
      <c r="I26" t="s">
        <v>465</v>
      </c>
      <c r="J26" t="s">
        <v>466</v>
      </c>
      <c r="K26" t="s">
        <v>467</v>
      </c>
      <c r="L26">
        <v>1346</v>
      </c>
      <c r="N26">
        <v>1009</v>
      </c>
      <c r="O26" t="s">
        <v>432</v>
      </c>
      <c r="P26" t="s">
        <v>432</v>
      </c>
      <c r="Q26">
        <v>1</v>
      </c>
      <c r="X26">
        <v>0.09</v>
      </c>
      <c r="Y26">
        <v>9.42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0.09</v>
      </c>
      <c r="AH26">
        <v>2</v>
      </c>
      <c r="AI26">
        <v>145187301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ROW(Source!A33)</f>
        <v>33</v>
      </c>
      <c r="B27">
        <v>145196887</v>
      </c>
      <c r="C27">
        <v>145196886</v>
      </c>
      <c r="D27">
        <v>140759979</v>
      </c>
      <c r="E27">
        <v>70</v>
      </c>
      <c r="F27">
        <v>1</v>
      </c>
      <c r="G27">
        <v>1</v>
      </c>
      <c r="H27">
        <v>1</v>
      </c>
      <c r="I27" t="s">
        <v>468</v>
      </c>
      <c r="J27" t="s">
        <v>3</v>
      </c>
      <c r="K27" t="s">
        <v>469</v>
      </c>
      <c r="L27">
        <v>1191</v>
      </c>
      <c r="N27">
        <v>1013</v>
      </c>
      <c r="O27" t="s">
        <v>394</v>
      </c>
      <c r="P27" t="s">
        <v>394</v>
      </c>
      <c r="Q27">
        <v>1</v>
      </c>
      <c r="X27">
        <v>97.2</v>
      </c>
      <c r="Y27">
        <v>0</v>
      </c>
      <c r="Z27">
        <v>0</v>
      </c>
      <c r="AA27">
        <v>0</v>
      </c>
      <c r="AB27">
        <v>8.5299999999999994</v>
      </c>
      <c r="AC27">
        <v>0</v>
      </c>
      <c r="AD27">
        <v>1</v>
      </c>
      <c r="AE27">
        <v>1</v>
      </c>
      <c r="AF27" t="s">
        <v>43</v>
      </c>
      <c r="AG27">
        <v>111.78</v>
      </c>
      <c r="AH27">
        <v>2</v>
      </c>
      <c r="AI27">
        <v>145196887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ROW(Source!A33)</f>
        <v>33</v>
      </c>
      <c r="B28">
        <v>145196888</v>
      </c>
      <c r="C28">
        <v>145196886</v>
      </c>
      <c r="D28">
        <v>140760225</v>
      </c>
      <c r="E28">
        <v>70</v>
      </c>
      <c r="F28">
        <v>1</v>
      </c>
      <c r="G28">
        <v>1</v>
      </c>
      <c r="H28">
        <v>1</v>
      </c>
      <c r="I28" t="s">
        <v>403</v>
      </c>
      <c r="J28" t="s">
        <v>3</v>
      </c>
      <c r="K28" t="s">
        <v>404</v>
      </c>
      <c r="L28">
        <v>1191</v>
      </c>
      <c r="N28">
        <v>1013</v>
      </c>
      <c r="O28" t="s">
        <v>394</v>
      </c>
      <c r="P28" t="s">
        <v>394</v>
      </c>
      <c r="Q28">
        <v>1</v>
      </c>
      <c r="X28">
        <v>0.27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2</v>
      </c>
      <c r="AF28" t="s">
        <v>42</v>
      </c>
      <c r="AG28">
        <v>0.33750000000000002</v>
      </c>
      <c r="AH28">
        <v>2</v>
      </c>
      <c r="AI28">
        <v>145196888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ROW(Source!A33)</f>
        <v>33</v>
      </c>
      <c r="B29">
        <v>145196889</v>
      </c>
      <c r="C29">
        <v>145196886</v>
      </c>
      <c r="D29">
        <v>140922893</v>
      </c>
      <c r="E29">
        <v>1</v>
      </c>
      <c r="F29">
        <v>1</v>
      </c>
      <c r="G29">
        <v>1</v>
      </c>
      <c r="H29">
        <v>2</v>
      </c>
      <c r="I29" t="s">
        <v>470</v>
      </c>
      <c r="J29" t="s">
        <v>471</v>
      </c>
      <c r="K29" t="s">
        <v>472</v>
      </c>
      <c r="L29">
        <v>1367</v>
      </c>
      <c r="N29">
        <v>1011</v>
      </c>
      <c r="O29" t="s">
        <v>398</v>
      </c>
      <c r="P29" t="s">
        <v>398</v>
      </c>
      <c r="Q29">
        <v>1</v>
      </c>
      <c r="X29">
        <v>0.2</v>
      </c>
      <c r="Y29">
        <v>0</v>
      </c>
      <c r="Z29">
        <v>86.4</v>
      </c>
      <c r="AA29">
        <v>13.5</v>
      </c>
      <c r="AB29">
        <v>0</v>
      </c>
      <c r="AC29">
        <v>0</v>
      </c>
      <c r="AD29">
        <v>1</v>
      </c>
      <c r="AE29">
        <v>0</v>
      </c>
      <c r="AF29" t="s">
        <v>42</v>
      </c>
      <c r="AG29">
        <v>0.25</v>
      </c>
      <c r="AH29">
        <v>2</v>
      </c>
      <c r="AI29">
        <v>145196889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ROW(Source!A33)</f>
        <v>33</v>
      </c>
      <c r="B30">
        <v>145196890</v>
      </c>
      <c r="C30">
        <v>145196886</v>
      </c>
      <c r="D30">
        <v>140923885</v>
      </c>
      <c r="E30">
        <v>1</v>
      </c>
      <c r="F30">
        <v>1</v>
      </c>
      <c r="G30">
        <v>1</v>
      </c>
      <c r="H30">
        <v>2</v>
      </c>
      <c r="I30" t="s">
        <v>417</v>
      </c>
      <c r="J30" t="s">
        <v>418</v>
      </c>
      <c r="K30" t="s">
        <v>419</v>
      </c>
      <c r="L30">
        <v>1367</v>
      </c>
      <c r="N30">
        <v>1011</v>
      </c>
      <c r="O30" t="s">
        <v>398</v>
      </c>
      <c r="P30" t="s">
        <v>398</v>
      </c>
      <c r="Q30">
        <v>1</v>
      </c>
      <c r="X30">
        <v>7.0000000000000007E-2</v>
      </c>
      <c r="Y30">
        <v>0</v>
      </c>
      <c r="Z30">
        <v>65.709999999999994</v>
      </c>
      <c r="AA30">
        <v>11.6</v>
      </c>
      <c r="AB30">
        <v>0</v>
      </c>
      <c r="AC30">
        <v>0</v>
      </c>
      <c r="AD30">
        <v>1</v>
      </c>
      <c r="AE30">
        <v>0</v>
      </c>
      <c r="AF30" t="s">
        <v>42</v>
      </c>
      <c r="AG30">
        <v>8.7500000000000008E-2</v>
      </c>
      <c r="AH30">
        <v>2</v>
      </c>
      <c r="AI30">
        <v>145196890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ROW(Source!A33)</f>
        <v>33</v>
      </c>
      <c r="B31">
        <v>145196891</v>
      </c>
      <c r="C31">
        <v>145196886</v>
      </c>
      <c r="D31">
        <v>140775136</v>
      </c>
      <c r="E31">
        <v>1</v>
      </c>
      <c r="F31">
        <v>1</v>
      </c>
      <c r="G31">
        <v>1</v>
      </c>
      <c r="H31">
        <v>3</v>
      </c>
      <c r="I31" t="s">
        <v>473</v>
      </c>
      <c r="J31" t="s">
        <v>474</v>
      </c>
      <c r="K31" t="s">
        <v>475</v>
      </c>
      <c r="L31">
        <v>1348</v>
      </c>
      <c r="N31">
        <v>1009</v>
      </c>
      <c r="O31" t="s">
        <v>21</v>
      </c>
      <c r="P31" t="s">
        <v>21</v>
      </c>
      <c r="Q31">
        <v>1000</v>
      </c>
      <c r="X31">
        <v>4.0000000000000001E-3</v>
      </c>
      <c r="Y31">
        <v>8475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64</v>
      </c>
      <c r="AG31">
        <v>0</v>
      </c>
      <c r="AH31">
        <v>2</v>
      </c>
      <c r="AI31">
        <v>145196891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ROW(Source!A33)</f>
        <v>33</v>
      </c>
      <c r="B32">
        <v>145196892</v>
      </c>
      <c r="C32">
        <v>145196886</v>
      </c>
      <c r="D32">
        <v>140792325</v>
      </c>
      <c r="E32">
        <v>1</v>
      </c>
      <c r="F32">
        <v>1</v>
      </c>
      <c r="G32">
        <v>1</v>
      </c>
      <c r="H32">
        <v>3</v>
      </c>
      <c r="I32" t="s">
        <v>476</v>
      </c>
      <c r="J32" t="s">
        <v>477</v>
      </c>
      <c r="K32" t="s">
        <v>478</v>
      </c>
      <c r="L32">
        <v>1348</v>
      </c>
      <c r="N32">
        <v>1009</v>
      </c>
      <c r="O32" t="s">
        <v>21</v>
      </c>
      <c r="P32" t="s">
        <v>21</v>
      </c>
      <c r="Q32">
        <v>1000</v>
      </c>
      <c r="X32">
        <v>1.2E-2</v>
      </c>
      <c r="Y32">
        <v>8190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64</v>
      </c>
      <c r="AG32">
        <v>0</v>
      </c>
      <c r="AH32">
        <v>2</v>
      </c>
      <c r="AI32">
        <v>145196892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ROW(Source!A33)</f>
        <v>33</v>
      </c>
      <c r="B33">
        <v>145196893</v>
      </c>
      <c r="C33">
        <v>145196886</v>
      </c>
      <c r="D33">
        <v>140792570</v>
      </c>
      <c r="E33">
        <v>1</v>
      </c>
      <c r="F33">
        <v>1</v>
      </c>
      <c r="G33">
        <v>1</v>
      </c>
      <c r="H33">
        <v>3</v>
      </c>
      <c r="I33" t="s">
        <v>84</v>
      </c>
      <c r="J33" t="s">
        <v>86</v>
      </c>
      <c r="K33" t="s">
        <v>85</v>
      </c>
      <c r="L33">
        <v>1348</v>
      </c>
      <c r="N33">
        <v>1009</v>
      </c>
      <c r="O33" t="s">
        <v>21</v>
      </c>
      <c r="P33" t="s">
        <v>21</v>
      </c>
      <c r="Q33">
        <v>1000</v>
      </c>
      <c r="X33">
        <v>0.56999999999999995</v>
      </c>
      <c r="Y33">
        <v>11200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64</v>
      </c>
      <c r="AG33">
        <v>0</v>
      </c>
      <c r="AH33">
        <v>2</v>
      </c>
      <c r="AI33">
        <v>145196893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ROW(Source!A37)</f>
        <v>37</v>
      </c>
      <c r="B34">
        <v>145196923</v>
      </c>
      <c r="C34">
        <v>145196922</v>
      </c>
      <c r="D34">
        <v>140759979</v>
      </c>
      <c r="E34">
        <v>70</v>
      </c>
      <c r="F34">
        <v>1</v>
      </c>
      <c r="G34">
        <v>1</v>
      </c>
      <c r="H34">
        <v>1</v>
      </c>
      <c r="I34" t="s">
        <v>468</v>
      </c>
      <c r="J34" t="s">
        <v>3</v>
      </c>
      <c r="K34" t="s">
        <v>469</v>
      </c>
      <c r="L34">
        <v>1191</v>
      </c>
      <c r="N34">
        <v>1013</v>
      </c>
      <c r="O34" t="s">
        <v>394</v>
      </c>
      <c r="P34" t="s">
        <v>394</v>
      </c>
      <c r="Q34">
        <v>1</v>
      </c>
      <c r="X34">
        <v>27.8</v>
      </c>
      <c r="Y34">
        <v>0</v>
      </c>
      <c r="Z34">
        <v>0</v>
      </c>
      <c r="AA34">
        <v>0</v>
      </c>
      <c r="AB34">
        <v>8.5299999999999994</v>
      </c>
      <c r="AC34">
        <v>0</v>
      </c>
      <c r="AD34">
        <v>1</v>
      </c>
      <c r="AE34">
        <v>1</v>
      </c>
      <c r="AF34" t="s">
        <v>43</v>
      </c>
      <c r="AG34">
        <v>31.97</v>
      </c>
      <c r="AH34">
        <v>2</v>
      </c>
      <c r="AI34">
        <v>145196923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ROW(Source!A37)</f>
        <v>37</v>
      </c>
      <c r="B35">
        <v>145196924</v>
      </c>
      <c r="C35">
        <v>145196922</v>
      </c>
      <c r="D35">
        <v>140760225</v>
      </c>
      <c r="E35">
        <v>70</v>
      </c>
      <c r="F35">
        <v>1</v>
      </c>
      <c r="G35">
        <v>1</v>
      </c>
      <c r="H35">
        <v>1</v>
      </c>
      <c r="I35" t="s">
        <v>403</v>
      </c>
      <c r="J35" t="s">
        <v>3</v>
      </c>
      <c r="K35" t="s">
        <v>404</v>
      </c>
      <c r="L35">
        <v>1191</v>
      </c>
      <c r="N35">
        <v>1013</v>
      </c>
      <c r="O35" t="s">
        <v>394</v>
      </c>
      <c r="P35" t="s">
        <v>394</v>
      </c>
      <c r="Q35">
        <v>1</v>
      </c>
      <c r="X35">
        <v>0.25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2</v>
      </c>
      <c r="AF35" t="s">
        <v>42</v>
      </c>
      <c r="AG35">
        <v>0.3125</v>
      </c>
      <c r="AH35">
        <v>2</v>
      </c>
      <c r="AI35">
        <v>145196924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ROW(Source!A37)</f>
        <v>37</v>
      </c>
      <c r="B36">
        <v>145196925</v>
      </c>
      <c r="C36">
        <v>145196922</v>
      </c>
      <c r="D36">
        <v>140922893</v>
      </c>
      <c r="E36">
        <v>1</v>
      </c>
      <c r="F36">
        <v>1</v>
      </c>
      <c r="G36">
        <v>1</v>
      </c>
      <c r="H36">
        <v>2</v>
      </c>
      <c r="I36" t="s">
        <v>470</v>
      </c>
      <c r="J36" t="s">
        <v>471</v>
      </c>
      <c r="K36" t="s">
        <v>472</v>
      </c>
      <c r="L36">
        <v>1367</v>
      </c>
      <c r="N36">
        <v>1011</v>
      </c>
      <c r="O36" t="s">
        <v>398</v>
      </c>
      <c r="P36" t="s">
        <v>398</v>
      </c>
      <c r="Q36">
        <v>1</v>
      </c>
      <c r="X36">
        <v>0.11</v>
      </c>
      <c r="Y36">
        <v>0</v>
      </c>
      <c r="Z36">
        <v>86.4</v>
      </c>
      <c r="AA36">
        <v>13.5</v>
      </c>
      <c r="AB36">
        <v>0</v>
      </c>
      <c r="AC36">
        <v>0</v>
      </c>
      <c r="AD36">
        <v>1</v>
      </c>
      <c r="AE36">
        <v>0</v>
      </c>
      <c r="AF36" t="s">
        <v>42</v>
      </c>
      <c r="AG36">
        <v>0.13750000000000001</v>
      </c>
      <c r="AH36">
        <v>2</v>
      </c>
      <c r="AI36">
        <v>145196925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ROW(Source!A37)</f>
        <v>37</v>
      </c>
      <c r="B37">
        <v>145196926</v>
      </c>
      <c r="C37">
        <v>145196922</v>
      </c>
      <c r="D37">
        <v>140922951</v>
      </c>
      <c r="E37">
        <v>1</v>
      </c>
      <c r="F37">
        <v>1</v>
      </c>
      <c r="G37">
        <v>1</v>
      </c>
      <c r="H37">
        <v>2</v>
      </c>
      <c r="I37" t="s">
        <v>408</v>
      </c>
      <c r="J37" t="s">
        <v>409</v>
      </c>
      <c r="K37" t="s">
        <v>410</v>
      </c>
      <c r="L37">
        <v>1367</v>
      </c>
      <c r="N37">
        <v>1011</v>
      </c>
      <c r="O37" t="s">
        <v>398</v>
      </c>
      <c r="P37" t="s">
        <v>398</v>
      </c>
      <c r="Q37">
        <v>1</v>
      </c>
      <c r="X37">
        <v>0.05</v>
      </c>
      <c r="Y37">
        <v>0</v>
      </c>
      <c r="Z37">
        <v>115.4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42</v>
      </c>
      <c r="AG37">
        <v>6.25E-2</v>
      </c>
      <c r="AH37">
        <v>2</v>
      </c>
      <c r="AI37">
        <v>145196926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ROW(Source!A37)</f>
        <v>37</v>
      </c>
      <c r="B38">
        <v>145196927</v>
      </c>
      <c r="C38">
        <v>145196922</v>
      </c>
      <c r="D38">
        <v>140923885</v>
      </c>
      <c r="E38">
        <v>1</v>
      </c>
      <c r="F38">
        <v>1</v>
      </c>
      <c r="G38">
        <v>1</v>
      </c>
      <c r="H38">
        <v>2</v>
      </c>
      <c r="I38" t="s">
        <v>417</v>
      </c>
      <c r="J38" t="s">
        <v>418</v>
      </c>
      <c r="K38" t="s">
        <v>419</v>
      </c>
      <c r="L38">
        <v>1367</v>
      </c>
      <c r="N38">
        <v>1011</v>
      </c>
      <c r="O38" t="s">
        <v>398</v>
      </c>
      <c r="P38" t="s">
        <v>398</v>
      </c>
      <c r="Q38">
        <v>1</v>
      </c>
      <c r="X38">
        <v>0.09</v>
      </c>
      <c r="Y38">
        <v>0</v>
      </c>
      <c r="Z38">
        <v>65.709999999999994</v>
      </c>
      <c r="AA38">
        <v>11.6</v>
      </c>
      <c r="AB38">
        <v>0</v>
      </c>
      <c r="AC38">
        <v>0</v>
      </c>
      <c r="AD38">
        <v>1</v>
      </c>
      <c r="AE38">
        <v>0</v>
      </c>
      <c r="AF38" t="s">
        <v>42</v>
      </c>
      <c r="AG38">
        <v>0.11249999999999999</v>
      </c>
      <c r="AH38">
        <v>2</v>
      </c>
      <c r="AI38">
        <v>145196927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ROW(Source!A37)</f>
        <v>37</v>
      </c>
      <c r="B39">
        <v>145196928</v>
      </c>
      <c r="C39">
        <v>145196922</v>
      </c>
      <c r="D39">
        <v>140775112</v>
      </c>
      <c r="E39">
        <v>1</v>
      </c>
      <c r="F39">
        <v>1</v>
      </c>
      <c r="G39">
        <v>1</v>
      </c>
      <c r="H39">
        <v>3</v>
      </c>
      <c r="I39" t="s">
        <v>479</v>
      </c>
      <c r="J39" t="s">
        <v>480</v>
      </c>
      <c r="K39" t="s">
        <v>481</v>
      </c>
      <c r="L39">
        <v>1348</v>
      </c>
      <c r="N39">
        <v>1009</v>
      </c>
      <c r="O39" t="s">
        <v>21</v>
      </c>
      <c r="P39" t="s">
        <v>21</v>
      </c>
      <c r="Q39">
        <v>1000</v>
      </c>
      <c r="X39">
        <v>3.8E-3</v>
      </c>
      <c r="Y39">
        <v>11978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3.8E-3</v>
      </c>
      <c r="AH39">
        <v>2</v>
      </c>
      <c r="AI39">
        <v>145196928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ROW(Source!A37)</f>
        <v>37</v>
      </c>
      <c r="B40">
        <v>145196929</v>
      </c>
      <c r="C40">
        <v>145196922</v>
      </c>
      <c r="D40">
        <v>140790840</v>
      </c>
      <c r="E40">
        <v>1</v>
      </c>
      <c r="F40">
        <v>1</v>
      </c>
      <c r="G40">
        <v>1</v>
      </c>
      <c r="H40">
        <v>3</v>
      </c>
      <c r="I40" t="s">
        <v>482</v>
      </c>
      <c r="J40" t="s">
        <v>483</v>
      </c>
      <c r="K40" t="s">
        <v>484</v>
      </c>
      <c r="L40">
        <v>1348</v>
      </c>
      <c r="N40">
        <v>1009</v>
      </c>
      <c r="O40" t="s">
        <v>21</v>
      </c>
      <c r="P40" t="s">
        <v>21</v>
      </c>
      <c r="Q40">
        <v>1000</v>
      </c>
      <c r="X40">
        <v>0.16900000000000001</v>
      </c>
      <c r="Y40">
        <v>7977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0.16900000000000001</v>
      </c>
      <c r="AH40">
        <v>2</v>
      </c>
      <c r="AI40">
        <v>145196929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ROW(Source!A37)</f>
        <v>37</v>
      </c>
      <c r="B41">
        <v>145196930</v>
      </c>
      <c r="C41">
        <v>145196922</v>
      </c>
      <c r="D41">
        <v>140792570</v>
      </c>
      <c r="E41">
        <v>1</v>
      </c>
      <c r="F41">
        <v>1</v>
      </c>
      <c r="G41">
        <v>1</v>
      </c>
      <c r="H41">
        <v>3</v>
      </c>
      <c r="I41" t="s">
        <v>84</v>
      </c>
      <c r="J41" t="s">
        <v>86</v>
      </c>
      <c r="K41" t="s">
        <v>85</v>
      </c>
      <c r="L41">
        <v>1348</v>
      </c>
      <c r="N41">
        <v>1009</v>
      </c>
      <c r="O41" t="s">
        <v>21</v>
      </c>
      <c r="P41" t="s">
        <v>21</v>
      </c>
      <c r="Q41">
        <v>1000</v>
      </c>
      <c r="X41">
        <v>0.33</v>
      </c>
      <c r="Y41">
        <v>11200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0.33</v>
      </c>
      <c r="AH41">
        <v>2</v>
      </c>
      <c r="AI41">
        <v>145196930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ROW(Source!A42)</f>
        <v>42</v>
      </c>
      <c r="B42">
        <v>145197000</v>
      </c>
      <c r="C42">
        <v>145196999</v>
      </c>
      <c r="D42">
        <v>140760031</v>
      </c>
      <c r="E42">
        <v>70</v>
      </c>
      <c r="F42">
        <v>1</v>
      </c>
      <c r="G42">
        <v>1</v>
      </c>
      <c r="H42">
        <v>1</v>
      </c>
      <c r="I42" t="s">
        <v>485</v>
      </c>
      <c r="J42" t="s">
        <v>3</v>
      </c>
      <c r="K42" t="s">
        <v>486</v>
      </c>
      <c r="L42">
        <v>1191</v>
      </c>
      <c r="N42">
        <v>1013</v>
      </c>
      <c r="O42" t="s">
        <v>394</v>
      </c>
      <c r="P42" t="s">
        <v>394</v>
      </c>
      <c r="Q42">
        <v>1</v>
      </c>
      <c r="X42">
        <v>0.12</v>
      </c>
      <c r="Y42">
        <v>0</v>
      </c>
      <c r="Z42">
        <v>0</v>
      </c>
      <c r="AA42">
        <v>0</v>
      </c>
      <c r="AB42">
        <v>9.6199999999999992</v>
      </c>
      <c r="AC42">
        <v>0</v>
      </c>
      <c r="AD42">
        <v>1</v>
      </c>
      <c r="AE42">
        <v>1</v>
      </c>
      <c r="AF42" t="s">
        <v>43</v>
      </c>
      <c r="AG42">
        <v>0.13799999999999998</v>
      </c>
      <c r="AH42">
        <v>2</v>
      </c>
      <c r="AI42">
        <v>145197000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ROW(Source!A42)</f>
        <v>42</v>
      </c>
      <c r="B43">
        <v>145197001</v>
      </c>
      <c r="C43">
        <v>145196999</v>
      </c>
      <c r="D43">
        <v>140775147</v>
      </c>
      <c r="E43">
        <v>1</v>
      </c>
      <c r="F43">
        <v>1</v>
      </c>
      <c r="G43">
        <v>1</v>
      </c>
      <c r="H43">
        <v>3</v>
      </c>
      <c r="I43" t="s">
        <v>487</v>
      </c>
      <c r="J43" t="s">
        <v>488</v>
      </c>
      <c r="K43" t="s">
        <v>489</v>
      </c>
      <c r="L43">
        <v>1425</v>
      </c>
      <c r="N43">
        <v>1013</v>
      </c>
      <c r="O43" t="s">
        <v>490</v>
      </c>
      <c r="P43" t="s">
        <v>490</v>
      </c>
      <c r="Q43">
        <v>1</v>
      </c>
      <c r="X43">
        <v>0.2</v>
      </c>
      <c r="Y43">
        <v>39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0.2</v>
      </c>
      <c r="AH43">
        <v>2</v>
      </c>
      <c r="AI43">
        <v>145197001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ROW(Source!A42)</f>
        <v>42</v>
      </c>
      <c r="B44">
        <v>145197002</v>
      </c>
      <c r="C44">
        <v>145196999</v>
      </c>
      <c r="D44">
        <v>140762129</v>
      </c>
      <c r="E44">
        <v>70</v>
      </c>
      <c r="F44">
        <v>1</v>
      </c>
      <c r="G44">
        <v>1</v>
      </c>
      <c r="H44">
        <v>3</v>
      </c>
      <c r="I44" t="s">
        <v>491</v>
      </c>
      <c r="J44" t="s">
        <v>3</v>
      </c>
      <c r="K44" t="s">
        <v>492</v>
      </c>
      <c r="L44">
        <v>1301</v>
      </c>
      <c r="N44">
        <v>1003</v>
      </c>
      <c r="O44" t="s">
        <v>72</v>
      </c>
      <c r="P44" t="s">
        <v>72</v>
      </c>
      <c r="Q44">
        <v>1</v>
      </c>
      <c r="X44">
        <v>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 t="s">
        <v>3</v>
      </c>
      <c r="AG44">
        <v>1</v>
      </c>
      <c r="AH44">
        <v>2</v>
      </c>
      <c r="AI44">
        <v>145197002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ROW(Source!A42)</f>
        <v>42</v>
      </c>
      <c r="B45">
        <v>145197003</v>
      </c>
      <c r="C45">
        <v>145196999</v>
      </c>
      <c r="D45">
        <v>140762174</v>
      </c>
      <c r="E45">
        <v>70</v>
      </c>
      <c r="F45">
        <v>1</v>
      </c>
      <c r="G45">
        <v>1</v>
      </c>
      <c r="H45">
        <v>3</v>
      </c>
      <c r="I45" t="s">
        <v>493</v>
      </c>
      <c r="J45" t="s">
        <v>3</v>
      </c>
      <c r="K45" t="s">
        <v>494</v>
      </c>
      <c r="L45">
        <v>1371</v>
      </c>
      <c r="N45">
        <v>1013</v>
      </c>
      <c r="O45" t="s">
        <v>112</v>
      </c>
      <c r="P45" t="s">
        <v>112</v>
      </c>
      <c r="Q45">
        <v>1</v>
      </c>
      <c r="X45">
        <v>2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 t="s">
        <v>3</v>
      </c>
      <c r="AG45">
        <v>2</v>
      </c>
      <c r="AH45">
        <v>2</v>
      </c>
      <c r="AI45">
        <v>145197003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ROW(Source!A46)</f>
        <v>46</v>
      </c>
      <c r="B46">
        <v>145197019</v>
      </c>
      <c r="C46">
        <v>145197018</v>
      </c>
      <c r="D46">
        <v>140760031</v>
      </c>
      <c r="E46">
        <v>70</v>
      </c>
      <c r="F46">
        <v>1</v>
      </c>
      <c r="G46">
        <v>1</v>
      </c>
      <c r="H46">
        <v>1</v>
      </c>
      <c r="I46" t="s">
        <v>485</v>
      </c>
      <c r="J46" t="s">
        <v>3</v>
      </c>
      <c r="K46" t="s">
        <v>486</v>
      </c>
      <c r="L46">
        <v>1191</v>
      </c>
      <c r="N46">
        <v>1013</v>
      </c>
      <c r="O46" t="s">
        <v>394</v>
      </c>
      <c r="P46" t="s">
        <v>394</v>
      </c>
      <c r="Q46">
        <v>1</v>
      </c>
      <c r="X46">
        <v>0.18</v>
      </c>
      <c r="Y46">
        <v>0</v>
      </c>
      <c r="Z46">
        <v>0</v>
      </c>
      <c r="AA46">
        <v>0</v>
      </c>
      <c r="AB46">
        <v>9.6199999999999992</v>
      </c>
      <c r="AC46">
        <v>0</v>
      </c>
      <c r="AD46">
        <v>1</v>
      </c>
      <c r="AE46">
        <v>1</v>
      </c>
      <c r="AF46" t="s">
        <v>43</v>
      </c>
      <c r="AG46">
        <v>0.20699999999999999</v>
      </c>
      <c r="AH46">
        <v>2</v>
      </c>
      <c r="AI46">
        <v>145197019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ROW(Source!A46)</f>
        <v>46</v>
      </c>
      <c r="B47">
        <v>145197020</v>
      </c>
      <c r="C47">
        <v>145197018</v>
      </c>
      <c r="D47">
        <v>140762174</v>
      </c>
      <c r="E47">
        <v>70</v>
      </c>
      <c r="F47">
        <v>1</v>
      </c>
      <c r="G47">
        <v>1</v>
      </c>
      <c r="H47">
        <v>3</v>
      </c>
      <c r="I47" t="s">
        <v>493</v>
      </c>
      <c r="J47" t="s">
        <v>3</v>
      </c>
      <c r="K47" t="s">
        <v>494</v>
      </c>
      <c r="L47">
        <v>1371</v>
      </c>
      <c r="N47">
        <v>1013</v>
      </c>
      <c r="O47" t="s">
        <v>112</v>
      </c>
      <c r="P47" t="s">
        <v>112</v>
      </c>
      <c r="Q47">
        <v>1</v>
      </c>
      <c r="X47">
        <v>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3</v>
      </c>
      <c r="AG47">
        <v>1</v>
      </c>
      <c r="AH47">
        <v>2</v>
      </c>
      <c r="AI47">
        <v>145197020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ROW(Source!A48)</f>
        <v>48</v>
      </c>
      <c r="B48">
        <v>145197026</v>
      </c>
      <c r="C48">
        <v>145197025</v>
      </c>
      <c r="D48">
        <v>140760031</v>
      </c>
      <c r="E48">
        <v>70</v>
      </c>
      <c r="F48">
        <v>1</v>
      </c>
      <c r="G48">
        <v>1</v>
      </c>
      <c r="H48">
        <v>1</v>
      </c>
      <c r="I48" t="s">
        <v>485</v>
      </c>
      <c r="J48" t="s">
        <v>3</v>
      </c>
      <c r="K48" t="s">
        <v>486</v>
      </c>
      <c r="L48">
        <v>1191</v>
      </c>
      <c r="N48">
        <v>1013</v>
      </c>
      <c r="O48" t="s">
        <v>394</v>
      </c>
      <c r="P48" t="s">
        <v>394</v>
      </c>
      <c r="Q48">
        <v>1</v>
      </c>
      <c r="X48">
        <v>0.12</v>
      </c>
      <c r="Y48">
        <v>0</v>
      </c>
      <c r="Z48">
        <v>0</v>
      </c>
      <c r="AA48">
        <v>0</v>
      </c>
      <c r="AB48">
        <v>9.6199999999999992</v>
      </c>
      <c r="AC48">
        <v>0</v>
      </c>
      <c r="AD48">
        <v>1</v>
      </c>
      <c r="AE48">
        <v>1</v>
      </c>
      <c r="AF48" t="s">
        <v>43</v>
      </c>
      <c r="AG48">
        <v>0.13799999999999998</v>
      </c>
      <c r="AH48">
        <v>2</v>
      </c>
      <c r="AI48">
        <v>145197026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ROW(Source!A48)</f>
        <v>48</v>
      </c>
      <c r="B49">
        <v>145197027</v>
      </c>
      <c r="C49">
        <v>145197025</v>
      </c>
      <c r="D49">
        <v>140762174</v>
      </c>
      <c r="E49">
        <v>70</v>
      </c>
      <c r="F49">
        <v>1</v>
      </c>
      <c r="G49">
        <v>1</v>
      </c>
      <c r="H49">
        <v>3</v>
      </c>
      <c r="I49" t="s">
        <v>493</v>
      </c>
      <c r="J49" t="s">
        <v>3</v>
      </c>
      <c r="K49" t="s">
        <v>494</v>
      </c>
      <c r="L49">
        <v>1371</v>
      </c>
      <c r="N49">
        <v>1013</v>
      </c>
      <c r="O49" t="s">
        <v>112</v>
      </c>
      <c r="P49" t="s">
        <v>112</v>
      </c>
      <c r="Q49">
        <v>1</v>
      </c>
      <c r="X49">
        <v>1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 t="s">
        <v>3</v>
      </c>
      <c r="AG49">
        <v>1</v>
      </c>
      <c r="AH49">
        <v>2</v>
      </c>
      <c r="AI49">
        <v>145197027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ROW(Source!A50)</f>
        <v>50</v>
      </c>
      <c r="B50">
        <v>145197252</v>
      </c>
      <c r="C50">
        <v>145197251</v>
      </c>
      <c r="D50">
        <v>140759979</v>
      </c>
      <c r="E50">
        <v>70</v>
      </c>
      <c r="F50">
        <v>1</v>
      </c>
      <c r="G50">
        <v>1</v>
      </c>
      <c r="H50">
        <v>1</v>
      </c>
      <c r="I50" t="s">
        <v>468</v>
      </c>
      <c r="J50" t="s">
        <v>3</v>
      </c>
      <c r="K50" t="s">
        <v>469</v>
      </c>
      <c r="L50">
        <v>1191</v>
      </c>
      <c r="N50">
        <v>1013</v>
      </c>
      <c r="O50" t="s">
        <v>394</v>
      </c>
      <c r="P50" t="s">
        <v>394</v>
      </c>
      <c r="Q50">
        <v>1</v>
      </c>
      <c r="X50">
        <v>97.2</v>
      </c>
      <c r="Y50">
        <v>0</v>
      </c>
      <c r="Z50">
        <v>0</v>
      </c>
      <c r="AA50">
        <v>0</v>
      </c>
      <c r="AB50">
        <v>8.5299999999999994</v>
      </c>
      <c r="AC50">
        <v>0</v>
      </c>
      <c r="AD50">
        <v>1</v>
      </c>
      <c r="AE50">
        <v>1</v>
      </c>
      <c r="AF50" t="s">
        <v>43</v>
      </c>
      <c r="AG50">
        <v>111.78</v>
      </c>
      <c r="AH50">
        <v>2</v>
      </c>
      <c r="AI50">
        <v>145197252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ROW(Source!A50)</f>
        <v>50</v>
      </c>
      <c r="B51">
        <v>145197253</v>
      </c>
      <c r="C51">
        <v>145197251</v>
      </c>
      <c r="D51">
        <v>140760225</v>
      </c>
      <c r="E51">
        <v>70</v>
      </c>
      <c r="F51">
        <v>1</v>
      </c>
      <c r="G51">
        <v>1</v>
      </c>
      <c r="H51">
        <v>1</v>
      </c>
      <c r="I51" t="s">
        <v>403</v>
      </c>
      <c r="J51" t="s">
        <v>3</v>
      </c>
      <c r="K51" t="s">
        <v>404</v>
      </c>
      <c r="L51">
        <v>1191</v>
      </c>
      <c r="N51">
        <v>1013</v>
      </c>
      <c r="O51" t="s">
        <v>394</v>
      </c>
      <c r="P51" t="s">
        <v>394</v>
      </c>
      <c r="Q51">
        <v>1</v>
      </c>
      <c r="X51">
        <v>0.27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2</v>
      </c>
      <c r="AF51" t="s">
        <v>42</v>
      </c>
      <c r="AG51">
        <v>0.33750000000000002</v>
      </c>
      <c r="AH51">
        <v>2</v>
      </c>
      <c r="AI51">
        <v>145197253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ROW(Source!A50)</f>
        <v>50</v>
      </c>
      <c r="B52">
        <v>145197254</v>
      </c>
      <c r="C52">
        <v>145197251</v>
      </c>
      <c r="D52">
        <v>140922893</v>
      </c>
      <c r="E52">
        <v>1</v>
      </c>
      <c r="F52">
        <v>1</v>
      </c>
      <c r="G52">
        <v>1</v>
      </c>
      <c r="H52">
        <v>2</v>
      </c>
      <c r="I52" t="s">
        <v>470</v>
      </c>
      <c r="J52" t="s">
        <v>471</v>
      </c>
      <c r="K52" t="s">
        <v>472</v>
      </c>
      <c r="L52">
        <v>1367</v>
      </c>
      <c r="N52">
        <v>1011</v>
      </c>
      <c r="O52" t="s">
        <v>398</v>
      </c>
      <c r="P52" t="s">
        <v>398</v>
      </c>
      <c r="Q52">
        <v>1</v>
      </c>
      <c r="X52">
        <v>0.2</v>
      </c>
      <c r="Y52">
        <v>0</v>
      </c>
      <c r="Z52">
        <v>86.4</v>
      </c>
      <c r="AA52">
        <v>13.5</v>
      </c>
      <c r="AB52">
        <v>0</v>
      </c>
      <c r="AC52">
        <v>0</v>
      </c>
      <c r="AD52">
        <v>1</v>
      </c>
      <c r="AE52">
        <v>0</v>
      </c>
      <c r="AF52" t="s">
        <v>42</v>
      </c>
      <c r="AG52">
        <v>0.25</v>
      </c>
      <c r="AH52">
        <v>2</v>
      </c>
      <c r="AI52">
        <v>145197254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ROW(Source!A50)</f>
        <v>50</v>
      </c>
      <c r="B53">
        <v>145197255</v>
      </c>
      <c r="C53">
        <v>145197251</v>
      </c>
      <c r="D53">
        <v>140923885</v>
      </c>
      <c r="E53">
        <v>1</v>
      </c>
      <c r="F53">
        <v>1</v>
      </c>
      <c r="G53">
        <v>1</v>
      </c>
      <c r="H53">
        <v>2</v>
      </c>
      <c r="I53" t="s">
        <v>417</v>
      </c>
      <c r="J53" t="s">
        <v>418</v>
      </c>
      <c r="K53" t="s">
        <v>419</v>
      </c>
      <c r="L53">
        <v>1367</v>
      </c>
      <c r="N53">
        <v>1011</v>
      </c>
      <c r="O53" t="s">
        <v>398</v>
      </c>
      <c r="P53" t="s">
        <v>398</v>
      </c>
      <c r="Q53">
        <v>1</v>
      </c>
      <c r="X53">
        <v>7.0000000000000007E-2</v>
      </c>
      <c r="Y53">
        <v>0</v>
      </c>
      <c r="Z53">
        <v>65.709999999999994</v>
      </c>
      <c r="AA53">
        <v>11.6</v>
      </c>
      <c r="AB53">
        <v>0</v>
      </c>
      <c r="AC53">
        <v>0</v>
      </c>
      <c r="AD53">
        <v>1</v>
      </c>
      <c r="AE53">
        <v>0</v>
      </c>
      <c r="AF53" t="s">
        <v>42</v>
      </c>
      <c r="AG53">
        <v>8.7500000000000008E-2</v>
      </c>
      <c r="AH53">
        <v>2</v>
      </c>
      <c r="AI53">
        <v>145197255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ROW(Source!A50)</f>
        <v>50</v>
      </c>
      <c r="B54">
        <v>145197256</v>
      </c>
      <c r="C54">
        <v>145197251</v>
      </c>
      <c r="D54">
        <v>140775136</v>
      </c>
      <c r="E54">
        <v>1</v>
      </c>
      <c r="F54">
        <v>1</v>
      </c>
      <c r="G54">
        <v>1</v>
      </c>
      <c r="H54">
        <v>3</v>
      </c>
      <c r="I54" t="s">
        <v>473</v>
      </c>
      <c r="J54" t="s">
        <v>474</v>
      </c>
      <c r="K54" t="s">
        <v>475</v>
      </c>
      <c r="L54">
        <v>1348</v>
      </c>
      <c r="N54">
        <v>1009</v>
      </c>
      <c r="O54" t="s">
        <v>21</v>
      </c>
      <c r="P54" t="s">
        <v>21</v>
      </c>
      <c r="Q54">
        <v>1000</v>
      </c>
      <c r="X54">
        <v>4.0000000000000001E-3</v>
      </c>
      <c r="Y54">
        <v>8475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4.0000000000000001E-3</v>
      </c>
      <c r="AH54">
        <v>2</v>
      </c>
      <c r="AI54">
        <v>145197256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ROW(Source!A50)</f>
        <v>50</v>
      </c>
      <c r="B55">
        <v>145197257</v>
      </c>
      <c r="C55">
        <v>145197251</v>
      </c>
      <c r="D55">
        <v>140792325</v>
      </c>
      <c r="E55">
        <v>1</v>
      </c>
      <c r="F55">
        <v>1</v>
      </c>
      <c r="G55">
        <v>1</v>
      </c>
      <c r="H55">
        <v>3</v>
      </c>
      <c r="I55" t="s">
        <v>476</v>
      </c>
      <c r="J55" t="s">
        <v>477</v>
      </c>
      <c r="K55" t="s">
        <v>478</v>
      </c>
      <c r="L55">
        <v>1348</v>
      </c>
      <c r="N55">
        <v>1009</v>
      </c>
      <c r="O55" t="s">
        <v>21</v>
      </c>
      <c r="P55" t="s">
        <v>21</v>
      </c>
      <c r="Q55">
        <v>1000</v>
      </c>
      <c r="X55">
        <v>1.2E-2</v>
      </c>
      <c r="Y55">
        <v>8190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1.2E-2</v>
      </c>
      <c r="AH55">
        <v>2</v>
      </c>
      <c r="AI55">
        <v>145197257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ROW(Source!A50)</f>
        <v>50</v>
      </c>
      <c r="B56">
        <v>145197258</v>
      </c>
      <c r="C56">
        <v>145197251</v>
      </c>
      <c r="D56">
        <v>140792570</v>
      </c>
      <c r="E56">
        <v>1</v>
      </c>
      <c r="F56">
        <v>1</v>
      </c>
      <c r="G56">
        <v>1</v>
      </c>
      <c r="H56">
        <v>3</v>
      </c>
      <c r="I56" t="s">
        <v>84</v>
      </c>
      <c r="J56" t="s">
        <v>86</v>
      </c>
      <c r="K56" t="s">
        <v>85</v>
      </c>
      <c r="L56">
        <v>1348</v>
      </c>
      <c r="N56">
        <v>1009</v>
      </c>
      <c r="O56" t="s">
        <v>21</v>
      </c>
      <c r="P56" t="s">
        <v>21</v>
      </c>
      <c r="Q56">
        <v>1000</v>
      </c>
      <c r="X56">
        <v>0.56999999999999995</v>
      </c>
      <c r="Y56">
        <v>11200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0.56999999999999995</v>
      </c>
      <c r="AH56">
        <v>2</v>
      </c>
      <c r="AI56">
        <v>145197258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145197331</v>
      </c>
      <c r="C57">
        <v>145197330</v>
      </c>
      <c r="D57">
        <v>140759945</v>
      </c>
      <c r="E57">
        <v>70</v>
      </c>
      <c r="F57">
        <v>1</v>
      </c>
      <c r="G57">
        <v>1</v>
      </c>
      <c r="H57">
        <v>1</v>
      </c>
      <c r="I57" t="s">
        <v>495</v>
      </c>
      <c r="J57" t="s">
        <v>3</v>
      </c>
      <c r="K57" t="s">
        <v>496</v>
      </c>
      <c r="L57">
        <v>1191</v>
      </c>
      <c r="N57">
        <v>1013</v>
      </c>
      <c r="O57" t="s">
        <v>394</v>
      </c>
      <c r="P57" t="s">
        <v>394</v>
      </c>
      <c r="Q57">
        <v>1</v>
      </c>
      <c r="X57">
        <v>138.49</v>
      </c>
      <c r="Y57">
        <v>0</v>
      </c>
      <c r="Z57">
        <v>0</v>
      </c>
      <c r="AA57">
        <v>0</v>
      </c>
      <c r="AB57">
        <v>7.94</v>
      </c>
      <c r="AC57">
        <v>0</v>
      </c>
      <c r="AD57">
        <v>1</v>
      </c>
      <c r="AE57">
        <v>1</v>
      </c>
      <c r="AF57" t="s">
        <v>3</v>
      </c>
      <c r="AG57">
        <v>138.49</v>
      </c>
      <c r="AH57">
        <v>2</v>
      </c>
      <c r="AI57">
        <v>145197331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145197332</v>
      </c>
      <c r="C58">
        <v>145197330</v>
      </c>
      <c r="D58">
        <v>140760225</v>
      </c>
      <c r="E58">
        <v>70</v>
      </c>
      <c r="F58">
        <v>1</v>
      </c>
      <c r="G58">
        <v>1</v>
      </c>
      <c r="H58">
        <v>1</v>
      </c>
      <c r="I58" t="s">
        <v>403</v>
      </c>
      <c r="J58" t="s">
        <v>3</v>
      </c>
      <c r="K58" t="s">
        <v>404</v>
      </c>
      <c r="L58">
        <v>1191</v>
      </c>
      <c r="N58">
        <v>1013</v>
      </c>
      <c r="O58" t="s">
        <v>394</v>
      </c>
      <c r="P58" t="s">
        <v>394</v>
      </c>
      <c r="Q58">
        <v>1</v>
      </c>
      <c r="X58">
        <v>1.1200000000000001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2</v>
      </c>
      <c r="AF58" t="s">
        <v>3</v>
      </c>
      <c r="AG58">
        <v>1.1200000000000001</v>
      </c>
      <c r="AH58">
        <v>2</v>
      </c>
      <c r="AI58">
        <v>145197332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ROW(Source!A54)</f>
        <v>54</v>
      </c>
      <c r="B59">
        <v>145197333</v>
      </c>
      <c r="C59">
        <v>145197330</v>
      </c>
      <c r="D59">
        <v>140923086</v>
      </c>
      <c r="E59">
        <v>1</v>
      </c>
      <c r="F59">
        <v>1</v>
      </c>
      <c r="G59">
        <v>1</v>
      </c>
      <c r="H59">
        <v>2</v>
      </c>
      <c r="I59" t="s">
        <v>497</v>
      </c>
      <c r="J59" t="s">
        <v>498</v>
      </c>
      <c r="K59" t="s">
        <v>499</v>
      </c>
      <c r="L59">
        <v>1367</v>
      </c>
      <c r="N59">
        <v>1011</v>
      </c>
      <c r="O59" t="s">
        <v>398</v>
      </c>
      <c r="P59" t="s">
        <v>398</v>
      </c>
      <c r="Q59">
        <v>1</v>
      </c>
      <c r="X59">
        <v>1.56</v>
      </c>
      <c r="Y59">
        <v>0</v>
      </c>
      <c r="Z59">
        <v>1.7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1.56</v>
      </c>
      <c r="AH59">
        <v>2</v>
      </c>
      <c r="AI59">
        <v>145197333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ROW(Source!A54)</f>
        <v>54</v>
      </c>
      <c r="B60">
        <v>145197334</v>
      </c>
      <c r="C60">
        <v>145197330</v>
      </c>
      <c r="D60">
        <v>140923885</v>
      </c>
      <c r="E60">
        <v>1</v>
      </c>
      <c r="F60">
        <v>1</v>
      </c>
      <c r="G60">
        <v>1</v>
      </c>
      <c r="H60">
        <v>2</v>
      </c>
      <c r="I60" t="s">
        <v>417</v>
      </c>
      <c r="J60" t="s">
        <v>418</v>
      </c>
      <c r="K60" t="s">
        <v>419</v>
      </c>
      <c r="L60">
        <v>1367</v>
      </c>
      <c r="N60">
        <v>1011</v>
      </c>
      <c r="O60" t="s">
        <v>398</v>
      </c>
      <c r="P60" t="s">
        <v>398</v>
      </c>
      <c r="Q60">
        <v>1</v>
      </c>
      <c r="X60">
        <v>1.1200000000000001</v>
      </c>
      <c r="Y60">
        <v>0</v>
      </c>
      <c r="Z60">
        <v>65.709999999999994</v>
      </c>
      <c r="AA60">
        <v>11.6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1.1200000000000001</v>
      </c>
      <c r="AH60">
        <v>2</v>
      </c>
      <c r="AI60">
        <v>145197334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ROW(Source!A54)</f>
        <v>54</v>
      </c>
      <c r="B61">
        <v>145197335</v>
      </c>
      <c r="C61">
        <v>145197330</v>
      </c>
      <c r="D61">
        <v>140775118</v>
      </c>
      <c r="E61">
        <v>1</v>
      </c>
      <c r="F61">
        <v>1</v>
      </c>
      <c r="G61">
        <v>1</v>
      </c>
      <c r="H61">
        <v>3</v>
      </c>
      <c r="I61" t="s">
        <v>500</v>
      </c>
      <c r="J61" t="s">
        <v>501</v>
      </c>
      <c r="K61" t="s">
        <v>502</v>
      </c>
      <c r="L61">
        <v>1348</v>
      </c>
      <c r="N61">
        <v>1009</v>
      </c>
      <c r="O61" t="s">
        <v>21</v>
      </c>
      <c r="P61" t="s">
        <v>21</v>
      </c>
      <c r="Q61">
        <v>1000</v>
      </c>
      <c r="X61">
        <v>1E-3</v>
      </c>
      <c r="Y61">
        <v>11978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1E-3</v>
      </c>
      <c r="AH61">
        <v>2</v>
      </c>
      <c r="AI61">
        <v>145197335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ROW(Source!A54)</f>
        <v>54</v>
      </c>
      <c r="B62">
        <v>145197336</v>
      </c>
      <c r="C62">
        <v>145197330</v>
      </c>
      <c r="D62">
        <v>140762576</v>
      </c>
      <c r="E62">
        <v>70</v>
      </c>
      <c r="F62">
        <v>1</v>
      </c>
      <c r="G62">
        <v>1</v>
      </c>
      <c r="H62">
        <v>3</v>
      </c>
      <c r="I62" t="s">
        <v>503</v>
      </c>
      <c r="J62" t="s">
        <v>3</v>
      </c>
      <c r="K62" t="s">
        <v>504</v>
      </c>
      <c r="L62">
        <v>1339</v>
      </c>
      <c r="N62">
        <v>1007</v>
      </c>
      <c r="O62" t="s">
        <v>141</v>
      </c>
      <c r="P62" t="s">
        <v>141</v>
      </c>
      <c r="Q62">
        <v>1</v>
      </c>
      <c r="X62">
        <v>5.2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3</v>
      </c>
      <c r="AG62">
        <v>5.2</v>
      </c>
      <c r="AH62">
        <v>2</v>
      </c>
      <c r="AI62">
        <v>145197336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ROW(Source!A54)</f>
        <v>54</v>
      </c>
      <c r="B63">
        <v>145197337</v>
      </c>
      <c r="C63">
        <v>145197330</v>
      </c>
      <c r="D63">
        <v>140765020</v>
      </c>
      <c r="E63">
        <v>70</v>
      </c>
      <c r="F63">
        <v>1</v>
      </c>
      <c r="G63">
        <v>1</v>
      </c>
      <c r="H63">
        <v>3</v>
      </c>
      <c r="I63" t="s">
        <v>399</v>
      </c>
      <c r="J63" t="s">
        <v>3</v>
      </c>
      <c r="K63" t="s">
        <v>400</v>
      </c>
      <c r="L63">
        <v>1348</v>
      </c>
      <c r="N63">
        <v>1009</v>
      </c>
      <c r="O63" t="s">
        <v>21</v>
      </c>
      <c r="P63" t="s">
        <v>21</v>
      </c>
      <c r="Q63">
        <v>1000</v>
      </c>
      <c r="X63">
        <v>2.83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3</v>
      </c>
      <c r="AG63">
        <v>2.83</v>
      </c>
      <c r="AH63">
        <v>2</v>
      </c>
      <c r="AI63">
        <v>145197337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ROW(Source!A56)</f>
        <v>56</v>
      </c>
      <c r="B64">
        <v>145197339</v>
      </c>
      <c r="C64">
        <v>145197338</v>
      </c>
      <c r="D64">
        <v>140759985</v>
      </c>
      <c r="E64">
        <v>70</v>
      </c>
      <c r="F64">
        <v>1</v>
      </c>
      <c r="G64">
        <v>1</v>
      </c>
      <c r="H64">
        <v>1</v>
      </c>
      <c r="I64" t="s">
        <v>401</v>
      </c>
      <c r="J64" t="s">
        <v>3</v>
      </c>
      <c r="K64" t="s">
        <v>402</v>
      </c>
      <c r="L64">
        <v>1191</v>
      </c>
      <c r="N64">
        <v>1013</v>
      </c>
      <c r="O64" t="s">
        <v>394</v>
      </c>
      <c r="P64" t="s">
        <v>394</v>
      </c>
      <c r="Q64">
        <v>1</v>
      </c>
      <c r="X64">
        <v>4.03</v>
      </c>
      <c r="Y64">
        <v>0</v>
      </c>
      <c r="Z64">
        <v>0</v>
      </c>
      <c r="AA64">
        <v>0</v>
      </c>
      <c r="AB64">
        <v>8.74</v>
      </c>
      <c r="AC64">
        <v>0</v>
      </c>
      <c r="AD64">
        <v>1</v>
      </c>
      <c r="AE64">
        <v>1</v>
      </c>
      <c r="AF64" t="s">
        <v>43</v>
      </c>
      <c r="AG64">
        <v>4.6345000000000001</v>
      </c>
      <c r="AH64">
        <v>2</v>
      </c>
      <c r="AI64">
        <v>145197339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ROW(Source!A56)</f>
        <v>56</v>
      </c>
      <c r="B65">
        <v>145197340</v>
      </c>
      <c r="C65">
        <v>145197338</v>
      </c>
      <c r="D65">
        <v>140760225</v>
      </c>
      <c r="E65">
        <v>70</v>
      </c>
      <c r="F65">
        <v>1</v>
      </c>
      <c r="G65">
        <v>1</v>
      </c>
      <c r="H65">
        <v>1</v>
      </c>
      <c r="I65" t="s">
        <v>403</v>
      </c>
      <c r="J65" t="s">
        <v>3</v>
      </c>
      <c r="K65" t="s">
        <v>404</v>
      </c>
      <c r="L65">
        <v>1191</v>
      </c>
      <c r="N65">
        <v>1013</v>
      </c>
      <c r="O65" t="s">
        <v>394</v>
      </c>
      <c r="P65" t="s">
        <v>394</v>
      </c>
      <c r="Q65">
        <v>1</v>
      </c>
      <c r="X65">
        <v>0.06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2</v>
      </c>
      <c r="AF65" t="s">
        <v>42</v>
      </c>
      <c r="AG65">
        <v>7.4999999999999997E-2</v>
      </c>
      <c r="AH65">
        <v>2</v>
      </c>
      <c r="AI65">
        <v>145197340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ROW(Source!A56)</f>
        <v>56</v>
      </c>
      <c r="B66">
        <v>145197341</v>
      </c>
      <c r="C66">
        <v>145197338</v>
      </c>
      <c r="D66">
        <v>140922951</v>
      </c>
      <c r="E66">
        <v>1</v>
      </c>
      <c r="F66">
        <v>1</v>
      </c>
      <c r="G66">
        <v>1</v>
      </c>
      <c r="H66">
        <v>2</v>
      </c>
      <c r="I66" t="s">
        <v>408</v>
      </c>
      <c r="J66" t="s">
        <v>409</v>
      </c>
      <c r="K66" t="s">
        <v>410</v>
      </c>
      <c r="L66">
        <v>1367</v>
      </c>
      <c r="N66">
        <v>1011</v>
      </c>
      <c r="O66" t="s">
        <v>398</v>
      </c>
      <c r="P66" t="s">
        <v>398</v>
      </c>
      <c r="Q66">
        <v>1</v>
      </c>
      <c r="X66">
        <v>0.02</v>
      </c>
      <c r="Y66">
        <v>0</v>
      </c>
      <c r="Z66">
        <v>115.4</v>
      </c>
      <c r="AA66">
        <v>13.5</v>
      </c>
      <c r="AB66">
        <v>0</v>
      </c>
      <c r="AC66">
        <v>0</v>
      </c>
      <c r="AD66">
        <v>1</v>
      </c>
      <c r="AE66">
        <v>0</v>
      </c>
      <c r="AF66" t="s">
        <v>42</v>
      </c>
      <c r="AG66">
        <v>2.5000000000000001E-2</v>
      </c>
      <c r="AH66">
        <v>2</v>
      </c>
      <c r="AI66">
        <v>145197341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ROW(Source!A56)</f>
        <v>56</v>
      </c>
      <c r="B67">
        <v>145197342</v>
      </c>
      <c r="C67">
        <v>145197338</v>
      </c>
      <c r="D67">
        <v>140923885</v>
      </c>
      <c r="E67">
        <v>1</v>
      </c>
      <c r="F67">
        <v>1</v>
      </c>
      <c r="G67">
        <v>1</v>
      </c>
      <c r="H67">
        <v>2</v>
      </c>
      <c r="I67" t="s">
        <v>417</v>
      </c>
      <c r="J67" t="s">
        <v>418</v>
      </c>
      <c r="K67" t="s">
        <v>419</v>
      </c>
      <c r="L67">
        <v>1367</v>
      </c>
      <c r="N67">
        <v>1011</v>
      </c>
      <c r="O67" t="s">
        <v>398</v>
      </c>
      <c r="P67" t="s">
        <v>398</v>
      </c>
      <c r="Q67">
        <v>1</v>
      </c>
      <c r="X67">
        <v>0.04</v>
      </c>
      <c r="Y67">
        <v>0</v>
      </c>
      <c r="Z67">
        <v>65.709999999999994</v>
      </c>
      <c r="AA67">
        <v>11.6</v>
      </c>
      <c r="AB67">
        <v>0</v>
      </c>
      <c r="AC67">
        <v>0</v>
      </c>
      <c r="AD67">
        <v>1</v>
      </c>
      <c r="AE67">
        <v>0</v>
      </c>
      <c r="AF67" t="s">
        <v>42</v>
      </c>
      <c r="AG67">
        <v>0.05</v>
      </c>
      <c r="AH67">
        <v>2</v>
      </c>
      <c r="AI67">
        <v>145197342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ROW(Source!A56)</f>
        <v>56</v>
      </c>
      <c r="B68">
        <v>145197343</v>
      </c>
      <c r="C68">
        <v>145197338</v>
      </c>
      <c r="D68">
        <v>140924530</v>
      </c>
      <c r="E68">
        <v>1</v>
      </c>
      <c r="F68">
        <v>1</v>
      </c>
      <c r="G68">
        <v>1</v>
      </c>
      <c r="H68">
        <v>2</v>
      </c>
      <c r="I68" t="s">
        <v>505</v>
      </c>
      <c r="J68" t="s">
        <v>506</v>
      </c>
      <c r="K68" t="s">
        <v>507</v>
      </c>
      <c r="L68">
        <v>1367</v>
      </c>
      <c r="N68">
        <v>1011</v>
      </c>
      <c r="O68" t="s">
        <v>398</v>
      </c>
      <c r="P68" t="s">
        <v>398</v>
      </c>
      <c r="Q68">
        <v>1</v>
      </c>
      <c r="X68">
        <v>1.22</v>
      </c>
      <c r="Y68">
        <v>0</v>
      </c>
      <c r="Z68">
        <v>2.7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42</v>
      </c>
      <c r="AG68">
        <v>1.5249999999999999</v>
      </c>
      <c r="AH68">
        <v>2</v>
      </c>
      <c r="AI68">
        <v>145197343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ROW(Source!A56)</f>
        <v>56</v>
      </c>
      <c r="B69">
        <v>145197344</v>
      </c>
      <c r="C69">
        <v>145197338</v>
      </c>
      <c r="D69">
        <v>140771314</v>
      </c>
      <c r="E69">
        <v>1</v>
      </c>
      <c r="F69">
        <v>1</v>
      </c>
      <c r="G69">
        <v>1</v>
      </c>
      <c r="H69">
        <v>3</v>
      </c>
      <c r="I69" t="s">
        <v>152</v>
      </c>
      <c r="J69" t="s">
        <v>154</v>
      </c>
      <c r="K69" t="s">
        <v>153</v>
      </c>
      <c r="L69">
        <v>1348</v>
      </c>
      <c r="N69">
        <v>1009</v>
      </c>
      <c r="O69" t="s">
        <v>21</v>
      </c>
      <c r="P69" t="s">
        <v>21</v>
      </c>
      <c r="Q69">
        <v>1000</v>
      </c>
      <c r="X69">
        <v>8.9999999999999993E-3</v>
      </c>
      <c r="Y69">
        <v>19100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8.9999999999999993E-3</v>
      </c>
      <c r="AH69">
        <v>2</v>
      </c>
      <c r="AI69">
        <v>145197344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ROW(Source!A56)</f>
        <v>56</v>
      </c>
      <c r="B70">
        <v>145197345</v>
      </c>
      <c r="C70">
        <v>145197338</v>
      </c>
      <c r="D70">
        <v>140772680</v>
      </c>
      <c r="E70">
        <v>1</v>
      </c>
      <c r="F70">
        <v>1</v>
      </c>
      <c r="G70">
        <v>1</v>
      </c>
      <c r="H70">
        <v>3</v>
      </c>
      <c r="I70" t="s">
        <v>508</v>
      </c>
      <c r="J70" t="s">
        <v>509</v>
      </c>
      <c r="K70" t="s">
        <v>510</v>
      </c>
      <c r="L70">
        <v>1339</v>
      </c>
      <c r="N70">
        <v>1007</v>
      </c>
      <c r="O70" t="s">
        <v>141</v>
      </c>
      <c r="P70" t="s">
        <v>141</v>
      </c>
      <c r="Q70">
        <v>1</v>
      </c>
      <c r="X70">
        <v>0.16</v>
      </c>
      <c r="Y70">
        <v>2.44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0.16</v>
      </c>
      <c r="AH70">
        <v>2</v>
      </c>
      <c r="AI70">
        <v>145197345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ROW(Source!A59)</f>
        <v>59</v>
      </c>
      <c r="B71">
        <v>145197356</v>
      </c>
      <c r="C71">
        <v>145197355</v>
      </c>
      <c r="D71">
        <v>140759979</v>
      </c>
      <c r="E71">
        <v>70</v>
      </c>
      <c r="F71">
        <v>1</v>
      </c>
      <c r="G71">
        <v>1</v>
      </c>
      <c r="H71">
        <v>1</v>
      </c>
      <c r="I71" t="s">
        <v>468</v>
      </c>
      <c r="J71" t="s">
        <v>3</v>
      </c>
      <c r="K71" t="s">
        <v>469</v>
      </c>
      <c r="L71">
        <v>1191</v>
      </c>
      <c r="N71">
        <v>1013</v>
      </c>
      <c r="O71" t="s">
        <v>394</v>
      </c>
      <c r="P71" t="s">
        <v>394</v>
      </c>
      <c r="Q71">
        <v>1</v>
      </c>
      <c r="X71">
        <v>70.25</v>
      </c>
      <c r="Y71">
        <v>0</v>
      </c>
      <c r="Z71">
        <v>0</v>
      </c>
      <c r="AA71">
        <v>0</v>
      </c>
      <c r="AB71">
        <v>8.5299999999999994</v>
      </c>
      <c r="AC71">
        <v>0</v>
      </c>
      <c r="AD71">
        <v>1</v>
      </c>
      <c r="AE71">
        <v>1</v>
      </c>
      <c r="AF71" t="s">
        <v>3</v>
      </c>
      <c r="AG71">
        <v>70.25</v>
      </c>
      <c r="AH71">
        <v>2</v>
      </c>
      <c r="AI71">
        <v>145197356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ROW(Source!A59)</f>
        <v>59</v>
      </c>
      <c r="B72">
        <v>145197357</v>
      </c>
      <c r="C72">
        <v>145197355</v>
      </c>
      <c r="D72">
        <v>140760225</v>
      </c>
      <c r="E72">
        <v>70</v>
      </c>
      <c r="F72">
        <v>1</v>
      </c>
      <c r="G72">
        <v>1</v>
      </c>
      <c r="H72">
        <v>1</v>
      </c>
      <c r="I72" t="s">
        <v>403</v>
      </c>
      <c r="J72" t="s">
        <v>3</v>
      </c>
      <c r="K72" t="s">
        <v>404</v>
      </c>
      <c r="L72">
        <v>1191</v>
      </c>
      <c r="N72">
        <v>1013</v>
      </c>
      <c r="O72" t="s">
        <v>394</v>
      </c>
      <c r="P72" t="s">
        <v>394</v>
      </c>
      <c r="Q72">
        <v>1</v>
      </c>
      <c r="X72">
        <v>0.25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2</v>
      </c>
      <c r="AF72" t="s">
        <v>3</v>
      </c>
      <c r="AG72">
        <v>0.25</v>
      </c>
      <c r="AH72">
        <v>2</v>
      </c>
      <c r="AI72">
        <v>145197357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ROW(Source!A59)</f>
        <v>59</v>
      </c>
      <c r="B73">
        <v>145197358</v>
      </c>
      <c r="C73">
        <v>145197355</v>
      </c>
      <c r="D73">
        <v>140923145</v>
      </c>
      <c r="E73">
        <v>1</v>
      </c>
      <c r="F73">
        <v>1</v>
      </c>
      <c r="G73">
        <v>1</v>
      </c>
      <c r="H73">
        <v>2</v>
      </c>
      <c r="I73" t="s">
        <v>511</v>
      </c>
      <c r="J73" t="s">
        <v>512</v>
      </c>
      <c r="K73" t="s">
        <v>513</v>
      </c>
      <c r="L73">
        <v>1367</v>
      </c>
      <c r="N73">
        <v>1011</v>
      </c>
      <c r="O73" t="s">
        <v>398</v>
      </c>
      <c r="P73" t="s">
        <v>398</v>
      </c>
      <c r="Q73">
        <v>1</v>
      </c>
      <c r="X73">
        <v>0.18</v>
      </c>
      <c r="Y73">
        <v>0</v>
      </c>
      <c r="Z73">
        <v>31.26</v>
      </c>
      <c r="AA73">
        <v>13.5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0.18</v>
      </c>
      <c r="AH73">
        <v>2</v>
      </c>
      <c r="AI73">
        <v>145197358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ROW(Source!A59)</f>
        <v>59</v>
      </c>
      <c r="B74">
        <v>145197359</v>
      </c>
      <c r="C74">
        <v>145197355</v>
      </c>
      <c r="D74">
        <v>140923885</v>
      </c>
      <c r="E74">
        <v>1</v>
      </c>
      <c r="F74">
        <v>1</v>
      </c>
      <c r="G74">
        <v>1</v>
      </c>
      <c r="H74">
        <v>2</v>
      </c>
      <c r="I74" t="s">
        <v>417</v>
      </c>
      <c r="J74" t="s">
        <v>418</v>
      </c>
      <c r="K74" t="s">
        <v>419</v>
      </c>
      <c r="L74">
        <v>1367</v>
      </c>
      <c r="N74">
        <v>1011</v>
      </c>
      <c r="O74" t="s">
        <v>398</v>
      </c>
      <c r="P74" t="s">
        <v>398</v>
      </c>
      <c r="Q74">
        <v>1</v>
      </c>
      <c r="X74">
        <v>7.0000000000000007E-2</v>
      </c>
      <c r="Y74">
        <v>0</v>
      </c>
      <c r="Z74">
        <v>65.709999999999994</v>
      </c>
      <c r="AA74">
        <v>11.6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7.0000000000000007E-2</v>
      </c>
      <c r="AH74">
        <v>2</v>
      </c>
      <c r="AI74">
        <v>145197359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ROW(Source!A59)</f>
        <v>59</v>
      </c>
      <c r="B75">
        <v>145197360</v>
      </c>
      <c r="C75">
        <v>145197355</v>
      </c>
      <c r="D75">
        <v>140775118</v>
      </c>
      <c r="E75">
        <v>1</v>
      </c>
      <c r="F75">
        <v>1</v>
      </c>
      <c r="G75">
        <v>1</v>
      </c>
      <c r="H75">
        <v>3</v>
      </c>
      <c r="I75" t="s">
        <v>500</v>
      </c>
      <c r="J75" t="s">
        <v>501</v>
      </c>
      <c r="K75" t="s">
        <v>502</v>
      </c>
      <c r="L75">
        <v>1348</v>
      </c>
      <c r="N75">
        <v>1009</v>
      </c>
      <c r="O75" t="s">
        <v>21</v>
      </c>
      <c r="P75" t="s">
        <v>21</v>
      </c>
      <c r="Q75">
        <v>1000</v>
      </c>
      <c r="X75">
        <v>4.0000000000000001E-3</v>
      </c>
      <c r="Y75">
        <v>11978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4.0000000000000001E-3</v>
      </c>
      <c r="AH75">
        <v>2</v>
      </c>
      <c r="AI75">
        <v>145197360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ROW(Source!A59)</f>
        <v>59</v>
      </c>
      <c r="B76">
        <v>145197361</v>
      </c>
      <c r="C76">
        <v>145197355</v>
      </c>
      <c r="D76">
        <v>140792324</v>
      </c>
      <c r="E76">
        <v>1</v>
      </c>
      <c r="F76">
        <v>1</v>
      </c>
      <c r="G76">
        <v>1</v>
      </c>
      <c r="H76">
        <v>3</v>
      </c>
      <c r="I76" t="s">
        <v>514</v>
      </c>
      <c r="J76" t="s">
        <v>515</v>
      </c>
      <c r="K76" t="s">
        <v>516</v>
      </c>
      <c r="L76">
        <v>1348</v>
      </c>
      <c r="N76">
        <v>1009</v>
      </c>
      <c r="O76" t="s">
        <v>21</v>
      </c>
      <c r="P76" t="s">
        <v>21</v>
      </c>
      <c r="Q76">
        <v>1000</v>
      </c>
      <c r="X76">
        <v>1.2E-2</v>
      </c>
      <c r="Y76">
        <v>8023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1.2E-2</v>
      </c>
      <c r="AH76">
        <v>2</v>
      </c>
      <c r="AI76">
        <v>145197361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ROW(Source!A59)</f>
        <v>59</v>
      </c>
      <c r="B77">
        <v>145197362</v>
      </c>
      <c r="C77">
        <v>145197355</v>
      </c>
      <c r="D77">
        <v>140762309</v>
      </c>
      <c r="E77">
        <v>70</v>
      </c>
      <c r="F77">
        <v>1</v>
      </c>
      <c r="G77">
        <v>1</v>
      </c>
      <c r="H77">
        <v>3</v>
      </c>
      <c r="I77" t="s">
        <v>517</v>
      </c>
      <c r="J77" t="s">
        <v>3</v>
      </c>
      <c r="K77" t="s">
        <v>518</v>
      </c>
      <c r="L77">
        <v>1348</v>
      </c>
      <c r="N77">
        <v>1009</v>
      </c>
      <c r="O77" t="s">
        <v>21</v>
      </c>
      <c r="P77" t="s">
        <v>21</v>
      </c>
      <c r="Q77">
        <v>1000</v>
      </c>
      <c r="X77">
        <v>0.41199999999999998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 t="s">
        <v>3</v>
      </c>
      <c r="AG77">
        <v>0.41199999999999998</v>
      </c>
      <c r="AH77">
        <v>2</v>
      </c>
      <c r="AI77">
        <v>145197362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ROW(Source!A59)</f>
        <v>59</v>
      </c>
      <c r="B78">
        <v>145197363</v>
      </c>
      <c r="C78">
        <v>145197355</v>
      </c>
      <c r="D78">
        <v>140765020</v>
      </c>
      <c r="E78">
        <v>70</v>
      </c>
      <c r="F78">
        <v>1</v>
      </c>
      <c r="G78">
        <v>1</v>
      </c>
      <c r="H78">
        <v>3</v>
      </c>
      <c r="I78" t="s">
        <v>399</v>
      </c>
      <c r="J78" t="s">
        <v>3</v>
      </c>
      <c r="K78" t="s">
        <v>400</v>
      </c>
      <c r="L78">
        <v>1348</v>
      </c>
      <c r="N78">
        <v>1009</v>
      </c>
      <c r="O78" t="s">
        <v>21</v>
      </c>
      <c r="P78" t="s">
        <v>21</v>
      </c>
      <c r="Q78">
        <v>1000</v>
      </c>
      <c r="X78">
        <v>0.49199999999999999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 t="s">
        <v>3</v>
      </c>
      <c r="AG78">
        <v>0.49199999999999999</v>
      </c>
      <c r="AH78">
        <v>2</v>
      </c>
      <c r="AI78">
        <v>145197363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ROW(Source!A101)</f>
        <v>101</v>
      </c>
      <c r="B79">
        <v>145197429</v>
      </c>
      <c r="C79">
        <v>145197425</v>
      </c>
      <c r="D79">
        <v>140755423</v>
      </c>
      <c r="E79">
        <v>70</v>
      </c>
      <c r="F79">
        <v>1</v>
      </c>
      <c r="G79">
        <v>1</v>
      </c>
      <c r="H79">
        <v>1</v>
      </c>
      <c r="I79" t="s">
        <v>392</v>
      </c>
      <c r="J79" t="s">
        <v>3</v>
      </c>
      <c r="K79" t="s">
        <v>393</v>
      </c>
      <c r="L79">
        <v>1191</v>
      </c>
      <c r="N79">
        <v>1013</v>
      </c>
      <c r="O79" t="s">
        <v>394</v>
      </c>
      <c r="P79" t="s">
        <v>394</v>
      </c>
      <c r="Q79">
        <v>1</v>
      </c>
      <c r="X79">
        <v>15.9</v>
      </c>
      <c r="Y79">
        <v>0</v>
      </c>
      <c r="Z79">
        <v>0</v>
      </c>
      <c r="AA79">
        <v>0</v>
      </c>
      <c r="AB79">
        <v>7.8</v>
      </c>
      <c r="AC79">
        <v>0</v>
      </c>
      <c r="AD79">
        <v>1</v>
      </c>
      <c r="AE79">
        <v>1</v>
      </c>
      <c r="AF79" t="s">
        <v>3</v>
      </c>
      <c r="AG79">
        <v>15.9</v>
      </c>
      <c r="AH79">
        <v>2</v>
      </c>
      <c r="AI79">
        <v>145197426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ROW(Source!A101)</f>
        <v>101</v>
      </c>
      <c r="B80">
        <v>145197430</v>
      </c>
      <c r="C80">
        <v>145197425</v>
      </c>
      <c r="D80">
        <v>140923081</v>
      </c>
      <c r="E80">
        <v>1</v>
      </c>
      <c r="F80">
        <v>1</v>
      </c>
      <c r="G80">
        <v>1</v>
      </c>
      <c r="H80">
        <v>2</v>
      </c>
      <c r="I80" t="s">
        <v>395</v>
      </c>
      <c r="J80" t="s">
        <v>396</v>
      </c>
      <c r="K80" t="s">
        <v>397</v>
      </c>
      <c r="L80">
        <v>1367</v>
      </c>
      <c r="N80">
        <v>1011</v>
      </c>
      <c r="O80" t="s">
        <v>398</v>
      </c>
      <c r="P80" t="s">
        <v>398</v>
      </c>
      <c r="Q80">
        <v>1</v>
      </c>
      <c r="X80">
        <v>4.5999999999999996</v>
      </c>
      <c r="Y80">
        <v>0</v>
      </c>
      <c r="Z80">
        <v>6.66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4.5999999999999996</v>
      </c>
      <c r="AH80">
        <v>2</v>
      </c>
      <c r="AI80">
        <v>145197427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ROW(Source!A101)</f>
        <v>101</v>
      </c>
      <c r="B81">
        <v>145197431</v>
      </c>
      <c r="C81">
        <v>145197425</v>
      </c>
      <c r="D81">
        <v>140765020</v>
      </c>
      <c r="E81">
        <v>70</v>
      </c>
      <c r="F81">
        <v>1</v>
      </c>
      <c r="G81">
        <v>1</v>
      </c>
      <c r="H81">
        <v>3</v>
      </c>
      <c r="I81" t="s">
        <v>399</v>
      </c>
      <c r="J81" t="s">
        <v>3</v>
      </c>
      <c r="K81" t="s">
        <v>400</v>
      </c>
      <c r="L81">
        <v>1348</v>
      </c>
      <c r="N81">
        <v>1009</v>
      </c>
      <c r="O81" t="s">
        <v>21</v>
      </c>
      <c r="P81" t="s">
        <v>21</v>
      </c>
      <c r="Q81">
        <v>1000</v>
      </c>
      <c r="X81">
        <v>2.1800000000000002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3</v>
      </c>
      <c r="AG81">
        <v>2.1800000000000002</v>
      </c>
      <c r="AH81">
        <v>2</v>
      </c>
      <c r="AI81">
        <v>145197428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ROW(Source!A102)</f>
        <v>102</v>
      </c>
      <c r="B82">
        <v>145197456</v>
      </c>
      <c r="C82">
        <v>145197432</v>
      </c>
      <c r="D82">
        <v>140755435</v>
      </c>
      <c r="E82">
        <v>70</v>
      </c>
      <c r="F82">
        <v>1</v>
      </c>
      <c r="G82">
        <v>1</v>
      </c>
      <c r="H82">
        <v>1</v>
      </c>
      <c r="I82" t="s">
        <v>401</v>
      </c>
      <c r="J82" t="s">
        <v>3</v>
      </c>
      <c r="K82" t="s">
        <v>402</v>
      </c>
      <c r="L82">
        <v>1191</v>
      </c>
      <c r="N82">
        <v>1013</v>
      </c>
      <c r="O82" t="s">
        <v>394</v>
      </c>
      <c r="P82" t="s">
        <v>394</v>
      </c>
      <c r="Q82">
        <v>1</v>
      </c>
      <c r="X82">
        <v>31.7</v>
      </c>
      <c r="Y82">
        <v>0</v>
      </c>
      <c r="Z82">
        <v>0</v>
      </c>
      <c r="AA82">
        <v>0</v>
      </c>
      <c r="AB82">
        <v>8.74</v>
      </c>
      <c r="AC82">
        <v>0</v>
      </c>
      <c r="AD82">
        <v>1</v>
      </c>
      <c r="AE82">
        <v>1</v>
      </c>
      <c r="AF82" t="s">
        <v>43</v>
      </c>
      <c r="AG82">
        <v>36.454999999999998</v>
      </c>
      <c r="AH82">
        <v>2</v>
      </c>
      <c r="AI82">
        <v>145197433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ROW(Source!A102)</f>
        <v>102</v>
      </c>
      <c r="B83">
        <v>145197457</v>
      </c>
      <c r="C83">
        <v>145197432</v>
      </c>
      <c r="D83">
        <v>140755491</v>
      </c>
      <c r="E83">
        <v>70</v>
      </c>
      <c r="F83">
        <v>1</v>
      </c>
      <c r="G83">
        <v>1</v>
      </c>
      <c r="H83">
        <v>1</v>
      </c>
      <c r="I83" t="s">
        <v>403</v>
      </c>
      <c r="J83" t="s">
        <v>3</v>
      </c>
      <c r="K83" t="s">
        <v>404</v>
      </c>
      <c r="L83">
        <v>1191</v>
      </c>
      <c r="N83">
        <v>1013</v>
      </c>
      <c r="O83" t="s">
        <v>394</v>
      </c>
      <c r="P83" t="s">
        <v>394</v>
      </c>
      <c r="Q83">
        <v>1</v>
      </c>
      <c r="X83">
        <v>2.93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42</v>
      </c>
      <c r="AG83">
        <v>3.6625000000000001</v>
      </c>
      <c r="AH83">
        <v>2</v>
      </c>
      <c r="AI83">
        <v>145197434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ROW(Source!A102)</f>
        <v>102</v>
      </c>
      <c r="B84">
        <v>145197458</v>
      </c>
      <c r="C84">
        <v>145197432</v>
      </c>
      <c r="D84">
        <v>140922906</v>
      </c>
      <c r="E84">
        <v>1</v>
      </c>
      <c r="F84">
        <v>1</v>
      </c>
      <c r="G84">
        <v>1</v>
      </c>
      <c r="H84">
        <v>2</v>
      </c>
      <c r="I84" t="s">
        <v>405</v>
      </c>
      <c r="J84" t="s">
        <v>406</v>
      </c>
      <c r="K84" t="s">
        <v>407</v>
      </c>
      <c r="L84">
        <v>1367</v>
      </c>
      <c r="N84">
        <v>1011</v>
      </c>
      <c r="O84" t="s">
        <v>398</v>
      </c>
      <c r="P84" t="s">
        <v>398</v>
      </c>
      <c r="Q84">
        <v>1</v>
      </c>
      <c r="X84">
        <v>0.04</v>
      </c>
      <c r="Y84">
        <v>0</v>
      </c>
      <c r="Z84">
        <v>120.24</v>
      </c>
      <c r="AA84">
        <v>15.42</v>
      </c>
      <c r="AB84">
        <v>0</v>
      </c>
      <c r="AC84">
        <v>0</v>
      </c>
      <c r="AD84">
        <v>1</v>
      </c>
      <c r="AE84">
        <v>0</v>
      </c>
      <c r="AF84" t="s">
        <v>42</v>
      </c>
      <c r="AG84">
        <v>0.05</v>
      </c>
      <c r="AH84">
        <v>2</v>
      </c>
      <c r="AI84">
        <v>145197435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ROW(Source!A102)</f>
        <v>102</v>
      </c>
      <c r="B85">
        <v>145197459</v>
      </c>
      <c r="C85">
        <v>145197432</v>
      </c>
      <c r="D85">
        <v>140922951</v>
      </c>
      <c r="E85">
        <v>1</v>
      </c>
      <c r="F85">
        <v>1</v>
      </c>
      <c r="G85">
        <v>1</v>
      </c>
      <c r="H85">
        <v>2</v>
      </c>
      <c r="I85" t="s">
        <v>408</v>
      </c>
      <c r="J85" t="s">
        <v>409</v>
      </c>
      <c r="K85" t="s">
        <v>410</v>
      </c>
      <c r="L85">
        <v>1367</v>
      </c>
      <c r="N85">
        <v>1011</v>
      </c>
      <c r="O85" t="s">
        <v>398</v>
      </c>
      <c r="P85" t="s">
        <v>398</v>
      </c>
      <c r="Q85">
        <v>1</v>
      </c>
      <c r="X85">
        <v>0.21</v>
      </c>
      <c r="Y85">
        <v>0</v>
      </c>
      <c r="Z85">
        <v>115.4</v>
      </c>
      <c r="AA85">
        <v>13.5</v>
      </c>
      <c r="AB85">
        <v>0</v>
      </c>
      <c r="AC85">
        <v>0</v>
      </c>
      <c r="AD85">
        <v>1</v>
      </c>
      <c r="AE85">
        <v>0</v>
      </c>
      <c r="AF85" t="s">
        <v>42</v>
      </c>
      <c r="AG85">
        <v>0.26250000000000001</v>
      </c>
      <c r="AH85">
        <v>2</v>
      </c>
      <c r="AI85">
        <v>145197436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ROW(Source!A102)</f>
        <v>102</v>
      </c>
      <c r="B86">
        <v>145197460</v>
      </c>
      <c r="C86">
        <v>145197432</v>
      </c>
      <c r="D86">
        <v>140922958</v>
      </c>
      <c r="E86">
        <v>1</v>
      </c>
      <c r="F86">
        <v>1</v>
      </c>
      <c r="G86">
        <v>1</v>
      </c>
      <c r="H86">
        <v>2</v>
      </c>
      <c r="I86" t="s">
        <v>411</v>
      </c>
      <c r="J86" t="s">
        <v>412</v>
      </c>
      <c r="K86" t="s">
        <v>413</v>
      </c>
      <c r="L86">
        <v>1367</v>
      </c>
      <c r="N86">
        <v>1011</v>
      </c>
      <c r="O86" t="s">
        <v>398</v>
      </c>
      <c r="P86" t="s">
        <v>398</v>
      </c>
      <c r="Q86">
        <v>1</v>
      </c>
      <c r="X86">
        <v>2.36</v>
      </c>
      <c r="Y86">
        <v>0</v>
      </c>
      <c r="Z86">
        <v>175.56</v>
      </c>
      <c r="AA86">
        <v>14.4</v>
      </c>
      <c r="AB86">
        <v>0</v>
      </c>
      <c r="AC86">
        <v>0</v>
      </c>
      <c r="AD86">
        <v>1</v>
      </c>
      <c r="AE86">
        <v>0</v>
      </c>
      <c r="AF86" t="s">
        <v>42</v>
      </c>
      <c r="AG86">
        <v>2.9499999999999997</v>
      </c>
      <c r="AH86">
        <v>2</v>
      </c>
      <c r="AI86">
        <v>145197437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ROW(Source!A102)</f>
        <v>102</v>
      </c>
      <c r="B87">
        <v>145197461</v>
      </c>
      <c r="C87">
        <v>145197432</v>
      </c>
      <c r="D87">
        <v>140923032</v>
      </c>
      <c r="E87">
        <v>1</v>
      </c>
      <c r="F87">
        <v>1</v>
      </c>
      <c r="G87">
        <v>1</v>
      </c>
      <c r="H87">
        <v>2</v>
      </c>
      <c r="I87" t="s">
        <v>414</v>
      </c>
      <c r="J87" t="s">
        <v>415</v>
      </c>
      <c r="K87" t="s">
        <v>416</v>
      </c>
      <c r="L87">
        <v>1367</v>
      </c>
      <c r="N87">
        <v>1011</v>
      </c>
      <c r="O87" t="s">
        <v>398</v>
      </c>
      <c r="P87" t="s">
        <v>398</v>
      </c>
      <c r="Q87">
        <v>1</v>
      </c>
      <c r="X87">
        <v>0.88</v>
      </c>
      <c r="Y87">
        <v>0</v>
      </c>
      <c r="Z87">
        <v>0.9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42</v>
      </c>
      <c r="AG87">
        <v>1.1000000000000001</v>
      </c>
      <c r="AH87">
        <v>2</v>
      </c>
      <c r="AI87">
        <v>145197438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ROW(Source!A102)</f>
        <v>102</v>
      </c>
      <c r="B88">
        <v>145197462</v>
      </c>
      <c r="C88">
        <v>145197432</v>
      </c>
      <c r="D88">
        <v>140923885</v>
      </c>
      <c r="E88">
        <v>1</v>
      </c>
      <c r="F88">
        <v>1</v>
      </c>
      <c r="G88">
        <v>1</v>
      </c>
      <c r="H88">
        <v>2</v>
      </c>
      <c r="I88" t="s">
        <v>417</v>
      </c>
      <c r="J88" t="s">
        <v>418</v>
      </c>
      <c r="K88" t="s">
        <v>419</v>
      </c>
      <c r="L88">
        <v>1367</v>
      </c>
      <c r="N88">
        <v>1011</v>
      </c>
      <c r="O88" t="s">
        <v>398</v>
      </c>
      <c r="P88" t="s">
        <v>398</v>
      </c>
      <c r="Q88">
        <v>1</v>
      </c>
      <c r="X88">
        <v>0.32</v>
      </c>
      <c r="Y88">
        <v>0</v>
      </c>
      <c r="Z88">
        <v>65.709999999999994</v>
      </c>
      <c r="AA88">
        <v>11.6</v>
      </c>
      <c r="AB88">
        <v>0</v>
      </c>
      <c r="AC88">
        <v>0</v>
      </c>
      <c r="AD88">
        <v>1</v>
      </c>
      <c r="AE88">
        <v>0</v>
      </c>
      <c r="AF88" t="s">
        <v>42</v>
      </c>
      <c r="AG88">
        <v>0.4</v>
      </c>
      <c r="AH88">
        <v>2</v>
      </c>
      <c r="AI88">
        <v>145197439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ROW(Source!A102)</f>
        <v>102</v>
      </c>
      <c r="B89">
        <v>145197463</v>
      </c>
      <c r="C89">
        <v>145197432</v>
      </c>
      <c r="D89">
        <v>140924041</v>
      </c>
      <c r="E89">
        <v>1</v>
      </c>
      <c r="F89">
        <v>1</v>
      </c>
      <c r="G89">
        <v>1</v>
      </c>
      <c r="H89">
        <v>2</v>
      </c>
      <c r="I89" t="s">
        <v>420</v>
      </c>
      <c r="J89" t="s">
        <v>421</v>
      </c>
      <c r="K89" t="s">
        <v>422</v>
      </c>
      <c r="L89">
        <v>1367</v>
      </c>
      <c r="N89">
        <v>1011</v>
      </c>
      <c r="O89" t="s">
        <v>398</v>
      </c>
      <c r="P89" t="s">
        <v>398</v>
      </c>
      <c r="Q89">
        <v>1</v>
      </c>
      <c r="X89">
        <v>1.68</v>
      </c>
      <c r="Y89">
        <v>0</v>
      </c>
      <c r="Z89">
        <v>1.2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42</v>
      </c>
      <c r="AG89">
        <v>2.1</v>
      </c>
      <c r="AH89">
        <v>2</v>
      </c>
      <c r="AI89">
        <v>145197440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ROW(Source!A102)</f>
        <v>102</v>
      </c>
      <c r="B90">
        <v>145197464</v>
      </c>
      <c r="C90">
        <v>145197432</v>
      </c>
      <c r="D90">
        <v>140924084</v>
      </c>
      <c r="E90">
        <v>1</v>
      </c>
      <c r="F90">
        <v>1</v>
      </c>
      <c r="G90">
        <v>1</v>
      </c>
      <c r="H90">
        <v>2</v>
      </c>
      <c r="I90" t="s">
        <v>423</v>
      </c>
      <c r="J90" t="s">
        <v>424</v>
      </c>
      <c r="K90" t="s">
        <v>425</v>
      </c>
      <c r="L90">
        <v>1367</v>
      </c>
      <c r="N90">
        <v>1011</v>
      </c>
      <c r="O90" t="s">
        <v>398</v>
      </c>
      <c r="P90" t="s">
        <v>398</v>
      </c>
      <c r="Q90">
        <v>1</v>
      </c>
      <c r="X90">
        <v>0.16</v>
      </c>
      <c r="Y90">
        <v>0</v>
      </c>
      <c r="Z90">
        <v>12.31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42</v>
      </c>
      <c r="AG90">
        <v>0.2</v>
      </c>
      <c r="AH90">
        <v>2</v>
      </c>
      <c r="AI90">
        <v>145197441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ROW(Source!A102)</f>
        <v>102</v>
      </c>
      <c r="B91">
        <v>145197465</v>
      </c>
      <c r="C91">
        <v>145197432</v>
      </c>
      <c r="D91">
        <v>140771005</v>
      </c>
      <c r="E91">
        <v>1</v>
      </c>
      <c r="F91">
        <v>1</v>
      </c>
      <c r="G91">
        <v>1</v>
      </c>
      <c r="H91">
        <v>3</v>
      </c>
      <c r="I91" t="s">
        <v>426</v>
      </c>
      <c r="J91" t="s">
        <v>427</v>
      </c>
      <c r="K91" t="s">
        <v>428</v>
      </c>
      <c r="L91">
        <v>1339</v>
      </c>
      <c r="N91">
        <v>1007</v>
      </c>
      <c r="O91" t="s">
        <v>141</v>
      </c>
      <c r="P91" t="s">
        <v>141</v>
      </c>
      <c r="Q91">
        <v>1</v>
      </c>
      <c r="X91">
        <v>1.4</v>
      </c>
      <c r="Y91">
        <v>6.22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1.4</v>
      </c>
      <c r="AH91">
        <v>2</v>
      </c>
      <c r="AI91">
        <v>145197442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ROW(Source!A102)</f>
        <v>102</v>
      </c>
      <c r="B92">
        <v>145197466</v>
      </c>
      <c r="C92">
        <v>145197432</v>
      </c>
      <c r="D92">
        <v>140771011</v>
      </c>
      <c r="E92">
        <v>1</v>
      </c>
      <c r="F92">
        <v>1</v>
      </c>
      <c r="G92">
        <v>1</v>
      </c>
      <c r="H92">
        <v>3</v>
      </c>
      <c r="I92" t="s">
        <v>429</v>
      </c>
      <c r="J92" t="s">
        <v>430</v>
      </c>
      <c r="K92" t="s">
        <v>431</v>
      </c>
      <c r="L92">
        <v>1346</v>
      </c>
      <c r="N92">
        <v>1009</v>
      </c>
      <c r="O92" t="s">
        <v>432</v>
      </c>
      <c r="P92" t="s">
        <v>432</v>
      </c>
      <c r="Q92">
        <v>1</v>
      </c>
      <c r="X92">
        <v>0.42</v>
      </c>
      <c r="Y92">
        <v>6.09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0.42</v>
      </c>
      <c r="AH92">
        <v>2</v>
      </c>
      <c r="AI92">
        <v>145197443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ROW(Source!A102)</f>
        <v>102</v>
      </c>
      <c r="B93">
        <v>145197467</v>
      </c>
      <c r="C93">
        <v>145197432</v>
      </c>
      <c r="D93">
        <v>140773776</v>
      </c>
      <c r="E93">
        <v>1</v>
      </c>
      <c r="F93">
        <v>1</v>
      </c>
      <c r="G93">
        <v>1</v>
      </c>
      <c r="H93">
        <v>3</v>
      </c>
      <c r="I93" t="s">
        <v>433</v>
      </c>
      <c r="J93" t="s">
        <v>434</v>
      </c>
      <c r="K93" t="s">
        <v>435</v>
      </c>
      <c r="L93">
        <v>1348</v>
      </c>
      <c r="N93">
        <v>1009</v>
      </c>
      <c r="O93" t="s">
        <v>21</v>
      </c>
      <c r="P93" t="s">
        <v>21</v>
      </c>
      <c r="Q93">
        <v>1000</v>
      </c>
      <c r="X93">
        <v>6.0999999999999997E-4</v>
      </c>
      <c r="Y93">
        <v>10315.01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6.0999999999999997E-4</v>
      </c>
      <c r="AH93">
        <v>2</v>
      </c>
      <c r="AI93">
        <v>145197444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ROW(Source!A102)</f>
        <v>102</v>
      </c>
      <c r="B94">
        <v>145197468</v>
      </c>
      <c r="C94">
        <v>145197432</v>
      </c>
      <c r="D94">
        <v>140775017</v>
      </c>
      <c r="E94">
        <v>1</v>
      </c>
      <c r="F94">
        <v>1</v>
      </c>
      <c r="G94">
        <v>1</v>
      </c>
      <c r="H94">
        <v>3</v>
      </c>
      <c r="I94" t="s">
        <v>436</v>
      </c>
      <c r="J94" t="s">
        <v>437</v>
      </c>
      <c r="K94" t="s">
        <v>438</v>
      </c>
      <c r="L94">
        <v>1346</v>
      </c>
      <c r="N94">
        <v>1009</v>
      </c>
      <c r="O94" t="s">
        <v>432</v>
      </c>
      <c r="P94" t="s">
        <v>432</v>
      </c>
      <c r="Q94">
        <v>1</v>
      </c>
      <c r="X94">
        <v>2.2000000000000002</v>
      </c>
      <c r="Y94">
        <v>9.0399999999999991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2.2000000000000002</v>
      </c>
      <c r="AH94">
        <v>2</v>
      </c>
      <c r="AI94">
        <v>145197445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ROW(Source!A102)</f>
        <v>102</v>
      </c>
      <c r="B95">
        <v>145197469</v>
      </c>
      <c r="C95">
        <v>145197432</v>
      </c>
      <c r="D95">
        <v>140776229</v>
      </c>
      <c r="E95">
        <v>1</v>
      </c>
      <c r="F95">
        <v>1</v>
      </c>
      <c r="G95">
        <v>1</v>
      </c>
      <c r="H95">
        <v>3</v>
      </c>
      <c r="I95" t="s">
        <v>439</v>
      </c>
      <c r="J95" t="s">
        <v>440</v>
      </c>
      <c r="K95" t="s">
        <v>441</v>
      </c>
      <c r="L95">
        <v>1348</v>
      </c>
      <c r="N95">
        <v>1009</v>
      </c>
      <c r="O95" t="s">
        <v>21</v>
      </c>
      <c r="P95" t="s">
        <v>21</v>
      </c>
      <c r="Q95">
        <v>1000</v>
      </c>
      <c r="X95">
        <v>1.4999999999999999E-4</v>
      </c>
      <c r="Y95">
        <v>37900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1.4999999999999999E-4</v>
      </c>
      <c r="AH95">
        <v>2</v>
      </c>
      <c r="AI95">
        <v>145197446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ROW(Source!A102)</f>
        <v>102</v>
      </c>
      <c r="B96">
        <v>145197470</v>
      </c>
      <c r="C96">
        <v>145197432</v>
      </c>
      <c r="D96">
        <v>140789856</v>
      </c>
      <c r="E96">
        <v>1</v>
      </c>
      <c r="F96">
        <v>1</v>
      </c>
      <c r="G96">
        <v>1</v>
      </c>
      <c r="H96">
        <v>3</v>
      </c>
      <c r="I96" t="s">
        <v>442</v>
      </c>
      <c r="J96" t="s">
        <v>443</v>
      </c>
      <c r="K96" t="s">
        <v>444</v>
      </c>
      <c r="L96">
        <v>1348</v>
      </c>
      <c r="N96">
        <v>1009</v>
      </c>
      <c r="O96" t="s">
        <v>21</v>
      </c>
      <c r="P96" t="s">
        <v>21</v>
      </c>
      <c r="Q96">
        <v>1000</v>
      </c>
      <c r="X96">
        <v>1.0999999999999999E-2</v>
      </c>
      <c r="Y96">
        <v>7712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1.0999999999999999E-2</v>
      </c>
      <c r="AH96">
        <v>2</v>
      </c>
      <c r="AI96">
        <v>145197447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ROW(Source!A102)</f>
        <v>102</v>
      </c>
      <c r="B97">
        <v>145197471</v>
      </c>
      <c r="C97">
        <v>145197432</v>
      </c>
      <c r="D97">
        <v>140762187</v>
      </c>
      <c r="E97">
        <v>70</v>
      </c>
      <c r="F97">
        <v>1</v>
      </c>
      <c r="G97">
        <v>1</v>
      </c>
      <c r="H97">
        <v>3</v>
      </c>
      <c r="I97" t="s">
        <v>445</v>
      </c>
      <c r="J97" t="s">
        <v>3</v>
      </c>
      <c r="K97" t="s">
        <v>446</v>
      </c>
      <c r="L97">
        <v>1348</v>
      </c>
      <c r="N97">
        <v>1009</v>
      </c>
      <c r="O97" t="s">
        <v>21</v>
      </c>
      <c r="P97" t="s">
        <v>21</v>
      </c>
      <c r="Q97">
        <v>1000</v>
      </c>
      <c r="X97">
        <v>0</v>
      </c>
      <c r="Y97">
        <v>0</v>
      </c>
      <c r="Z97">
        <v>0</v>
      </c>
      <c r="AA97">
        <v>0</v>
      </c>
      <c r="AB97">
        <v>0</v>
      </c>
      <c r="AC97">
        <v>1</v>
      </c>
      <c r="AD97">
        <v>0</v>
      </c>
      <c r="AE97">
        <v>0</v>
      </c>
      <c r="AF97" t="s">
        <v>3</v>
      </c>
      <c r="AG97">
        <v>0</v>
      </c>
      <c r="AH97">
        <v>2</v>
      </c>
      <c r="AI97">
        <v>145197448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ROW(Source!A102)</f>
        <v>102</v>
      </c>
      <c r="B98">
        <v>145197472</v>
      </c>
      <c r="C98">
        <v>145197432</v>
      </c>
      <c r="D98">
        <v>140791984</v>
      </c>
      <c r="E98">
        <v>1</v>
      </c>
      <c r="F98">
        <v>1</v>
      </c>
      <c r="G98">
        <v>1</v>
      </c>
      <c r="H98">
        <v>3</v>
      </c>
      <c r="I98" t="s">
        <v>447</v>
      </c>
      <c r="J98" t="s">
        <v>448</v>
      </c>
      <c r="K98" t="s">
        <v>449</v>
      </c>
      <c r="L98">
        <v>1302</v>
      </c>
      <c r="N98">
        <v>1003</v>
      </c>
      <c r="O98" t="s">
        <v>450</v>
      </c>
      <c r="P98" t="s">
        <v>450</v>
      </c>
      <c r="Q98">
        <v>10</v>
      </c>
      <c r="X98">
        <v>1.6E-2</v>
      </c>
      <c r="Y98">
        <v>50.24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1.6E-2</v>
      </c>
      <c r="AH98">
        <v>2</v>
      </c>
      <c r="AI98">
        <v>145197449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ROW(Source!A102)</f>
        <v>102</v>
      </c>
      <c r="B99">
        <v>145197473</v>
      </c>
      <c r="C99">
        <v>145197432</v>
      </c>
      <c r="D99">
        <v>140792339</v>
      </c>
      <c r="E99">
        <v>1</v>
      </c>
      <c r="F99">
        <v>1</v>
      </c>
      <c r="G99">
        <v>1</v>
      </c>
      <c r="H99">
        <v>3</v>
      </c>
      <c r="I99" t="s">
        <v>451</v>
      </c>
      <c r="J99" t="s">
        <v>452</v>
      </c>
      <c r="K99" t="s">
        <v>453</v>
      </c>
      <c r="L99">
        <v>1348</v>
      </c>
      <c r="N99">
        <v>1009</v>
      </c>
      <c r="O99" t="s">
        <v>21</v>
      </c>
      <c r="P99" t="s">
        <v>21</v>
      </c>
      <c r="Q99">
        <v>1000</v>
      </c>
      <c r="X99">
        <v>4.0000000000000003E-5</v>
      </c>
      <c r="Y99">
        <v>4455.2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4.0000000000000003E-5</v>
      </c>
      <c r="AH99">
        <v>2</v>
      </c>
      <c r="AI99">
        <v>145197450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ROW(Source!A102)</f>
        <v>102</v>
      </c>
      <c r="B100">
        <v>145197474</v>
      </c>
      <c r="C100">
        <v>145197432</v>
      </c>
      <c r="D100">
        <v>140762343</v>
      </c>
      <c r="E100">
        <v>70</v>
      </c>
      <c r="F100">
        <v>1</v>
      </c>
      <c r="G100">
        <v>1</v>
      </c>
      <c r="H100">
        <v>3</v>
      </c>
      <c r="I100" t="s">
        <v>454</v>
      </c>
      <c r="J100" t="s">
        <v>3</v>
      </c>
      <c r="K100" t="s">
        <v>455</v>
      </c>
      <c r="L100">
        <v>1348</v>
      </c>
      <c r="N100">
        <v>1009</v>
      </c>
      <c r="O100" t="s">
        <v>21</v>
      </c>
      <c r="P100" t="s">
        <v>21</v>
      </c>
      <c r="Q100">
        <v>1000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</v>
      </c>
      <c r="AD100">
        <v>0</v>
      </c>
      <c r="AE100">
        <v>0</v>
      </c>
      <c r="AF100" t="s">
        <v>3</v>
      </c>
      <c r="AG100">
        <v>0</v>
      </c>
      <c r="AH100">
        <v>2</v>
      </c>
      <c r="AI100">
        <v>145197451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ROW(Source!A102)</f>
        <v>102</v>
      </c>
      <c r="B101">
        <v>145197475</v>
      </c>
      <c r="C101">
        <v>145197432</v>
      </c>
      <c r="D101">
        <v>140793072</v>
      </c>
      <c r="E101">
        <v>1</v>
      </c>
      <c r="F101">
        <v>1</v>
      </c>
      <c r="G101">
        <v>1</v>
      </c>
      <c r="H101">
        <v>3</v>
      </c>
      <c r="I101" t="s">
        <v>456</v>
      </c>
      <c r="J101" t="s">
        <v>457</v>
      </c>
      <c r="K101" t="s">
        <v>458</v>
      </c>
      <c r="L101">
        <v>1348</v>
      </c>
      <c r="N101">
        <v>1009</v>
      </c>
      <c r="O101" t="s">
        <v>21</v>
      </c>
      <c r="P101" t="s">
        <v>21</v>
      </c>
      <c r="Q101">
        <v>1000</v>
      </c>
      <c r="X101">
        <v>2.97E-3</v>
      </c>
      <c r="Y101">
        <v>4920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2.97E-3</v>
      </c>
      <c r="AH101">
        <v>2</v>
      </c>
      <c r="AI101">
        <v>145197452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ROW(Source!A102)</f>
        <v>102</v>
      </c>
      <c r="B102">
        <v>145197476</v>
      </c>
      <c r="C102">
        <v>145197432</v>
      </c>
      <c r="D102">
        <v>140796351</v>
      </c>
      <c r="E102">
        <v>1</v>
      </c>
      <c r="F102">
        <v>1</v>
      </c>
      <c r="G102">
        <v>1</v>
      </c>
      <c r="H102">
        <v>3</v>
      </c>
      <c r="I102" t="s">
        <v>459</v>
      </c>
      <c r="J102" t="s">
        <v>460</v>
      </c>
      <c r="K102" t="s">
        <v>461</v>
      </c>
      <c r="L102">
        <v>1339</v>
      </c>
      <c r="N102">
        <v>1007</v>
      </c>
      <c r="O102" t="s">
        <v>141</v>
      </c>
      <c r="P102" t="s">
        <v>141</v>
      </c>
      <c r="Q102">
        <v>1</v>
      </c>
      <c r="X102">
        <v>1.2999999999999999E-3</v>
      </c>
      <c r="Y102">
        <v>1700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1.2999999999999999E-3</v>
      </c>
      <c r="AH102">
        <v>2</v>
      </c>
      <c r="AI102">
        <v>145197453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ROW(Source!A102)</f>
        <v>102</v>
      </c>
      <c r="B103">
        <v>145197477</v>
      </c>
      <c r="C103">
        <v>145197432</v>
      </c>
      <c r="D103">
        <v>140804058</v>
      </c>
      <c r="E103">
        <v>1</v>
      </c>
      <c r="F103">
        <v>1</v>
      </c>
      <c r="G103">
        <v>1</v>
      </c>
      <c r="H103">
        <v>3</v>
      </c>
      <c r="I103" t="s">
        <v>462</v>
      </c>
      <c r="J103" t="s">
        <v>463</v>
      </c>
      <c r="K103" t="s">
        <v>464</v>
      </c>
      <c r="L103">
        <v>1348</v>
      </c>
      <c r="N103">
        <v>1009</v>
      </c>
      <c r="O103" t="s">
        <v>21</v>
      </c>
      <c r="P103" t="s">
        <v>21</v>
      </c>
      <c r="Q103">
        <v>1000</v>
      </c>
      <c r="X103">
        <v>4.6999999999999999E-4</v>
      </c>
      <c r="Y103">
        <v>15620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4.6999999999999999E-4</v>
      </c>
      <c r="AH103">
        <v>2</v>
      </c>
      <c r="AI103">
        <v>145197454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ROW(Source!A102)</f>
        <v>102</v>
      </c>
      <c r="B104">
        <v>145197478</v>
      </c>
      <c r="C104">
        <v>145197432</v>
      </c>
      <c r="D104">
        <v>140805182</v>
      </c>
      <c r="E104">
        <v>1</v>
      </c>
      <c r="F104">
        <v>1</v>
      </c>
      <c r="G104">
        <v>1</v>
      </c>
      <c r="H104">
        <v>3</v>
      </c>
      <c r="I104" t="s">
        <v>465</v>
      </c>
      <c r="J104" t="s">
        <v>466</v>
      </c>
      <c r="K104" t="s">
        <v>467</v>
      </c>
      <c r="L104">
        <v>1346</v>
      </c>
      <c r="N104">
        <v>1009</v>
      </c>
      <c r="O104" t="s">
        <v>432</v>
      </c>
      <c r="P104" t="s">
        <v>432</v>
      </c>
      <c r="Q104">
        <v>1</v>
      </c>
      <c r="X104">
        <v>0.09</v>
      </c>
      <c r="Y104">
        <v>9.42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0.09</v>
      </c>
      <c r="AH104">
        <v>2</v>
      </c>
      <c r="AI104">
        <v>145197455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ROW(Source!A105)</f>
        <v>105</v>
      </c>
      <c r="B105">
        <v>145197489</v>
      </c>
      <c r="C105">
        <v>145197481</v>
      </c>
      <c r="D105">
        <v>140755433</v>
      </c>
      <c r="E105">
        <v>70</v>
      </c>
      <c r="F105">
        <v>1</v>
      </c>
      <c r="G105">
        <v>1</v>
      </c>
      <c r="H105">
        <v>1</v>
      </c>
      <c r="I105" t="s">
        <v>468</v>
      </c>
      <c r="J105" t="s">
        <v>3</v>
      </c>
      <c r="K105" t="s">
        <v>469</v>
      </c>
      <c r="L105">
        <v>1191</v>
      </c>
      <c r="N105">
        <v>1013</v>
      </c>
      <c r="O105" t="s">
        <v>394</v>
      </c>
      <c r="P105" t="s">
        <v>394</v>
      </c>
      <c r="Q105">
        <v>1</v>
      </c>
      <c r="X105">
        <v>97.2</v>
      </c>
      <c r="Y105">
        <v>0</v>
      </c>
      <c r="Z105">
        <v>0</v>
      </c>
      <c r="AA105">
        <v>0</v>
      </c>
      <c r="AB105">
        <v>8.5299999999999994</v>
      </c>
      <c r="AC105">
        <v>0</v>
      </c>
      <c r="AD105">
        <v>1</v>
      </c>
      <c r="AE105">
        <v>1</v>
      </c>
      <c r="AF105" t="s">
        <v>43</v>
      </c>
      <c r="AG105">
        <v>111.78</v>
      </c>
      <c r="AH105">
        <v>2</v>
      </c>
      <c r="AI105">
        <v>145197482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ROW(Source!A105)</f>
        <v>105</v>
      </c>
      <c r="B106">
        <v>145197490</v>
      </c>
      <c r="C106">
        <v>145197481</v>
      </c>
      <c r="D106">
        <v>140755491</v>
      </c>
      <c r="E106">
        <v>70</v>
      </c>
      <c r="F106">
        <v>1</v>
      </c>
      <c r="G106">
        <v>1</v>
      </c>
      <c r="H106">
        <v>1</v>
      </c>
      <c r="I106" t="s">
        <v>403</v>
      </c>
      <c r="J106" t="s">
        <v>3</v>
      </c>
      <c r="K106" t="s">
        <v>404</v>
      </c>
      <c r="L106">
        <v>1191</v>
      </c>
      <c r="N106">
        <v>1013</v>
      </c>
      <c r="O106" t="s">
        <v>394</v>
      </c>
      <c r="P106" t="s">
        <v>394</v>
      </c>
      <c r="Q106">
        <v>1</v>
      </c>
      <c r="X106">
        <v>0.27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2</v>
      </c>
      <c r="AF106" t="s">
        <v>42</v>
      </c>
      <c r="AG106">
        <v>0.33750000000000002</v>
      </c>
      <c r="AH106">
        <v>2</v>
      </c>
      <c r="AI106">
        <v>145197483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ROW(Source!A105)</f>
        <v>105</v>
      </c>
      <c r="B107">
        <v>145197491</v>
      </c>
      <c r="C107">
        <v>145197481</v>
      </c>
      <c r="D107">
        <v>140922893</v>
      </c>
      <c r="E107">
        <v>1</v>
      </c>
      <c r="F107">
        <v>1</v>
      </c>
      <c r="G107">
        <v>1</v>
      </c>
      <c r="H107">
        <v>2</v>
      </c>
      <c r="I107" t="s">
        <v>470</v>
      </c>
      <c r="J107" t="s">
        <v>471</v>
      </c>
      <c r="K107" t="s">
        <v>472</v>
      </c>
      <c r="L107">
        <v>1367</v>
      </c>
      <c r="N107">
        <v>1011</v>
      </c>
      <c r="O107" t="s">
        <v>398</v>
      </c>
      <c r="P107" t="s">
        <v>398</v>
      </c>
      <c r="Q107">
        <v>1</v>
      </c>
      <c r="X107">
        <v>0.2</v>
      </c>
      <c r="Y107">
        <v>0</v>
      </c>
      <c r="Z107">
        <v>86.4</v>
      </c>
      <c r="AA107">
        <v>13.5</v>
      </c>
      <c r="AB107">
        <v>0</v>
      </c>
      <c r="AC107">
        <v>0</v>
      </c>
      <c r="AD107">
        <v>1</v>
      </c>
      <c r="AE107">
        <v>0</v>
      </c>
      <c r="AF107" t="s">
        <v>42</v>
      </c>
      <c r="AG107">
        <v>0.25</v>
      </c>
      <c r="AH107">
        <v>2</v>
      </c>
      <c r="AI107">
        <v>145197484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ROW(Source!A105)</f>
        <v>105</v>
      </c>
      <c r="B108">
        <v>145197492</v>
      </c>
      <c r="C108">
        <v>145197481</v>
      </c>
      <c r="D108">
        <v>140923885</v>
      </c>
      <c r="E108">
        <v>1</v>
      </c>
      <c r="F108">
        <v>1</v>
      </c>
      <c r="G108">
        <v>1</v>
      </c>
      <c r="H108">
        <v>2</v>
      </c>
      <c r="I108" t="s">
        <v>417</v>
      </c>
      <c r="J108" t="s">
        <v>418</v>
      </c>
      <c r="K108" t="s">
        <v>419</v>
      </c>
      <c r="L108">
        <v>1367</v>
      </c>
      <c r="N108">
        <v>1011</v>
      </c>
      <c r="O108" t="s">
        <v>398</v>
      </c>
      <c r="P108" t="s">
        <v>398</v>
      </c>
      <c r="Q108">
        <v>1</v>
      </c>
      <c r="X108">
        <v>7.0000000000000007E-2</v>
      </c>
      <c r="Y108">
        <v>0</v>
      </c>
      <c r="Z108">
        <v>65.709999999999994</v>
      </c>
      <c r="AA108">
        <v>11.6</v>
      </c>
      <c r="AB108">
        <v>0</v>
      </c>
      <c r="AC108">
        <v>0</v>
      </c>
      <c r="AD108">
        <v>1</v>
      </c>
      <c r="AE108">
        <v>0</v>
      </c>
      <c r="AF108" t="s">
        <v>42</v>
      </c>
      <c r="AG108">
        <v>8.7500000000000008E-2</v>
      </c>
      <c r="AH108">
        <v>2</v>
      </c>
      <c r="AI108">
        <v>145197485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ROW(Source!A105)</f>
        <v>105</v>
      </c>
      <c r="B109">
        <v>145197493</v>
      </c>
      <c r="C109">
        <v>145197481</v>
      </c>
      <c r="D109">
        <v>140775136</v>
      </c>
      <c r="E109">
        <v>1</v>
      </c>
      <c r="F109">
        <v>1</v>
      </c>
      <c r="G109">
        <v>1</v>
      </c>
      <c r="H109">
        <v>3</v>
      </c>
      <c r="I109" t="s">
        <v>473</v>
      </c>
      <c r="J109" t="s">
        <v>474</v>
      </c>
      <c r="K109" t="s">
        <v>475</v>
      </c>
      <c r="L109">
        <v>1348</v>
      </c>
      <c r="N109">
        <v>1009</v>
      </c>
      <c r="O109" t="s">
        <v>21</v>
      </c>
      <c r="P109" t="s">
        <v>21</v>
      </c>
      <c r="Q109">
        <v>1000</v>
      </c>
      <c r="X109">
        <v>4.0000000000000001E-3</v>
      </c>
      <c r="Y109">
        <v>8475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64</v>
      </c>
      <c r="AG109">
        <v>0</v>
      </c>
      <c r="AH109">
        <v>2</v>
      </c>
      <c r="AI109">
        <v>145197486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ROW(Source!A105)</f>
        <v>105</v>
      </c>
      <c r="B110">
        <v>145197494</v>
      </c>
      <c r="C110">
        <v>145197481</v>
      </c>
      <c r="D110">
        <v>140792325</v>
      </c>
      <c r="E110">
        <v>1</v>
      </c>
      <c r="F110">
        <v>1</v>
      </c>
      <c r="G110">
        <v>1</v>
      </c>
      <c r="H110">
        <v>3</v>
      </c>
      <c r="I110" t="s">
        <v>476</v>
      </c>
      <c r="J110" t="s">
        <v>477</v>
      </c>
      <c r="K110" t="s">
        <v>478</v>
      </c>
      <c r="L110">
        <v>1348</v>
      </c>
      <c r="N110">
        <v>1009</v>
      </c>
      <c r="O110" t="s">
        <v>21</v>
      </c>
      <c r="P110" t="s">
        <v>21</v>
      </c>
      <c r="Q110">
        <v>1000</v>
      </c>
      <c r="X110">
        <v>1.2E-2</v>
      </c>
      <c r="Y110">
        <v>8190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64</v>
      </c>
      <c r="AG110">
        <v>0</v>
      </c>
      <c r="AH110">
        <v>2</v>
      </c>
      <c r="AI110">
        <v>145197487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ROW(Source!A105)</f>
        <v>105</v>
      </c>
      <c r="B111">
        <v>145197495</v>
      </c>
      <c r="C111">
        <v>145197481</v>
      </c>
      <c r="D111">
        <v>140792570</v>
      </c>
      <c r="E111">
        <v>1</v>
      </c>
      <c r="F111">
        <v>1</v>
      </c>
      <c r="G111">
        <v>1</v>
      </c>
      <c r="H111">
        <v>3</v>
      </c>
      <c r="I111" t="s">
        <v>84</v>
      </c>
      <c r="J111" t="s">
        <v>86</v>
      </c>
      <c r="K111" t="s">
        <v>85</v>
      </c>
      <c r="L111">
        <v>1348</v>
      </c>
      <c r="N111">
        <v>1009</v>
      </c>
      <c r="O111" t="s">
        <v>21</v>
      </c>
      <c r="P111" t="s">
        <v>21</v>
      </c>
      <c r="Q111">
        <v>1000</v>
      </c>
      <c r="X111">
        <v>0.56999999999999995</v>
      </c>
      <c r="Y111">
        <v>11200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64</v>
      </c>
      <c r="AG111">
        <v>0</v>
      </c>
      <c r="AH111">
        <v>2</v>
      </c>
      <c r="AI111">
        <v>145197488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ROW(Source!A109)</f>
        <v>109</v>
      </c>
      <c r="B112">
        <v>145197508</v>
      </c>
      <c r="C112">
        <v>145197499</v>
      </c>
      <c r="D112">
        <v>140755433</v>
      </c>
      <c r="E112">
        <v>70</v>
      </c>
      <c r="F112">
        <v>1</v>
      </c>
      <c r="G112">
        <v>1</v>
      </c>
      <c r="H112">
        <v>1</v>
      </c>
      <c r="I112" t="s">
        <v>468</v>
      </c>
      <c r="J112" t="s">
        <v>3</v>
      </c>
      <c r="K112" t="s">
        <v>469</v>
      </c>
      <c r="L112">
        <v>1191</v>
      </c>
      <c r="N112">
        <v>1013</v>
      </c>
      <c r="O112" t="s">
        <v>394</v>
      </c>
      <c r="P112" t="s">
        <v>394</v>
      </c>
      <c r="Q112">
        <v>1</v>
      </c>
      <c r="X112">
        <v>27.8</v>
      </c>
      <c r="Y112">
        <v>0</v>
      </c>
      <c r="Z112">
        <v>0</v>
      </c>
      <c r="AA112">
        <v>0</v>
      </c>
      <c r="AB112">
        <v>8.5299999999999994</v>
      </c>
      <c r="AC112">
        <v>0</v>
      </c>
      <c r="AD112">
        <v>1</v>
      </c>
      <c r="AE112">
        <v>1</v>
      </c>
      <c r="AF112" t="s">
        <v>43</v>
      </c>
      <c r="AG112">
        <v>31.97</v>
      </c>
      <c r="AH112">
        <v>2</v>
      </c>
      <c r="AI112">
        <v>145197500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ROW(Source!A109)</f>
        <v>109</v>
      </c>
      <c r="B113">
        <v>145197509</v>
      </c>
      <c r="C113">
        <v>145197499</v>
      </c>
      <c r="D113">
        <v>140755491</v>
      </c>
      <c r="E113">
        <v>70</v>
      </c>
      <c r="F113">
        <v>1</v>
      </c>
      <c r="G113">
        <v>1</v>
      </c>
      <c r="H113">
        <v>1</v>
      </c>
      <c r="I113" t="s">
        <v>403</v>
      </c>
      <c r="J113" t="s">
        <v>3</v>
      </c>
      <c r="K113" t="s">
        <v>404</v>
      </c>
      <c r="L113">
        <v>1191</v>
      </c>
      <c r="N113">
        <v>1013</v>
      </c>
      <c r="O113" t="s">
        <v>394</v>
      </c>
      <c r="P113" t="s">
        <v>394</v>
      </c>
      <c r="Q113">
        <v>1</v>
      </c>
      <c r="X113">
        <v>0.25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2</v>
      </c>
      <c r="AF113" t="s">
        <v>42</v>
      </c>
      <c r="AG113">
        <v>0.3125</v>
      </c>
      <c r="AH113">
        <v>2</v>
      </c>
      <c r="AI113">
        <v>145197501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ROW(Source!A109)</f>
        <v>109</v>
      </c>
      <c r="B114">
        <v>145197510</v>
      </c>
      <c r="C114">
        <v>145197499</v>
      </c>
      <c r="D114">
        <v>140922893</v>
      </c>
      <c r="E114">
        <v>1</v>
      </c>
      <c r="F114">
        <v>1</v>
      </c>
      <c r="G114">
        <v>1</v>
      </c>
      <c r="H114">
        <v>2</v>
      </c>
      <c r="I114" t="s">
        <v>470</v>
      </c>
      <c r="J114" t="s">
        <v>471</v>
      </c>
      <c r="K114" t="s">
        <v>472</v>
      </c>
      <c r="L114">
        <v>1367</v>
      </c>
      <c r="N114">
        <v>1011</v>
      </c>
      <c r="O114" t="s">
        <v>398</v>
      </c>
      <c r="P114" t="s">
        <v>398</v>
      </c>
      <c r="Q114">
        <v>1</v>
      </c>
      <c r="X114">
        <v>0.11</v>
      </c>
      <c r="Y114">
        <v>0</v>
      </c>
      <c r="Z114">
        <v>86.4</v>
      </c>
      <c r="AA114">
        <v>13.5</v>
      </c>
      <c r="AB114">
        <v>0</v>
      </c>
      <c r="AC114">
        <v>0</v>
      </c>
      <c r="AD114">
        <v>1</v>
      </c>
      <c r="AE114">
        <v>0</v>
      </c>
      <c r="AF114" t="s">
        <v>42</v>
      </c>
      <c r="AG114">
        <v>0.13750000000000001</v>
      </c>
      <c r="AH114">
        <v>2</v>
      </c>
      <c r="AI114">
        <v>145197502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ROW(Source!A109)</f>
        <v>109</v>
      </c>
      <c r="B115">
        <v>145197511</v>
      </c>
      <c r="C115">
        <v>145197499</v>
      </c>
      <c r="D115">
        <v>140922951</v>
      </c>
      <c r="E115">
        <v>1</v>
      </c>
      <c r="F115">
        <v>1</v>
      </c>
      <c r="G115">
        <v>1</v>
      </c>
      <c r="H115">
        <v>2</v>
      </c>
      <c r="I115" t="s">
        <v>408</v>
      </c>
      <c r="J115" t="s">
        <v>409</v>
      </c>
      <c r="K115" t="s">
        <v>410</v>
      </c>
      <c r="L115">
        <v>1367</v>
      </c>
      <c r="N115">
        <v>1011</v>
      </c>
      <c r="O115" t="s">
        <v>398</v>
      </c>
      <c r="P115" t="s">
        <v>398</v>
      </c>
      <c r="Q115">
        <v>1</v>
      </c>
      <c r="X115">
        <v>0.05</v>
      </c>
      <c r="Y115">
        <v>0</v>
      </c>
      <c r="Z115">
        <v>115.4</v>
      </c>
      <c r="AA115">
        <v>13.5</v>
      </c>
      <c r="AB115">
        <v>0</v>
      </c>
      <c r="AC115">
        <v>0</v>
      </c>
      <c r="AD115">
        <v>1</v>
      </c>
      <c r="AE115">
        <v>0</v>
      </c>
      <c r="AF115" t="s">
        <v>42</v>
      </c>
      <c r="AG115">
        <v>6.25E-2</v>
      </c>
      <c r="AH115">
        <v>2</v>
      </c>
      <c r="AI115">
        <v>145197503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ROW(Source!A109)</f>
        <v>109</v>
      </c>
      <c r="B116">
        <v>145197512</v>
      </c>
      <c r="C116">
        <v>145197499</v>
      </c>
      <c r="D116">
        <v>140923885</v>
      </c>
      <c r="E116">
        <v>1</v>
      </c>
      <c r="F116">
        <v>1</v>
      </c>
      <c r="G116">
        <v>1</v>
      </c>
      <c r="H116">
        <v>2</v>
      </c>
      <c r="I116" t="s">
        <v>417</v>
      </c>
      <c r="J116" t="s">
        <v>418</v>
      </c>
      <c r="K116" t="s">
        <v>419</v>
      </c>
      <c r="L116">
        <v>1367</v>
      </c>
      <c r="N116">
        <v>1011</v>
      </c>
      <c r="O116" t="s">
        <v>398</v>
      </c>
      <c r="P116" t="s">
        <v>398</v>
      </c>
      <c r="Q116">
        <v>1</v>
      </c>
      <c r="X116">
        <v>0.09</v>
      </c>
      <c r="Y116">
        <v>0</v>
      </c>
      <c r="Z116">
        <v>65.709999999999994</v>
      </c>
      <c r="AA116">
        <v>11.6</v>
      </c>
      <c r="AB116">
        <v>0</v>
      </c>
      <c r="AC116">
        <v>0</v>
      </c>
      <c r="AD116">
        <v>1</v>
      </c>
      <c r="AE116">
        <v>0</v>
      </c>
      <c r="AF116" t="s">
        <v>42</v>
      </c>
      <c r="AG116">
        <v>0.11249999999999999</v>
      </c>
      <c r="AH116">
        <v>2</v>
      </c>
      <c r="AI116">
        <v>145197504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ROW(Source!A109)</f>
        <v>109</v>
      </c>
      <c r="B117">
        <v>145197513</v>
      </c>
      <c r="C117">
        <v>145197499</v>
      </c>
      <c r="D117">
        <v>140775112</v>
      </c>
      <c r="E117">
        <v>1</v>
      </c>
      <c r="F117">
        <v>1</v>
      </c>
      <c r="G117">
        <v>1</v>
      </c>
      <c r="H117">
        <v>3</v>
      </c>
      <c r="I117" t="s">
        <v>479</v>
      </c>
      <c r="J117" t="s">
        <v>480</v>
      </c>
      <c r="K117" t="s">
        <v>481</v>
      </c>
      <c r="L117">
        <v>1348</v>
      </c>
      <c r="N117">
        <v>1009</v>
      </c>
      <c r="O117" t="s">
        <v>21</v>
      </c>
      <c r="P117" t="s">
        <v>21</v>
      </c>
      <c r="Q117">
        <v>1000</v>
      </c>
      <c r="X117">
        <v>3.8E-3</v>
      </c>
      <c r="Y117">
        <v>11978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3.8E-3</v>
      </c>
      <c r="AH117">
        <v>2</v>
      </c>
      <c r="AI117">
        <v>145197505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ROW(Source!A109)</f>
        <v>109</v>
      </c>
      <c r="B118">
        <v>145197514</v>
      </c>
      <c r="C118">
        <v>145197499</v>
      </c>
      <c r="D118">
        <v>140790840</v>
      </c>
      <c r="E118">
        <v>1</v>
      </c>
      <c r="F118">
        <v>1</v>
      </c>
      <c r="G118">
        <v>1</v>
      </c>
      <c r="H118">
        <v>3</v>
      </c>
      <c r="I118" t="s">
        <v>482</v>
      </c>
      <c r="J118" t="s">
        <v>483</v>
      </c>
      <c r="K118" t="s">
        <v>484</v>
      </c>
      <c r="L118">
        <v>1348</v>
      </c>
      <c r="N118">
        <v>1009</v>
      </c>
      <c r="O118" t="s">
        <v>21</v>
      </c>
      <c r="P118" t="s">
        <v>21</v>
      </c>
      <c r="Q118">
        <v>1000</v>
      </c>
      <c r="X118">
        <v>0.16900000000000001</v>
      </c>
      <c r="Y118">
        <v>7977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0.16900000000000001</v>
      </c>
      <c r="AH118">
        <v>2</v>
      </c>
      <c r="AI118">
        <v>145197506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ROW(Source!A109)</f>
        <v>109</v>
      </c>
      <c r="B119">
        <v>145197515</v>
      </c>
      <c r="C119">
        <v>145197499</v>
      </c>
      <c r="D119">
        <v>140792570</v>
      </c>
      <c r="E119">
        <v>1</v>
      </c>
      <c r="F119">
        <v>1</v>
      </c>
      <c r="G119">
        <v>1</v>
      </c>
      <c r="H119">
        <v>3</v>
      </c>
      <c r="I119" t="s">
        <v>84</v>
      </c>
      <c r="J119" t="s">
        <v>86</v>
      </c>
      <c r="K119" t="s">
        <v>85</v>
      </c>
      <c r="L119">
        <v>1348</v>
      </c>
      <c r="N119">
        <v>1009</v>
      </c>
      <c r="O119" t="s">
        <v>21</v>
      </c>
      <c r="P119" t="s">
        <v>21</v>
      </c>
      <c r="Q119">
        <v>1000</v>
      </c>
      <c r="X119">
        <v>0.33</v>
      </c>
      <c r="Y119">
        <v>11200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0.33</v>
      </c>
      <c r="AH119">
        <v>2</v>
      </c>
      <c r="AI119">
        <v>145197507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ROW(Source!A114)</f>
        <v>114</v>
      </c>
      <c r="B120">
        <v>145197525</v>
      </c>
      <c r="C120">
        <v>145197520</v>
      </c>
      <c r="D120">
        <v>140755443</v>
      </c>
      <c r="E120">
        <v>70</v>
      </c>
      <c r="F120">
        <v>1</v>
      </c>
      <c r="G120">
        <v>1</v>
      </c>
      <c r="H120">
        <v>1</v>
      </c>
      <c r="I120" t="s">
        <v>485</v>
      </c>
      <c r="J120" t="s">
        <v>3</v>
      </c>
      <c r="K120" t="s">
        <v>486</v>
      </c>
      <c r="L120">
        <v>1191</v>
      </c>
      <c r="N120">
        <v>1013</v>
      </c>
      <c r="O120" t="s">
        <v>394</v>
      </c>
      <c r="P120" t="s">
        <v>394</v>
      </c>
      <c r="Q120">
        <v>1</v>
      </c>
      <c r="X120">
        <v>0.12</v>
      </c>
      <c r="Y120">
        <v>0</v>
      </c>
      <c r="Z120">
        <v>0</v>
      </c>
      <c r="AA120">
        <v>0</v>
      </c>
      <c r="AB120">
        <v>9.6199999999999992</v>
      </c>
      <c r="AC120">
        <v>0</v>
      </c>
      <c r="AD120">
        <v>1</v>
      </c>
      <c r="AE120">
        <v>1</v>
      </c>
      <c r="AF120" t="s">
        <v>43</v>
      </c>
      <c r="AG120">
        <v>0.13799999999999998</v>
      </c>
      <c r="AH120">
        <v>2</v>
      </c>
      <c r="AI120">
        <v>145197521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ROW(Source!A114)</f>
        <v>114</v>
      </c>
      <c r="B121">
        <v>145197526</v>
      </c>
      <c r="C121">
        <v>145197520</v>
      </c>
      <c r="D121">
        <v>140775147</v>
      </c>
      <c r="E121">
        <v>1</v>
      </c>
      <c r="F121">
        <v>1</v>
      </c>
      <c r="G121">
        <v>1</v>
      </c>
      <c r="H121">
        <v>3</v>
      </c>
      <c r="I121" t="s">
        <v>487</v>
      </c>
      <c r="J121" t="s">
        <v>488</v>
      </c>
      <c r="K121" t="s">
        <v>489</v>
      </c>
      <c r="L121">
        <v>1425</v>
      </c>
      <c r="N121">
        <v>1013</v>
      </c>
      <c r="O121" t="s">
        <v>490</v>
      </c>
      <c r="P121" t="s">
        <v>490</v>
      </c>
      <c r="Q121">
        <v>1</v>
      </c>
      <c r="X121">
        <v>0.2</v>
      </c>
      <c r="Y121">
        <v>39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0.2</v>
      </c>
      <c r="AH121">
        <v>2</v>
      </c>
      <c r="AI121">
        <v>145197522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ROW(Source!A114)</f>
        <v>114</v>
      </c>
      <c r="B122">
        <v>145197527</v>
      </c>
      <c r="C122">
        <v>145197520</v>
      </c>
      <c r="D122">
        <v>140762129</v>
      </c>
      <c r="E122">
        <v>70</v>
      </c>
      <c r="F122">
        <v>1</v>
      </c>
      <c r="G122">
        <v>1</v>
      </c>
      <c r="H122">
        <v>3</v>
      </c>
      <c r="I122" t="s">
        <v>491</v>
      </c>
      <c r="J122" t="s">
        <v>3</v>
      </c>
      <c r="K122" t="s">
        <v>492</v>
      </c>
      <c r="L122">
        <v>1301</v>
      </c>
      <c r="N122">
        <v>1003</v>
      </c>
      <c r="O122" t="s">
        <v>72</v>
      </c>
      <c r="P122" t="s">
        <v>72</v>
      </c>
      <c r="Q122">
        <v>1</v>
      </c>
      <c r="X122">
        <v>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 t="s">
        <v>3</v>
      </c>
      <c r="AG122">
        <v>1</v>
      </c>
      <c r="AH122">
        <v>2</v>
      </c>
      <c r="AI122">
        <v>145197523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ROW(Source!A114)</f>
        <v>114</v>
      </c>
      <c r="B123">
        <v>145197528</v>
      </c>
      <c r="C123">
        <v>145197520</v>
      </c>
      <c r="D123">
        <v>140762174</v>
      </c>
      <c r="E123">
        <v>70</v>
      </c>
      <c r="F123">
        <v>1</v>
      </c>
      <c r="G123">
        <v>1</v>
      </c>
      <c r="H123">
        <v>3</v>
      </c>
      <c r="I123" t="s">
        <v>493</v>
      </c>
      <c r="J123" t="s">
        <v>3</v>
      </c>
      <c r="K123" t="s">
        <v>494</v>
      </c>
      <c r="L123">
        <v>1371</v>
      </c>
      <c r="N123">
        <v>1013</v>
      </c>
      <c r="O123" t="s">
        <v>112</v>
      </c>
      <c r="P123" t="s">
        <v>112</v>
      </c>
      <c r="Q123">
        <v>1</v>
      </c>
      <c r="X123">
        <v>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3</v>
      </c>
      <c r="AG123">
        <v>2</v>
      </c>
      <c r="AH123">
        <v>2</v>
      </c>
      <c r="AI123">
        <v>145197524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ROW(Source!A118)</f>
        <v>118</v>
      </c>
      <c r="B124">
        <v>145197535</v>
      </c>
      <c r="C124">
        <v>145197532</v>
      </c>
      <c r="D124">
        <v>140755443</v>
      </c>
      <c r="E124">
        <v>70</v>
      </c>
      <c r="F124">
        <v>1</v>
      </c>
      <c r="G124">
        <v>1</v>
      </c>
      <c r="H124">
        <v>1</v>
      </c>
      <c r="I124" t="s">
        <v>485</v>
      </c>
      <c r="J124" t="s">
        <v>3</v>
      </c>
      <c r="K124" t="s">
        <v>486</v>
      </c>
      <c r="L124">
        <v>1191</v>
      </c>
      <c r="N124">
        <v>1013</v>
      </c>
      <c r="O124" t="s">
        <v>394</v>
      </c>
      <c r="P124" t="s">
        <v>394</v>
      </c>
      <c r="Q124">
        <v>1</v>
      </c>
      <c r="X124">
        <v>0.18</v>
      </c>
      <c r="Y124">
        <v>0</v>
      </c>
      <c r="Z124">
        <v>0</v>
      </c>
      <c r="AA124">
        <v>0</v>
      </c>
      <c r="AB124">
        <v>9.6199999999999992</v>
      </c>
      <c r="AC124">
        <v>0</v>
      </c>
      <c r="AD124">
        <v>1</v>
      </c>
      <c r="AE124">
        <v>1</v>
      </c>
      <c r="AF124" t="s">
        <v>43</v>
      </c>
      <c r="AG124">
        <v>0.20699999999999999</v>
      </c>
      <c r="AH124">
        <v>2</v>
      </c>
      <c r="AI124">
        <v>145197533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ROW(Source!A118)</f>
        <v>118</v>
      </c>
      <c r="B125">
        <v>145197536</v>
      </c>
      <c r="C125">
        <v>145197532</v>
      </c>
      <c r="D125">
        <v>140762174</v>
      </c>
      <c r="E125">
        <v>70</v>
      </c>
      <c r="F125">
        <v>1</v>
      </c>
      <c r="G125">
        <v>1</v>
      </c>
      <c r="H125">
        <v>3</v>
      </c>
      <c r="I125" t="s">
        <v>493</v>
      </c>
      <c r="J125" t="s">
        <v>3</v>
      </c>
      <c r="K125" t="s">
        <v>494</v>
      </c>
      <c r="L125">
        <v>1371</v>
      </c>
      <c r="N125">
        <v>1013</v>
      </c>
      <c r="O125" t="s">
        <v>112</v>
      </c>
      <c r="P125" t="s">
        <v>112</v>
      </c>
      <c r="Q125">
        <v>1</v>
      </c>
      <c r="X125">
        <v>1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 t="s">
        <v>3</v>
      </c>
      <c r="AG125">
        <v>1</v>
      </c>
      <c r="AH125">
        <v>2</v>
      </c>
      <c r="AI125">
        <v>145197534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ROW(Source!A120)</f>
        <v>120</v>
      </c>
      <c r="B126">
        <v>145197541</v>
      </c>
      <c r="C126">
        <v>145197538</v>
      </c>
      <c r="D126">
        <v>140755443</v>
      </c>
      <c r="E126">
        <v>70</v>
      </c>
      <c r="F126">
        <v>1</v>
      </c>
      <c r="G126">
        <v>1</v>
      </c>
      <c r="H126">
        <v>1</v>
      </c>
      <c r="I126" t="s">
        <v>485</v>
      </c>
      <c r="J126" t="s">
        <v>3</v>
      </c>
      <c r="K126" t="s">
        <v>486</v>
      </c>
      <c r="L126">
        <v>1191</v>
      </c>
      <c r="N126">
        <v>1013</v>
      </c>
      <c r="O126" t="s">
        <v>394</v>
      </c>
      <c r="P126" t="s">
        <v>394</v>
      </c>
      <c r="Q126">
        <v>1</v>
      </c>
      <c r="X126">
        <v>0.12</v>
      </c>
      <c r="Y126">
        <v>0</v>
      </c>
      <c r="Z126">
        <v>0</v>
      </c>
      <c r="AA126">
        <v>0</v>
      </c>
      <c r="AB126">
        <v>9.6199999999999992</v>
      </c>
      <c r="AC126">
        <v>0</v>
      </c>
      <c r="AD126">
        <v>1</v>
      </c>
      <c r="AE126">
        <v>1</v>
      </c>
      <c r="AF126" t="s">
        <v>43</v>
      </c>
      <c r="AG126">
        <v>0.13799999999999998</v>
      </c>
      <c r="AH126">
        <v>2</v>
      </c>
      <c r="AI126">
        <v>145197539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ROW(Source!A120)</f>
        <v>120</v>
      </c>
      <c r="B127">
        <v>145197542</v>
      </c>
      <c r="C127">
        <v>145197538</v>
      </c>
      <c r="D127">
        <v>140762174</v>
      </c>
      <c r="E127">
        <v>70</v>
      </c>
      <c r="F127">
        <v>1</v>
      </c>
      <c r="G127">
        <v>1</v>
      </c>
      <c r="H127">
        <v>3</v>
      </c>
      <c r="I127" t="s">
        <v>493</v>
      </c>
      <c r="J127" t="s">
        <v>3</v>
      </c>
      <c r="K127" t="s">
        <v>494</v>
      </c>
      <c r="L127">
        <v>1371</v>
      </c>
      <c r="N127">
        <v>1013</v>
      </c>
      <c r="O127" t="s">
        <v>112</v>
      </c>
      <c r="P127" t="s">
        <v>112</v>
      </c>
      <c r="Q127">
        <v>1</v>
      </c>
      <c r="X127">
        <v>1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3</v>
      </c>
      <c r="AG127">
        <v>1</v>
      </c>
      <c r="AH127">
        <v>2</v>
      </c>
      <c r="AI127">
        <v>145197540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ROW(Source!A122)</f>
        <v>122</v>
      </c>
      <c r="B128">
        <v>145197552</v>
      </c>
      <c r="C128">
        <v>145197544</v>
      </c>
      <c r="D128">
        <v>140755433</v>
      </c>
      <c r="E128">
        <v>70</v>
      </c>
      <c r="F128">
        <v>1</v>
      </c>
      <c r="G128">
        <v>1</v>
      </c>
      <c r="H128">
        <v>1</v>
      </c>
      <c r="I128" t="s">
        <v>468</v>
      </c>
      <c r="J128" t="s">
        <v>3</v>
      </c>
      <c r="K128" t="s">
        <v>469</v>
      </c>
      <c r="L128">
        <v>1191</v>
      </c>
      <c r="N128">
        <v>1013</v>
      </c>
      <c r="O128" t="s">
        <v>394</v>
      </c>
      <c r="P128" t="s">
        <v>394</v>
      </c>
      <c r="Q128">
        <v>1</v>
      </c>
      <c r="X128">
        <v>97.2</v>
      </c>
      <c r="Y128">
        <v>0</v>
      </c>
      <c r="Z128">
        <v>0</v>
      </c>
      <c r="AA128">
        <v>0</v>
      </c>
      <c r="AB128">
        <v>8.5299999999999994</v>
      </c>
      <c r="AC128">
        <v>0</v>
      </c>
      <c r="AD128">
        <v>1</v>
      </c>
      <c r="AE128">
        <v>1</v>
      </c>
      <c r="AF128" t="s">
        <v>43</v>
      </c>
      <c r="AG128">
        <v>111.78</v>
      </c>
      <c r="AH128">
        <v>2</v>
      </c>
      <c r="AI128">
        <v>145197545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ROW(Source!A122)</f>
        <v>122</v>
      </c>
      <c r="B129">
        <v>145197553</v>
      </c>
      <c r="C129">
        <v>145197544</v>
      </c>
      <c r="D129">
        <v>140755491</v>
      </c>
      <c r="E129">
        <v>70</v>
      </c>
      <c r="F129">
        <v>1</v>
      </c>
      <c r="G129">
        <v>1</v>
      </c>
      <c r="H129">
        <v>1</v>
      </c>
      <c r="I129" t="s">
        <v>403</v>
      </c>
      <c r="J129" t="s">
        <v>3</v>
      </c>
      <c r="K129" t="s">
        <v>404</v>
      </c>
      <c r="L129">
        <v>1191</v>
      </c>
      <c r="N129">
        <v>1013</v>
      </c>
      <c r="O129" t="s">
        <v>394</v>
      </c>
      <c r="P129" t="s">
        <v>394</v>
      </c>
      <c r="Q129">
        <v>1</v>
      </c>
      <c r="X129">
        <v>0.27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2</v>
      </c>
      <c r="AF129" t="s">
        <v>42</v>
      </c>
      <c r="AG129">
        <v>0.33750000000000002</v>
      </c>
      <c r="AH129">
        <v>2</v>
      </c>
      <c r="AI129">
        <v>145197546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ROW(Source!A122)</f>
        <v>122</v>
      </c>
      <c r="B130">
        <v>145197554</v>
      </c>
      <c r="C130">
        <v>145197544</v>
      </c>
      <c r="D130">
        <v>140922893</v>
      </c>
      <c r="E130">
        <v>1</v>
      </c>
      <c r="F130">
        <v>1</v>
      </c>
      <c r="G130">
        <v>1</v>
      </c>
      <c r="H130">
        <v>2</v>
      </c>
      <c r="I130" t="s">
        <v>470</v>
      </c>
      <c r="J130" t="s">
        <v>471</v>
      </c>
      <c r="K130" t="s">
        <v>472</v>
      </c>
      <c r="L130">
        <v>1367</v>
      </c>
      <c r="N130">
        <v>1011</v>
      </c>
      <c r="O130" t="s">
        <v>398</v>
      </c>
      <c r="P130" t="s">
        <v>398</v>
      </c>
      <c r="Q130">
        <v>1</v>
      </c>
      <c r="X130">
        <v>0.2</v>
      </c>
      <c r="Y130">
        <v>0</v>
      </c>
      <c r="Z130">
        <v>86.4</v>
      </c>
      <c r="AA130">
        <v>13.5</v>
      </c>
      <c r="AB130">
        <v>0</v>
      </c>
      <c r="AC130">
        <v>0</v>
      </c>
      <c r="AD130">
        <v>1</v>
      </c>
      <c r="AE130">
        <v>0</v>
      </c>
      <c r="AF130" t="s">
        <v>42</v>
      </c>
      <c r="AG130">
        <v>0.25</v>
      </c>
      <c r="AH130">
        <v>2</v>
      </c>
      <c r="AI130">
        <v>145197547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ROW(Source!A122)</f>
        <v>122</v>
      </c>
      <c r="B131">
        <v>145197555</v>
      </c>
      <c r="C131">
        <v>145197544</v>
      </c>
      <c r="D131">
        <v>140923885</v>
      </c>
      <c r="E131">
        <v>1</v>
      </c>
      <c r="F131">
        <v>1</v>
      </c>
      <c r="G131">
        <v>1</v>
      </c>
      <c r="H131">
        <v>2</v>
      </c>
      <c r="I131" t="s">
        <v>417</v>
      </c>
      <c r="J131" t="s">
        <v>418</v>
      </c>
      <c r="K131" t="s">
        <v>419</v>
      </c>
      <c r="L131">
        <v>1367</v>
      </c>
      <c r="N131">
        <v>1011</v>
      </c>
      <c r="O131" t="s">
        <v>398</v>
      </c>
      <c r="P131" t="s">
        <v>398</v>
      </c>
      <c r="Q131">
        <v>1</v>
      </c>
      <c r="X131">
        <v>7.0000000000000007E-2</v>
      </c>
      <c r="Y131">
        <v>0</v>
      </c>
      <c r="Z131">
        <v>65.709999999999994</v>
      </c>
      <c r="AA131">
        <v>11.6</v>
      </c>
      <c r="AB131">
        <v>0</v>
      </c>
      <c r="AC131">
        <v>0</v>
      </c>
      <c r="AD131">
        <v>1</v>
      </c>
      <c r="AE131">
        <v>0</v>
      </c>
      <c r="AF131" t="s">
        <v>42</v>
      </c>
      <c r="AG131">
        <v>8.7500000000000008E-2</v>
      </c>
      <c r="AH131">
        <v>2</v>
      </c>
      <c r="AI131">
        <v>145197548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ROW(Source!A122)</f>
        <v>122</v>
      </c>
      <c r="B132">
        <v>145197556</v>
      </c>
      <c r="C132">
        <v>145197544</v>
      </c>
      <c r="D132">
        <v>140775136</v>
      </c>
      <c r="E132">
        <v>1</v>
      </c>
      <c r="F132">
        <v>1</v>
      </c>
      <c r="G132">
        <v>1</v>
      </c>
      <c r="H132">
        <v>3</v>
      </c>
      <c r="I132" t="s">
        <v>473</v>
      </c>
      <c r="J132" t="s">
        <v>474</v>
      </c>
      <c r="K132" t="s">
        <v>475</v>
      </c>
      <c r="L132">
        <v>1348</v>
      </c>
      <c r="N132">
        <v>1009</v>
      </c>
      <c r="O132" t="s">
        <v>21</v>
      </c>
      <c r="P132" t="s">
        <v>21</v>
      </c>
      <c r="Q132">
        <v>1000</v>
      </c>
      <c r="X132">
        <v>4.0000000000000001E-3</v>
      </c>
      <c r="Y132">
        <v>8475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4.0000000000000001E-3</v>
      </c>
      <c r="AH132">
        <v>2</v>
      </c>
      <c r="AI132">
        <v>145197549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ROW(Source!A122)</f>
        <v>122</v>
      </c>
      <c r="B133">
        <v>145197557</v>
      </c>
      <c r="C133">
        <v>145197544</v>
      </c>
      <c r="D133">
        <v>140792325</v>
      </c>
      <c r="E133">
        <v>1</v>
      </c>
      <c r="F133">
        <v>1</v>
      </c>
      <c r="G133">
        <v>1</v>
      </c>
      <c r="H133">
        <v>3</v>
      </c>
      <c r="I133" t="s">
        <v>476</v>
      </c>
      <c r="J133" t="s">
        <v>477</v>
      </c>
      <c r="K133" t="s">
        <v>478</v>
      </c>
      <c r="L133">
        <v>1348</v>
      </c>
      <c r="N133">
        <v>1009</v>
      </c>
      <c r="O133" t="s">
        <v>21</v>
      </c>
      <c r="P133" t="s">
        <v>21</v>
      </c>
      <c r="Q133">
        <v>1000</v>
      </c>
      <c r="X133">
        <v>1.2E-2</v>
      </c>
      <c r="Y133">
        <v>8190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1.2E-2</v>
      </c>
      <c r="AH133">
        <v>2</v>
      </c>
      <c r="AI133">
        <v>145197550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ROW(Source!A122)</f>
        <v>122</v>
      </c>
      <c r="B134">
        <v>145197558</v>
      </c>
      <c r="C134">
        <v>145197544</v>
      </c>
      <c r="D134">
        <v>140792570</v>
      </c>
      <c r="E134">
        <v>1</v>
      </c>
      <c r="F134">
        <v>1</v>
      </c>
      <c r="G134">
        <v>1</v>
      </c>
      <c r="H134">
        <v>3</v>
      </c>
      <c r="I134" t="s">
        <v>84</v>
      </c>
      <c r="J134" t="s">
        <v>86</v>
      </c>
      <c r="K134" t="s">
        <v>85</v>
      </c>
      <c r="L134">
        <v>1348</v>
      </c>
      <c r="N134">
        <v>1009</v>
      </c>
      <c r="O134" t="s">
        <v>21</v>
      </c>
      <c r="P134" t="s">
        <v>21</v>
      </c>
      <c r="Q134">
        <v>1000</v>
      </c>
      <c r="X134">
        <v>0.56999999999999995</v>
      </c>
      <c r="Y134">
        <v>11200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0.56999999999999995</v>
      </c>
      <c r="AH134">
        <v>2</v>
      </c>
      <c r="AI134">
        <v>145197551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ROW(Source!A126)</f>
        <v>126</v>
      </c>
      <c r="B135">
        <v>145197599</v>
      </c>
      <c r="C135">
        <v>145197598</v>
      </c>
      <c r="D135">
        <v>140759945</v>
      </c>
      <c r="E135">
        <v>70</v>
      </c>
      <c r="F135">
        <v>1</v>
      </c>
      <c r="G135">
        <v>1</v>
      </c>
      <c r="H135">
        <v>1</v>
      </c>
      <c r="I135" t="s">
        <v>495</v>
      </c>
      <c r="J135" t="s">
        <v>3</v>
      </c>
      <c r="K135" t="s">
        <v>496</v>
      </c>
      <c r="L135">
        <v>1191</v>
      </c>
      <c r="N135">
        <v>1013</v>
      </c>
      <c r="O135" t="s">
        <v>394</v>
      </c>
      <c r="P135" t="s">
        <v>394</v>
      </c>
      <c r="Q135">
        <v>1</v>
      </c>
      <c r="X135">
        <v>65.12</v>
      </c>
      <c r="Y135">
        <v>0</v>
      </c>
      <c r="Z135">
        <v>0</v>
      </c>
      <c r="AA135">
        <v>0</v>
      </c>
      <c r="AB135">
        <v>7.94</v>
      </c>
      <c r="AC135">
        <v>0</v>
      </c>
      <c r="AD135">
        <v>1</v>
      </c>
      <c r="AE135">
        <v>1</v>
      </c>
      <c r="AF135" t="s">
        <v>3</v>
      </c>
      <c r="AG135">
        <v>65.12</v>
      </c>
      <c r="AH135">
        <v>2</v>
      </c>
      <c r="AI135">
        <v>145197599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ROW(Source!A126)</f>
        <v>126</v>
      </c>
      <c r="B136">
        <v>145197600</v>
      </c>
      <c r="C136">
        <v>145197598</v>
      </c>
      <c r="D136">
        <v>140760225</v>
      </c>
      <c r="E136">
        <v>70</v>
      </c>
      <c r="F136">
        <v>1</v>
      </c>
      <c r="G136">
        <v>1</v>
      </c>
      <c r="H136">
        <v>1</v>
      </c>
      <c r="I136" t="s">
        <v>403</v>
      </c>
      <c r="J136" t="s">
        <v>3</v>
      </c>
      <c r="K136" t="s">
        <v>404</v>
      </c>
      <c r="L136">
        <v>1191</v>
      </c>
      <c r="N136">
        <v>1013</v>
      </c>
      <c r="O136" t="s">
        <v>394</v>
      </c>
      <c r="P136" t="s">
        <v>394</v>
      </c>
      <c r="Q136">
        <v>1</v>
      </c>
      <c r="X136">
        <v>0.28000000000000003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2</v>
      </c>
      <c r="AF136" t="s">
        <v>3</v>
      </c>
      <c r="AG136">
        <v>0.28000000000000003</v>
      </c>
      <c r="AH136">
        <v>2</v>
      </c>
      <c r="AI136">
        <v>145197600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ROW(Source!A126)</f>
        <v>126</v>
      </c>
      <c r="B137">
        <v>145197601</v>
      </c>
      <c r="C137">
        <v>145197598</v>
      </c>
      <c r="D137">
        <v>140923086</v>
      </c>
      <c r="E137">
        <v>1</v>
      </c>
      <c r="F137">
        <v>1</v>
      </c>
      <c r="G137">
        <v>1</v>
      </c>
      <c r="H137">
        <v>2</v>
      </c>
      <c r="I137" t="s">
        <v>497</v>
      </c>
      <c r="J137" t="s">
        <v>498</v>
      </c>
      <c r="K137" t="s">
        <v>499</v>
      </c>
      <c r="L137">
        <v>1367</v>
      </c>
      <c r="N137">
        <v>1011</v>
      </c>
      <c r="O137" t="s">
        <v>398</v>
      </c>
      <c r="P137" t="s">
        <v>398</v>
      </c>
      <c r="Q137">
        <v>1</v>
      </c>
      <c r="X137">
        <v>0.39</v>
      </c>
      <c r="Y137">
        <v>0</v>
      </c>
      <c r="Z137">
        <v>1.7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0.39</v>
      </c>
      <c r="AH137">
        <v>2</v>
      </c>
      <c r="AI137">
        <v>145197601</v>
      </c>
      <c r="AJ137">
        <v>137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ROW(Source!A126)</f>
        <v>126</v>
      </c>
      <c r="B138">
        <v>145197602</v>
      </c>
      <c r="C138">
        <v>145197598</v>
      </c>
      <c r="D138">
        <v>140923885</v>
      </c>
      <c r="E138">
        <v>1</v>
      </c>
      <c r="F138">
        <v>1</v>
      </c>
      <c r="G138">
        <v>1</v>
      </c>
      <c r="H138">
        <v>2</v>
      </c>
      <c r="I138" t="s">
        <v>417</v>
      </c>
      <c r="J138" t="s">
        <v>418</v>
      </c>
      <c r="K138" t="s">
        <v>419</v>
      </c>
      <c r="L138">
        <v>1367</v>
      </c>
      <c r="N138">
        <v>1011</v>
      </c>
      <c r="O138" t="s">
        <v>398</v>
      </c>
      <c r="P138" t="s">
        <v>398</v>
      </c>
      <c r="Q138">
        <v>1</v>
      </c>
      <c r="X138">
        <v>0.28000000000000003</v>
      </c>
      <c r="Y138">
        <v>0</v>
      </c>
      <c r="Z138">
        <v>65.709999999999994</v>
      </c>
      <c r="AA138">
        <v>11.6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0.28000000000000003</v>
      </c>
      <c r="AH138">
        <v>2</v>
      </c>
      <c r="AI138">
        <v>145197602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ROW(Source!A126)</f>
        <v>126</v>
      </c>
      <c r="B139">
        <v>145197603</v>
      </c>
      <c r="C139">
        <v>145197598</v>
      </c>
      <c r="D139">
        <v>140775118</v>
      </c>
      <c r="E139">
        <v>1</v>
      </c>
      <c r="F139">
        <v>1</v>
      </c>
      <c r="G139">
        <v>1</v>
      </c>
      <c r="H139">
        <v>3</v>
      </c>
      <c r="I139" t="s">
        <v>500</v>
      </c>
      <c r="J139" t="s">
        <v>501</v>
      </c>
      <c r="K139" t="s">
        <v>502</v>
      </c>
      <c r="L139">
        <v>1348</v>
      </c>
      <c r="N139">
        <v>1009</v>
      </c>
      <c r="O139" t="s">
        <v>21</v>
      </c>
      <c r="P139" t="s">
        <v>21</v>
      </c>
      <c r="Q139">
        <v>1000</v>
      </c>
      <c r="X139">
        <v>4.0000000000000001E-3</v>
      </c>
      <c r="Y139">
        <v>11978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4.0000000000000001E-3</v>
      </c>
      <c r="AH139">
        <v>2</v>
      </c>
      <c r="AI139">
        <v>145197603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ROW(Source!A126)</f>
        <v>126</v>
      </c>
      <c r="B140">
        <v>145197604</v>
      </c>
      <c r="C140">
        <v>145197598</v>
      </c>
      <c r="D140">
        <v>140762576</v>
      </c>
      <c r="E140">
        <v>70</v>
      </c>
      <c r="F140">
        <v>1</v>
      </c>
      <c r="G140">
        <v>1</v>
      </c>
      <c r="H140">
        <v>3</v>
      </c>
      <c r="I140" t="s">
        <v>503</v>
      </c>
      <c r="J140" t="s">
        <v>3</v>
      </c>
      <c r="K140" t="s">
        <v>504</v>
      </c>
      <c r="L140">
        <v>1339</v>
      </c>
      <c r="N140">
        <v>1007</v>
      </c>
      <c r="O140" t="s">
        <v>141</v>
      </c>
      <c r="P140" t="s">
        <v>141</v>
      </c>
      <c r="Q140">
        <v>1</v>
      </c>
      <c r="X140">
        <v>1.3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 t="s">
        <v>3</v>
      </c>
      <c r="AG140">
        <v>1.3</v>
      </c>
      <c r="AH140">
        <v>2</v>
      </c>
      <c r="AI140">
        <v>145197604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ROW(Source!A126)</f>
        <v>126</v>
      </c>
      <c r="B141">
        <v>145197605</v>
      </c>
      <c r="C141">
        <v>145197598</v>
      </c>
      <c r="D141">
        <v>140765020</v>
      </c>
      <c r="E141">
        <v>70</v>
      </c>
      <c r="F141">
        <v>1</v>
      </c>
      <c r="G141">
        <v>1</v>
      </c>
      <c r="H141">
        <v>3</v>
      </c>
      <c r="I141" t="s">
        <v>399</v>
      </c>
      <c r="J141" t="s">
        <v>3</v>
      </c>
      <c r="K141" t="s">
        <v>400</v>
      </c>
      <c r="L141">
        <v>1348</v>
      </c>
      <c r="N141">
        <v>1009</v>
      </c>
      <c r="O141" t="s">
        <v>21</v>
      </c>
      <c r="P141" t="s">
        <v>21</v>
      </c>
      <c r="Q141">
        <v>1000</v>
      </c>
      <c r="X141">
        <v>2.11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 t="s">
        <v>3</v>
      </c>
      <c r="AG141">
        <v>2.11</v>
      </c>
      <c r="AH141">
        <v>2</v>
      </c>
      <c r="AI141">
        <v>145197605</v>
      </c>
      <c r="AJ141">
        <v>141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ROW(Source!A128)</f>
        <v>128</v>
      </c>
      <c r="B142">
        <v>145197607</v>
      </c>
      <c r="C142">
        <v>145197606</v>
      </c>
      <c r="D142">
        <v>140759953</v>
      </c>
      <c r="E142">
        <v>70</v>
      </c>
      <c r="F142">
        <v>1</v>
      </c>
      <c r="G142">
        <v>1</v>
      </c>
      <c r="H142">
        <v>1</v>
      </c>
      <c r="I142" t="s">
        <v>519</v>
      </c>
      <c r="J142" t="s">
        <v>3</v>
      </c>
      <c r="K142" t="s">
        <v>520</v>
      </c>
      <c r="L142">
        <v>1191</v>
      </c>
      <c r="N142">
        <v>1013</v>
      </c>
      <c r="O142" t="s">
        <v>394</v>
      </c>
      <c r="P142" t="s">
        <v>394</v>
      </c>
      <c r="Q142">
        <v>1</v>
      </c>
      <c r="X142">
        <v>22.68</v>
      </c>
      <c r="Y142">
        <v>0</v>
      </c>
      <c r="Z142">
        <v>0</v>
      </c>
      <c r="AA142">
        <v>0</v>
      </c>
      <c r="AB142">
        <v>8.09</v>
      </c>
      <c r="AC142">
        <v>0</v>
      </c>
      <c r="AD142">
        <v>1</v>
      </c>
      <c r="AE142">
        <v>1</v>
      </c>
      <c r="AF142" t="s">
        <v>3</v>
      </c>
      <c r="AG142">
        <v>22.68</v>
      </c>
      <c r="AH142">
        <v>2</v>
      </c>
      <c r="AI142">
        <v>145197607</v>
      </c>
      <c r="AJ142">
        <v>142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ROW(Source!A128)</f>
        <v>128</v>
      </c>
      <c r="B143">
        <v>145197608</v>
      </c>
      <c r="C143">
        <v>145197606</v>
      </c>
      <c r="D143">
        <v>140760225</v>
      </c>
      <c r="E143">
        <v>70</v>
      </c>
      <c r="F143">
        <v>1</v>
      </c>
      <c r="G143">
        <v>1</v>
      </c>
      <c r="H143">
        <v>1</v>
      </c>
      <c r="I143" t="s">
        <v>403</v>
      </c>
      <c r="J143" t="s">
        <v>3</v>
      </c>
      <c r="K143" t="s">
        <v>404</v>
      </c>
      <c r="L143">
        <v>1191</v>
      </c>
      <c r="N143">
        <v>1013</v>
      </c>
      <c r="O143" t="s">
        <v>394</v>
      </c>
      <c r="P143" t="s">
        <v>394</v>
      </c>
      <c r="Q143">
        <v>1</v>
      </c>
      <c r="X143">
        <v>0.28999999999999998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2</v>
      </c>
      <c r="AF143" t="s">
        <v>3</v>
      </c>
      <c r="AG143">
        <v>0.28999999999999998</v>
      </c>
      <c r="AH143">
        <v>2</v>
      </c>
      <c r="AI143">
        <v>145197608</v>
      </c>
      <c r="AJ143">
        <v>143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ROW(Source!A128)</f>
        <v>128</v>
      </c>
      <c r="B144">
        <v>145197609</v>
      </c>
      <c r="C144">
        <v>145197606</v>
      </c>
      <c r="D144">
        <v>140922893</v>
      </c>
      <c r="E144">
        <v>1</v>
      </c>
      <c r="F144">
        <v>1</v>
      </c>
      <c r="G144">
        <v>1</v>
      </c>
      <c r="H144">
        <v>2</v>
      </c>
      <c r="I144" t="s">
        <v>470</v>
      </c>
      <c r="J144" t="s">
        <v>471</v>
      </c>
      <c r="K144" t="s">
        <v>472</v>
      </c>
      <c r="L144">
        <v>1367</v>
      </c>
      <c r="N144">
        <v>1011</v>
      </c>
      <c r="O144" t="s">
        <v>398</v>
      </c>
      <c r="P144" t="s">
        <v>398</v>
      </c>
      <c r="Q144">
        <v>1</v>
      </c>
      <c r="X144">
        <v>0.28999999999999998</v>
      </c>
      <c r="Y144">
        <v>0</v>
      </c>
      <c r="Z144">
        <v>86.4</v>
      </c>
      <c r="AA144">
        <v>13.5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0.28999999999999998</v>
      </c>
      <c r="AH144">
        <v>2</v>
      </c>
      <c r="AI144">
        <v>145197609</v>
      </c>
      <c r="AJ144">
        <v>144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ROW(Source!A128)</f>
        <v>128</v>
      </c>
      <c r="B145">
        <v>145197610</v>
      </c>
      <c r="C145">
        <v>145197606</v>
      </c>
      <c r="D145">
        <v>140765020</v>
      </c>
      <c r="E145">
        <v>70</v>
      </c>
      <c r="F145">
        <v>1</v>
      </c>
      <c r="G145">
        <v>1</v>
      </c>
      <c r="H145">
        <v>3</v>
      </c>
      <c r="I145" t="s">
        <v>399</v>
      </c>
      <c r="J145" t="s">
        <v>3</v>
      </c>
      <c r="K145" t="s">
        <v>400</v>
      </c>
      <c r="L145">
        <v>1348</v>
      </c>
      <c r="N145">
        <v>1009</v>
      </c>
      <c r="O145" t="s">
        <v>21</v>
      </c>
      <c r="P145" t="s">
        <v>21</v>
      </c>
      <c r="Q145">
        <v>1000</v>
      </c>
      <c r="X145">
        <v>0.9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 t="s">
        <v>3</v>
      </c>
      <c r="AG145">
        <v>0.9</v>
      </c>
      <c r="AH145">
        <v>2</v>
      </c>
      <c r="AI145">
        <v>145197610</v>
      </c>
      <c r="AJ145">
        <v>145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ROW(Source!A129)</f>
        <v>129</v>
      </c>
      <c r="B146">
        <v>145197612</v>
      </c>
      <c r="C146">
        <v>145197611</v>
      </c>
      <c r="D146">
        <v>140759966</v>
      </c>
      <c r="E146">
        <v>70</v>
      </c>
      <c r="F146">
        <v>1</v>
      </c>
      <c r="G146">
        <v>1</v>
      </c>
      <c r="H146">
        <v>1</v>
      </c>
      <c r="I146" t="s">
        <v>521</v>
      </c>
      <c r="J146" t="s">
        <v>3</v>
      </c>
      <c r="K146" t="s">
        <v>522</v>
      </c>
      <c r="L146">
        <v>1191</v>
      </c>
      <c r="N146">
        <v>1013</v>
      </c>
      <c r="O146" t="s">
        <v>394</v>
      </c>
      <c r="P146" t="s">
        <v>394</v>
      </c>
      <c r="Q146">
        <v>1</v>
      </c>
      <c r="X146">
        <v>23.8</v>
      </c>
      <c r="Y146">
        <v>0</v>
      </c>
      <c r="Z146">
        <v>0</v>
      </c>
      <c r="AA146">
        <v>0</v>
      </c>
      <c r="AB146">
        <v>8.31</v>
      </c>
      <c r="AC146">
        <v>0</v>
      </c>
      <c r="AD146">
        <v>1</v>
      </c>
      <c r="AE146">
        <v>1</v>
      </c>
      <c r="AF146" t="s">
        <v>43</v>
      </c>
      <c r="AG146">
        <v>27.369999999999997</v>
      </c>
      <c r="AH146">
        <v>2</v>
      </c>
      <c r="AI146">
        <v>145197612</v>
      </c>
      <c r="AJ146">
        <v>146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ROW(Source!A129)</f>
        <v>129</v>
      </c>
      <c r="B147">
        <v>145197613</v>
      </c>
      <c r="C147">
        <v>145197611</v>
      </c>
      <c r="D147">
        <v>140760225</v>
      </c>
      <c r="E147">
        <v>70</v>
      </c>
      <c r="F147">
        <v>1</v>
      </c>
      <c r="G147">
        <v>1</v>
      </c>
      <c r="H147">
        <v>1</v>
      </c>
      <c r="I147" t="s">
        <v>403</v>
      </c>
      <c r="J147" t="s">
        <v>3</v>
      </c>
      <c r="K147" t="s">
        <v>404</v>
      </c>
      <c r="L147">
        <v>1191</v>
      </c>
      <c r="N147">
        <v>1013</v>
      </c>
      <c r="O147" t="s">
        <v>394</v>
      </c>
      <c r="P147" t="s">
        <v>394</v>
      </c>
      <c r="Q147">
        <v>1</v>
      </c>
      <c r="X147">
        <v>0.37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2</v>
      </c>
      <c r="AF147" t="s">
        <v>42</v>
      </c>
      <c r="AG147">
        <v>0.46250000000000002</v>
      </c>
      <c r="AH147">
        <v>2</v>
      </c>
      <c r="AI147">
        <v>145197613</v>
      </c>
      <c r="AJ147">
        <v>147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ROW(Source!A129)</f>
        <v>129</v>
      </c>
      <c r="B148">
        <v>145197614</v>
      </c>
      <c r="C148">
        <v>145197611</v>
      </c>
      <c r="D148">
        <v>140922951</v>
      </c>
      <c r="E148">
        <v>1</v>
      </c>
      <c r="F148">
        <v>1</v>
      </c>
      <c r="G148">
        <v>1</v>
      </c>
      <c r="H148">
        <v>2</v>
      </c>
      <c r="I148" t="s">
        <v>408</v>
      </c>
      <c r="J148" t="s">
        <v>409</v>
      </c>
      <c r="K148" t="s">
        <v>410</v>
      </c>
      <c r="L148">
        <v>1367</v>
      </c>
      <c r="N148">
        <v>1011</v>
      </c>
      <c r="O148" t="s">
        <v>398</v>
      </c>
      <c r="P148" t="s">
        <v>398</v>
      </c>
      <c r="Q148">
        <v>1</v>
      </c>
      <c r="X148">
        <v>0.15</v>
      </c>
      <c r="Y148">
        <v>0</v>
      </c>
      <c r="Z148">
        <v>115.4</v>
      </c>
      <c r="AA148">
        <v>13.5</v>
      </c>
      <c r="AB148">
        <v>0</v>
      </c>
      <c r="AC148">
        <v>0</v>
      </c>
      <c r="AD148">
        <v>1</v>
      </c>
      <c r="AE148">
        <v>0</v>
      </c>
      <c r="AF148" t="s">
        <v>42</v>
      </c>
      <c r="AG148">
        <v>0.1875</v>
      </c>
      <c r="AH148">
        <v>2</v>
      </c>
      <c r="AI148">
        <v>145197614</v>
      </c>
      <c r="AJ148">
        <v>148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ROW(Source!A129)</f>
        <v>129</v>
      </c>
      <c r="B149">
        <v>145197615</v>
      </c>
      <c r="C149">
        <v>145197611</v>
      </c>
      <c r="D149">
        <v>140923885</v>
      </c>
      <c r="E149">
        <v>1</v>
      </c>
      <c r="F149">
        <v>1</v>
      </c>
      <c r="G149">
        <v>1</v>
      </c>
      <c r="H149">
        <v>2</v>
      </c>
      <c r="I149" t="s">
        <v>417</v>
      </c>
      <c r="J149" t="s">
        <v>418</v>
      </c>
      <c r="K149" t="s">
        <v>419</v>
      </c>
      <c r="L149">
        <v>1367</v>
      </c>
      <c r="N149">
        <v>1011</v>
      </c>
      <c r="O149" t="s">
        <v>398</v>
      </c>
      <c r="P149" t="s">
        <v>398</v>
      </c>
      <c r="Q149">
        <v>1</v>
      </c>
      <c r="X149">
        <v>0.22</v>
      </c>
      <c r="Y149">
        <v>0</v>
      </c>
      <c r="Z149">
        <v>65.709999999999994</v>
      </c>
      <c r="AA149">
        <v>11.6</v>
      </c>
      <c r="AB149">
        <v>0</v>
      </c>
      <c r="AC149">
        <v>0</v>
      </c>
      <c r="AD149">
        <v>1</v>
      </c>
      <c r="AE149">
        <v>0</v>
      </c>
      <c r="AF149" t="s">
        <v>42</v>
      </c>
      <c r="AG149">
        <v>0.27500000000000002</v>
      </c>
      <c r="AH149">
        <v>2</v>
      </c>
      <c r="AI149">
        <v>145197615</v>
      </c>
      <c r="AJ149">
        <v>149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ROW(Source!A129)</f>
        <v>129</v>
      </c>
      <c r="B150">
        <v>145197616</v>
      </c>
      <c r="C150">
        <v>145197611</v>
      </c>
      <c r="D150">
        <v>140775118</v>
      </c>
      <c r="E150">
        <v>1</v>
      </c>
      <c r="F150">
        <v>1</v>
      </c>
      <c r="G150">
        <v>1</v>
      </c>
      <c r="H150">
        <v>3</v>
      </c>
      <c r="I150" t="s">
        <v>500</v>
      </c>
      <c r="J150" t="s">
        <v>501</v>
      </c>
      <c r="K150" t="s">
        <v>502</v>
      </c>
      <c r="L150">
        <v>1348</v>
      </c>
      <c r="N150">
        <v>1009</v>
      </c>
      <c r="O150" t="s">
        <v>21</v>
      </c>
      <c r="P150" t="s">
        <v>21</v>
      </c>
      <c r="Q150">
        <v>1000</v>
      </c>
      <c r="X150">
        <v>7.1999999999999998E-3</v>
      </c>
      <c r="Y150">
        <v>11978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7.1999999999999998E-3</v>
      </c>
      <c r="AH150">
        <v>2</v>
      </c>
      <c r="AI150">
        <v>145197616</v>
      </c>
      <c r="AJ150">
        <v>150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ROW(Source!A129)</f>
        <v>129</v>
      </c>
      <c r="B151">
        <v>145197617</v>
      </c>
      <c r="C151">
        <v>145197611</v>
      </c>
      <c r="D151">
        <v>140790834</v>
      </c>
      <c r="E151">
        <v>1</v>
      </c>
      <c r="F151">
        <v>1</v>
      </c>
      <c r="G151">
        <v>1</v>
      </c>
      <c r="H151">
        <v>3</v>
      </c>
      <c r="I151" t="s">
        <v>523</v>
      </c>
      <c r="J151" t="s">
        <v>524</v>
      </c>
      <c r="K151" t="s">
        <v>525</v>
      </c>
      <c r="L151">
        <v>1348</v>
      </c>
      <c r="N151">
        <v>1009</v>
      </c>
      <c r="O151" t="s">
        <v>21</v>
      </c>
      <c r="P151" t="s">
        <v>21</v>
      </c>
      <c r="Q151">
        <v>1000</v>
      </c>
      <c r="X151">
        <v>3.7999999999999999E-2</v>
      </c>
      <c r="Y151">
        <v>5989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3.7999999999999999E-2</v>
      </c>
      <c r="AH151">
        <v>2</v>
      </c>
      <c r="AI151">
        <v>145197617</v>
      </c>
      <c r="AJ151">
        <v>151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ROW(Source!A129)</f>
        <v>129</v>
      </c>
      <c r="B152">
        <v>145197618</v>
      </c>
      <c r="C152">
        <v>145197611</v>
      </c>
      <c r="D152">
        <v>140792339</v>
      </c>
      <c r="E152">
        <v>1</v>
      </c>
      <c r="F152">
        <v>1</v>
      </c>
      <c r="G152">
        <v>1</v>
      </c>
      <c r="H152">
        <v>3</v>
      </c>
      <c r="I152" t="s">
        <v>451</v>
      </c>
      <c r="J152" t="s">
        <v>452</v>
      </c>
      <c r="K152" t="s">
        <v>453</v>
      </c>
      <c r="L152">
        <v>1348</v>
      </c>
      <c r="N152">
        <v>1009</v>
      </c>
      <c r="O152" t="s">
        <v>21</v>
      </c>
      <c r="P152" t="s">
        <v>21</v>
      </c>
      <c r="Q152">
        <v>1000</v>
      </c>
      <c r="X152">
        <v>4.3800000000000002E-3</v>
      </c>
      <c r="Y152">
        <v>4455.2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4.3800000000000002E-3</v>
      </c>
      <c r="AH152">
        <v>2</v>
      </c>
      <c r="AI152">
        <v>145197618</v>
      </c>
      <c r="AJ152">
        <v>152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ROW(Source!A129)</f>
        <v>129</v>
      </c>
      <c r="B153">
        <v>145197619</v>
      </c>
      <c r="C153">
        <v>145197611</v>
      </c>
      <c r="D153">
        <v>140796352</v>
      </c>
      <c r="E153">
        <v>1</v>
      </c>
      <c r="F153">
        <v>1</v>
      </c>
      <c r="G153">
        <v>1</v>
      </c>
      <c r="H153">
        <v>3</v>
      </c>
      <c r="I153" t="s">
        <v>281</v>
      </c>
      <c r="J153" t="s">
        <v>283</v>
      </c>
      <c r="K153" t="s">
        <v>282</v>
      </c>
      <c r="L153">
        <v>1339</v>
      </c>
      <c r="N153">
        <v>1007</v>
      </c>
      <c r="O153" t="s">
        <v>141</v>
      </c>
      <c r="P153" t="s">
        <v>141</v>
      </c>
      <c r="Q153">
        <v>1</v>
      </c>
      <c r="X153">
        <v>0.16</v>
      </c>
      <c r="Y153">
        <v>1601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0.16</v>
      </c>
      <c r="AH153">
        <v>2</v>
      </c>
      <c r="AI153">
        <v>145197619</v>
      </c>
      <c r="AJ153">
        <v>153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ROW(Source!A129)</f>
        <v>129</v>
      </c>
      <c r="B154">
        <v>145197620</v>
      </c>
      <c r="C154">
        <v>145197611</v>
      </c>
      <c r="D154">
        <v>140796356</v>
      </c>
      <c r="E154">
        <v>1</v>
      </c>
      <c r="F154">
        <v>1</v>
      </c>
      <c r="G154">
        <v>1</v>
      </c>
      <c r="H154">
        <v>3</v>
      </c>
      <c r="I154" t="s">
        <v>285</v>
      </c>
      <c r="J154" t="s">
        <v>287</v>
      </c>
      <c r="K154" t="s">
        <v>286</v>
      </c>
      <c r="L154">
        <v>1339</v>
      </c>
      <c r="N154">
        <v>1007</v>
      </c>
      <c r="O154" t="s">
        <v>141</v>
      </c>
      <c r="P154" t="s">
        <v>141</v>
      </c>
      <c r="Q154">
        <v>1</v>
      </c>
      <c r="X154">
        <v>0.06</v>
      </c>
      <c r="Y154">
        <v>1980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0.06</v>
      </c>
      <c r="AH154">
        <v>2</v>
      </c>
      <c r="AI154">
        <v>145197620</v>
      </c>
      <c r="AJ154">
        <v>154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ROW(Source!A129)</f>
        <v>129</v>
      </c>
      <c r="B155">
        <v>145197621</v>
      </c>
      <c r="C155">
        <v>145197611</v>
      </c>
      <c r="D155">
        <v>140796539</v>
      </c>
      <c r="E155">
        <v>1</v>
      </c>
      <c r="F155">
        <v>1</v>
      </c>
      <c r="G155">
        <v>1</v>
      </c>
      <c r="H155">
        <v>3</v>
      </c>
      <c r="I155" t="s">
        <v>289</v>
      </c>
      <c r="J155" t="s">
        <v>291</v>
      </c>
      <c r="K155" t="s">
        <v>290</v>
      </c>
      <c r="L155">
        <v>1339</v>
      </c>
      <c r="N155">
        <v>1007</v>
      </c>
      <c r="O155" t="s">
        <v>141</v>
      </c>
      <c r="P155" t="s">
        <v>141</v>
      </c>
      <c r="Q155">
        <v>1</v>
      </c>
      <c r="X155">
        <v>0.83</v>
      </c>
      <c r="Y155">
        <v>1572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0.83</v>
      </c>
      <c r="AH155">
        <v>2</v>
      </c>
      <c r="AI155">
        <v>145197621</v>
      </c>
      <c r="AJ155">
        <v>155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ROW(Source!A129)</f>
        <v>129</v>
      </c>
      <c r="B156">
        <v>145197622</v>
      </c>
      <c r="C156">
        <v>145197611</v>
      </c>
      <c r="D156">
        <v>140798954</v>
      </c>
      <c r="E156">
        <v>1</v>
      </c>
      <c r="F156">
        <v>1</v>
      </c>
      <c r="G156">
        <v>1</v>
      </c>
      <c r="H156">
        <v>3</v>
      </c>
      <c r="I156" t="s">
        <v>526</v>
      </c>
      <c r="J156" t="s">
        <v>527</v>
      </c>
      <c r="K156" t="s">
        <v>528</v>
      </c>
      <c r="L156">
        <v>1327</v>
      </c>
      <c r="N156">
        <v>1005</v>
      </c>
      <c r="O156" t="s">
        <v>53</v>
      </c>
      <c r="P156" t="s">
        <v>53</v>
      </c>
      <c r="Q156">
        <v>1</v>
      </c>
      <c r="X156">
        <v>3.38</v>
      </c>
      <c r="Y156">
        <v>7.46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3.38</v>
      </c>
      <c r="AH156">
        <v>2</v>
      </c>
      <c r="AI156">
        <v>145197622</v>
      </c>
      <c r="AJ156">
        <v>156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ROW(Source!A129)</f>
        <v>129</v>
      </c>
      <c r="B157">
        <v>145197623</v>
      </c>
      <c r="C157">
        <v>145197611</v>
      </c>
      <c r="D157">
        <v>140805027</v>
      </c>
      <c r="E157">
        <v>1</v>
      </c>
      <c r="F157">
        <v>1</v>
      </c>
      <c r="G157">
        <v>1</v>
      </c>
      <c r="H157">
        <v>3</v>
      </c>
      <c r="I157" t="s">
        <v>293</v>
      </c>
      <c r="J157" t="s">
        <v>295</v>
      </c>
      <c r="K157" t="s">
        <v>294</v>
      </c>
      <c r="L157">
        <v>1348</v>
      </c>
      <c r="N157">
        <v>1009</v>
      </c>
      <c r="O157" t="s">
        <v>21</v>
      </c>
      <c r="P157" t="s">
        <v>21</v>
      </c>
      <c r="Q157">
        <v>1000</v>
      </c>
      <c r="X157">
        <v>1.9599999999999999E-3</v>
      </c>
      <c r="Y157">
        <v>15255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1.9599999999999999E-3</v>
      </c>
      <c r="AH157">
        <v>2</v>
      </c>
      <c r="AI157">
        <v>145197623</v>
      </c>
      <c r="AJ157">
        <v>157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ROW(Source!A136)</f>
        <v>136</v>
      </c>
      <c r="B158">
        <v>145197586</v>
      </c>
      <c r="C158">
        <v>145197578</v>
      </c>
      <c r="D158">
        <v>140755435</v>
      </c>
      <c r="E158">
        <v>70</v>
      </c>
      <c r="F158">
        <v>1</v>
      </c>
      <c r="G158">
        <v>1</v>
      </c>
      <c r="H158">
        <v>1</v>
      </c>
      <c r="I158" t="s">
        <v>401</v>
      </c>
      <c r="J158" t="s">
        <v>3</v>
      </c>
      <c r="K158" t="s">
        <v>402</v>
      </c>
      <c r="L158">
        <v>1191</v>
      </c>
      <c r="N158">
        <v>1013</v>
      </c>
      <c r="O158" t="s">
        <v>394</v>
      </c>
      <c r="P158" t="s">
        <v>394</v>
      </c>
      <c r="Q158">
        <v>1</v>
      </c>
      <c r="X158">
        <v>4.03</v>
      </c>
      <c r="Y158">
        <v>0</v>
      </c>
      <c r="Z158">
        <v>0</v>
      </c>
      <c r="AA158">
        <v>0</v>
      </c>
      <c r="AB158">
        <v>8.74</v>
      </c>
      <c r="AC158">
        <v>0</v>
      </c>
      <c r="AD158">
        <v>1</v>
      </c>
      <c r="AE158">
        <v>1</v>
      </c>
      <c r="AF158" t="s">
        <v>43</v>
      </c>
      <c r="AG158">
        <v>4.6345000000000001</v>
      </c>
      <c r="AH158">
        <v>2</v>
      </c>
      <c r="AI158">
        <v>145197579</v>
      </c>
      <c r="AJ158">
        <v>158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ROW(Source!A136)</f>
        <v>136</v>
      </c>
      <c r="B159">
        <v>145197587</v>
      </c>
      <c r="C159">
        <v>145197578</v>
      </c>
      <c r="D159">
        <v>140755491</v>
      </c>
      <c r="E159">
        <v>70</v>
      </c>
      <c r="F159">
        <v>1</v>
      </c>
      <c r="G159">
        <v>1</v>
      </c>
      <c r="H159">
        <v>1</v>
      </c>
      <c r="I159" t="s">
        <v>403</v>
      </c>
      <c r="J159" t="s">
        <v>3</v>
      </c>
      <c r="K159" t="s">
        <v>404</v>
      </c>
      <c r="L159">
        <v>1191</v>
      </c>
      <c r="N159">
        <v>1013</v>
      </c>
      <c r="O159" t="s">
        <v>394</v>
      </c>
      <c r="P159" t="s">
        <v>394</v>
      </c>
      <c r="Q159">
        <v>1</v>
      </c>
      <c r="X159">
        <v>0.06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2</v>
      </c>
      <c r="AF159" t="s">
        <v>42</v>
      </c>
      <c r="AG159">
        <v>7.4999999999999997E-2</v>
      </c>
      <c r="AH159">
        <v>2</v>
      </c>
      <c r="AI159">
        <v>145197580</v>
      </c>
      <c r="AJ159">
        <v>159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ROW(Source!A136)</f>
        <v>136</v>
      </c>
      <c r="B160">
        <v>145197588</v>
      </c>
      <c r="C160">
        <v>145197578</v>
      </c>
      <c r="D160">
        <v>140922951</v>
      </c>
      <c r="E160">
        <v>1</v>
      </c>
      <c r="F160">
        <v>1</v>
      </c>
      <c r="G160">
        <v>1</v>
      </c>
      <c r="H160">
        <v>2</v>
      </c>
      <c r="I160" t="s">
        <v>408</v>
      </c>
      <c r="J160" t="s">
        <v>409</v>
      </c>
      <c r="K160" t="s">
        <v>410</v>
      </c>
      <c r="L160">
        <v>1367</v>
      </c>
      <c r="N160">
        <v>1011</v>
      </c>
      <c r="O160" t="s">
        <v>398</v>
      </c>
      <c r="P160" t="s">
        <v>398</v>
      </c>
      <c r="Q160">
        <v>1</v>
      </c>
      <c r="X160">
        <v>0.02</v>
      </c>
      <c r="Y160">
        <v>0</v>
      </c>
      <c r="Z160">
        <v>115.4</v>
      </c>
      <c r="AA160">
        <v>13.5</v>
      </c>
      <c r="AB160">
        <v>0</v>
      </c>
      <c r="AC160">
        <v>0</v>
      </c>
      <c r="AD160">
        <v>1</v>
      </c>
      <c r="AE160">
        <v>0</v>
      </c>
      <c r="AF160" t="s">
        <v>42</v>
      </c>
      <c r="AG160">
        <v>2.5000000000000001E-2</v>
      </c>
      <c r="AH160">
        <v>2</v>
      </c>
      <c r="AI160">
        <v>145197581</v>
      </c>
      <c r="AJ160">
        <v>160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ROW(Source!A136)</f>
        <v>136</v>
      </c>
      <c r="B161">
        <v>145197589</v>
      </c>
      <c r="C161">
        <v>145197578</v>
      </c>
      <c r="D161">
        <v>140923885</v>
      </c>
      <c r="E161">
        <v>1</v>
      </c>
      <c r="F161">
        <v>1</v>
      </c>
      <c r="G161">
        <v>1</v>
      </c>
      <c r="H161">
        <v>2</v>
      </c>
      <c r="I161" t="s">
        <v>417</v>
      </c>
      <c r="J161" t="s">
        <v>418</v>
      </c>
      <c r="K161" t="s">
        <v>419</v>
      </c>
      <c r="L161">
        <v>1367</v>
      </c>
      <c r="N161">
        <v>1011</v>
      </c>
      <c r="O161" t="s">
        <v>398</v>
      </c>
      <c r="P161" t="s">
        <v>398</v>
      </c>
      <c r="Q161">
        <v>1</v>
      </c>
      <c r="X161">
        <v>0.04</v>
      </c>
      <c r="Y161">
        <v>0</v>
      </c>
      <c r="Z161">
        <v>65.709999999999994</v>
      </c>
      <c r="AA161">
        <v>11.6</v>
      </c>
      <c r="AB161">
        <v>0</v>
      </c>
      <c r="AC161">
        <v>0</v>
      </c>
      <c r="AD161">
        <v>1</v>
      </c>
      <c r="AE161">
        <v>0</v>
      </c>
      <c r="AF161" t="s">
        <v>42</v>
      </c>
      <c r="AG161">
        <v>0.05</v>
      </c>
      <c r="AH161">
        <v>2</v>
      </c>
      <c r="AI161">
        <v>145197582</v>
      </c>
      <c r="AJ161">
        <v>161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ROW(Source!A136)</f>
        <v>136</v>
      </c>
      <c r="B162">
        <v>145197590</v>
      </c>
      <c r="C162">
        <v>145197578</v>
      </c>
      <c r="D162">
        <v>140924530</v>
      </c>
      <c r="E162">
        <v>1</v>
      </c>
      <c r="F162">
        <v>1</v>
      </c>
      <c r="G162">
        <v>1</v>
      </c>
      <c r="H162">
        <v>2</v>
      </c>
      <c r="I162" t="s">
        <v>505</v>
      </c>
      <c r="J162" t="s">
        <v>506</v>
      </c>
      <c r="K162" t="s">
        <v>507</v>
      </c>
      <c r="L162">
        <v>1367</v>
      </c>
      <c r="N162">
        <v>1011</v>
      </c>
      <c r="O162" t="s">
        <v>398</v>
      </c>
      <c r="P162" t="s">
        <v>398</v>
      </c>
      <c r="Q162">
        <v>1</v>
      </c>
      <c r="X162">
        <v>1.22</v>
      </c>
      <c r="Y162">
        <v>0</v>
      </c>
      <c r="Z162">
        <v>2.7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42</v>
      </c>
      <c r="AG162">
        <v>1.5249999999999999</v>
      </c>
      <c r="AH162">
        <v>2</v>
      </c>
      <c r="AI162">
        <v>145197583</v>
      </c>
      <c r="AJ162">
        <v>162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ROW(Source!A136)</f>
        <v>136</v>
      </c>
      <c r="B163">
        <v>145197591</v>
      </c>
      <c r="C163">
        <v>145197578</v>
      </c>
      <c r="D163">
        <v>140771314</v>
      </c>
      <c r="E163">
        <v>1</v>
      </c>
      <c r="F163">
        <v>1</v>
      </c>
      <c r="G163">
        <v>1</v>
      </c>
      <c r="H163">
        <v>3</v>
      </c>
      <c r="I163" t="s">
        <v>152</v>
      </c>
      <c r="J163" t="s">
        <v>154</v>
      </c>
      <c r="K163" t="s">
        <v>153</v>
      </c>
      <c r="L163">
        <v>1348</v>
      </c>
      <c r="N163">
        <v>1009</v>
      </c>
      <c r="O163" t="s">
        <v>21</v>
      </c>
      <c r="P163" t="s">
        <v>21</v>
      </c>
      <c r="Q163">
        <v>1000</v>
      </c>
      <c r="X163">
        <v>8.9999999999999993E-3</v>
      </c>
      <c r="Y163">
        <v>19100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8.9999999999999993E-3</v>
      </c>
      <c r="AH163">
        <v>2</v>
      </c>
      <c r="AI163">
        <v>145197584</v>
      </c>
      <c r="AJ163">
        <v>163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ROW(Source!A136)</f>
        <v>136</v>
      </c>
      <c r="B164">
        <v>145197592</v>
      </c>
      <c r="C164">
        <v>145197578</v>
      </c>
      <c r="D164">
        <v>140772680</v>
      </c>
      <c r="E164">
        <v>1</v>
      </c>
      <c r="F164">
        <v>1</v>
      </c>
      <c r="G164">
        <v>1</v>
      </c>
      <c r="H164">
        <v>3</v>
      </c>
      <c r="I164" t="s">
        <v>508</v>
      </c>
      <c r="J164" t="s">
        <v>509</v>
      </c>
      <c r="K164" t="s">
        <v>510</v>
      </c>
      <c r="L164">
        <v>1339</v>
      </c>
      <c r="N164">
        <v>1007</v>
      </c>
      <c r="O164" t="s">
        <v>141</v>
      </c>
      <c r="P164" t="s">
        <v>141</v>
      </c>
      <c r="Q164">
        <v>1</v>
      </c>
      <c r="X164">
        <v>0.16</v>
      </c>
      <c r="Y164">
        <v>2.44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0.16</v>
      </c>
      <c r="AH164">
        <v>2</v>
      </c>
      <c r="AI164">
        <v>145197585</v>
      </c>
      <c r="AJ164">
        <v>164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ROW(Source!A139)</f>
        <v>139</v>
      </c>
      <c r="B165">
        <v>145197665</v>
      </c>
      <c r="C165">
        <v>145197664</v>
      </c>
      <c r="D165">
        <v>140760027</v>
      </c>
      <c r="E165">
        <v>70</v>
      </c>
      <c r="F165">
        <v>1</v>
      </c>
      <c r="G165">
        <v>1</v>
      </c>
      <c r="H165">
        <v>1</v>
      </c>
      <c r="I165" t="s">
        <v>529</v>
      </c>
      <c r="J165" t="s">
        <v>3</v>
      </c>
      <c r="K165" t="s">
        <v>530</v>
      </c>
      <c r="L165">
        <v>1191</v>
      </c>
      <c r="N165">
        <v>1013</v>
      </c>
      <c r="O165" t="s">
        <v>394</v>
      </c>
      <c r="P165" t="s">
        <v>394</v>
      </c>
      <c r="Q165">
        <v>1</v>
      </c>
      <c r="X165">
        <v>20.91</v>
      </c>
      <c r="Y165">
        <v>0</v>
      </c>
      <c r="Z165">
        <v>0</v>
      </c>
      <c r="AA165">
        <v>0</v>
      </c>
      <c r="AB165">
        <v>9.51</v>
      </c>
      <c r="AC165">
        <v>0</v>
      </c>
      <c r="AD165">
        <v>1</v>
      </c>
      <c r="AE165">
        <v>1</v>
      </c>
      <c r="AF165" t="s">
        <v>3</v>
      </c>
      <c r="AG165">
        <v>20.91</v>
      </c>
      <c r="AH165">
        <v>2</v>
      </c>
      <c r="AI165">
        <v>145197665</v>
      </c>
      <c r="AJ165">
        <v>165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ROW(Source!A139)</f>
        <v>139</v>
      </c>
      <c r="B166">
        <v>145197666</v>
      </c>
      <c r="C166">
        <v>145197664</v>
      </c>
      <c r="D166">
        <v>140760225</v>
      </c>
      <c r="E166">
        <v>70</v>
      </c>
      <c r="F166">
        <v>1</v>
      </c>
      <c r="G166">
        <v>1</v>
      </c>
      <c r="H166">
        <v>1</v>
      </c>
      <c r="I166" t="s">
        <v>403</v>
      </c>
      <c r="J166" t="s">
        <v>3</v>
      </c>
      <c r="K166" t="s">
        <v>404</v>
      </c>
      <c r="L166">
        <v>1191</v>
      </c>
      <c r="N166">
        <v>1013</v>
      </c>
      <c r="O166" t="s">
        <v>394</v>
      </c>
      <c r="P166" t="s">
        <v>394</v>
      </c>
      <c r="Q166">
        <v>1</v>
      </c>
      <c r="X166">
        <v>0.35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0.35</v>
      </c>
      <c r="AH166">
        <v>2</v>
      </c>
      <c r="AI166">
        <v>145197666</v>
      </c>
      <c r="AJ166">
        <v>166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ROW(Source!A139)</f>
        <v>139</v>
      </c>
      <c r="B167">
        <v>145197667</v>
      </c>
      <c r="C167">
        <v>145197664</v>
      </c>
      <c r="D167">
        <v>140922951</v>
      </c>
      <c r="E167">
        <v>1</v>
      </c>
      <c r="F167">
        <v>1</v>
      </c>
      <c r="G167">
        <v>1</v>
      </c>
      <c r="H167">
        <v>2</v>
      </c>
      <c r="I167" t="s">
        <v>408</v>
      </c>
      <c r="J167" t="s">
        <v>409</v>
      </c>
      <c r="K167" t="s">
        <v>410</v>
      </c>
      <c r="L167">
        <v>1367</v>
      </c>
      <c r="N167">
        <v>1011</v>
      </c>
      <c r="O167" t="s">
        <v>398</v>
      </c>
      <c r="P167" t="s">
        <v>398</v>
      </c>
      <c r="Q167">
        <v>1</v>
      </c>
      <c r="X167">
        <v>0.02</v>
      </c>
      <c r="Y167">
        <v>0</v>
      </c>
      <c r="Z167">
        <v>115.4</v>
      </c>
      <c r="AA167">
        <v>13.5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0.02</v>
      </c>
      <c r="AH167">
        <v>2</v>
      </c>
      <c r="AI167">
        <v>145197667</v>
      </c>
      <c r="AJ167">
        <v>167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ROW(Source!A139)</f>
        <v>139</v>
      </c>
      <c r="B168">
        <v>145197668</v>
      </c>
      <c r="C168">
        <v>145197664</v>
      </c>
      <c r="D168">
        <v>140923145</v>
      </c>
      <c r="E168">
        <v>1</v>
      </c>
      <c r="F168">
        <v>1</v>
      </c>
      <c r="G168">
        <v>1</v>
      </c>
      <c r="H168">
        <v>2</v>
      </c>
      <c r="I168" t="s">
        <v>511</v>
      </c>
      <c r="J168" t="s">
        <v>512</v>
      </c>
      <c r="K168" t="s">
        <v>513</v>
      </c>
      <c r="L168">
        <v>1367</v>
      </c>
      <c r="N168">
        <v>1011</v>
      </c>
      <c r="O168" t="s">
        <v>398</v>
      </c>
      <c r="P168" t="s">
        <v>398</v>
      </c>
      <c r="Q168">
        <v>1</v>
      </c>
      <c r="X168">
        <v>0.3</v>
      </c>
      <c r="Y168">
        <v>0</v>
      </c>
      <c r="Z168">
        <v>31.26</v>
      </c>
      <c r="AA168">
        <v>13.5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0.3</v>
      </c>
      <c r="AH168">
        <v>2</v>
      </c>
      <c r="AI168">
        <v>145197668</v>
      </c>
      <c r="AJ168">
        <v>168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ROW(Source!A139)</f>
        <v>139</v>
      </c>
      <c r="B169">
        <v>145197669</v>
      </c>
      <c r="C169">
        <v>145197664</v>
      </c>
      <c r="D169">
        <v>140923229</v>
      </c>
      <c r="E169">
        <v>1</v>
      </c>
      <c r="F169">
        <v>1</v>
      </c>
      <c r="G169">
        <v>1</v>
      </c>
      <c r="H169">
        <v>2</v>
      </c>
      <c r="I169" t="s">
        <v>531</v>
      </c>
      <c r="J169" t="s">
        <v>532</v>
      </c>
      <c r="K169" t="s">
        <v>533</v>
      </c>
      <c r="L169">
        <v>1367</v>
      </c>
      <c r="N169">
        <v>1011</v>
      </c>
      <c r="O169" t="s">
        <v>398</v>
      </c>
      <c r="P169" t="s">
        <v>398</v>
      </c>
      <c r="Q169">
        <v>1</v>
      </c>
      <c r="X169">
        <v>0.75</v>
      </c>
      <c r="Y169">
        <v>0</v>
      </c>
      <c r="Z169">
        <v>0.5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0.75</v>
      </c>
      <c r="AH169">
        <v>2</v>
      </c>
      <c r="AI169">
        <v>145197669</v>
      </c>
      <c r="AJ169">
        <v>169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ROW(Source!A139)</f>
        <v>139</v>
      </c>
      <c r="B170">
        <v>145197670</v>
      </c>
      <c r="C170">
        <v>145197664</v>
      </c>
      <c r="D170">
        <v>140923885</v>
      </c>
      <c r="E170">
        <v>1</v>
      </c>
      <c r="F170">
        <v>1</v>
      </c>
      <c r="G170">
        <v>1</v>
      </c>
      <c r="H170">
        <v>2</v>
      </c>
      <c r="I170" t="s">
        <v>417</v>
      </c>
      <c r="J170" t="s">
        <v>418</v>
      </c>
      <c r="K170" t="s">
        <v>419</v>
      </c>
      <c r="L170">
        <v>1367</v>
      </c>
      <c r="N170">
        <v>1011</v>
      </c>
      <c r="O170" t="s">
        <v>398</v>
      </c>
      <c r="P170" t="s">
        <v>398</v>
      </c>
      <c r="Q170">
        <v>1</v>
      </c>
      <c r="X170">
        <v>0.03</v>
      </c>
      <c r="Y170">
        <v>0</v>
      </c>
      <c r="Z170">
        <v>65.709999999999994</v>
      </c>
      <c r="AA170">
        <v>11.6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0.03</v>
      </c>
      <c r="AH170">
        <v>2</v>
      </c>
      <c r="AI170">
        <v>145197670</v>
      </c>
      <c r="AJ170">
        <v>170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ROW(Source!A139)</f>
        <v>139</v>
      </c>
      <c r="B171">
        <v>145197671</v>
      </c>
      <c r="C171">
        <v>145197664</v>
      </c>
      <c r="D171">
        <v>140924121</v>
      </c>
      <c r="E171">
        <v>1</v>
      </c>
      <c r="F171">
        <v>1</v>
      </c>
      <c r="G171">
        <v>1</v>
      </c>
      <c r="H171">
        <v>2</v>
      </c>
      <c r="I171" t="s">
        <v>534</v>
      </c>
      <c r="J171" t="s">
        <v>535</v>
      </c>
      <c r="K171" t="s">
        <v>536</v>
      </c>
      <c r="L171">
        <v>1367</v>
      </c>
      <c r="N171">
        <v>1011</v>
      </c>
      <c r="O171" t="s">
        <v>398</v>
      </c>
      <c r="P171" t="s">
        <v>398</v>
      </c>
      <c r="Q171">
        <v>1</v>
      </c>
      <c r="X171">
        <v>5</v>
      </c>
      <c r="Y171">
        <v>0</v>
      </c>
      <c r="Z171">
        <v>48.81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5</v>
      </c>
      <c r="AH171">
        <v>2</v>
      </c>
      <c r="AI171">
        <v>145197671</v>
      </c>
      <c r="AJ171">
        <v>171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ROW(Source!A139)</f>
        <v>139</v>
      </c>
      <c r="B172">
        <v>145197672</v>
      </c>
      <c r="C172">
        <v>145197664</v>
      </c>
      <c r="D172">
        <v>140924577</v>
      </c>
      <c r="E172">
        <v>1</v>
      </c>
      <c r="F172">
        <v>1</v>
      </c>
      <c r="G172">
        <v>1</v>
      </c>
      <c r="H172">
        <v>2</v>
      </c>
      <c r="I172" t="s">
        <v>537</v>
      </c>
      <c r="J172" t="s">
        <v>538</v>
      </c>
      <c r="K172" t="s">
        <v>539</v>
      </c>
      <c r="L172">
        <v>1367</v>
      </c>
      <c r="N172">
        <v>1011</v>
      </c>
      <c r="O172" t="s">
        <v>398</v>
      </c>
      <c r="P172" t="s">
        <v>398</v>
      </c>
      <c r="Q172">
        <v>1</v>
      </c>
      <c r="X172">
        <v>10</v>
      </c>
      <c r="Y172">
        <v>0</v>
      </c>
      <c r="Z172">
        <v>1.53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10</v>
      </c>
      <c r="AH172">
        <v>2</v>
      </c>
      <c r="AI172">
        <v>145197672</v>
      </c>
      <c r="AJ172">
        <v>172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ROW(Source!A139)</f>
        <v>139</v>
      </c>
      <c r="B173">
        <v>145197673</v>
      </c>
      <c r="C173">
        <v>145197664</v>
      </c>
      <c r="D173">
        <v>140772680</v>
      </c>
      <c r="E173">
        <v>1</v>
      </c>
      <c r="F173">
        <v>1</v>
      </c>
      <c r="G173">
        <v>1</v>
      </c>
      <c r="H173">
        <v>3</v>
      </c>
      <c r="I173" t="s">
        <v>508</v>
      </c>
      <c r="J173" t="s">
        <v>509</v>
      </c>
      <c r="K173" t="s">
        <v>510</v>
      </c>
      <c r="L173">
        <v>1339</v>
      </c>
      <c r="N173">
        <v>1007</v>
      </c>
      <c r="O173" t="s">
        <v>141</v>
      </c>
      <c r="P173" t="s">
        <v>141</v>
      </c>
      <c r="Q173">
        <v>1</v>
      </c>
      <c r="X173">
        <v>7.0000000000000007E-2</v>
      </c>
      <c r="Y173">
        <v>2.44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7.0000000000000007E-2</v>
      </c>
      <c r="AH173">
        <v>2</v>
      </c>
      <c r="AI173">
        <v>145197673</v>
      </c>
      <c r="AJ173">
        <v>173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ROW(Source!A139)</f>
        <v>139</v>
      </c>
      <c r="B174">
        <v>145197674</v>
      </c>
      <c r="C174">
        <v>145197664</v>
      </c>
      <c r="D174">
        <v>140776236</v>
      </c>
      <c r="E174">
        <v>1</v>
      </c>
      <c r="F174">
        <v>1</v>
      </c>
      <c r="G174">
        <v>1</v>
      </c>
      <c r="H174">
        <v>3</v>
      </c>
      <c r="I174" t="s">
        <v>540</v>
      </c>
      <c r="J174" t="s">
        <v>541</v>
      </c>
      <c r="K174" t="s">
        <v>542</v>
      </c>
      <c r="L174">
        <v>1327</v>
      </c>
      <c r="N174">
        <v>1005</v>
      </c>
      <c r="O174" t="s">
        <v>53</v>
      </c>
      <c r="P174" t="s">
        <v>53</v>
      </c>
      <c r="Q174">
        <v>1</v>
      </c>
      <c r="X174">
        <v>2.06</v>
      </c>
      <c r="Y174">
        <v>10.199999999999999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2.06</v>
      </c>
      <c r="AH174">
        <v>2</v>
      </c>
      <c r="AI174">
        <v>145197674</v>
      </c>
      <c r="AJ174">
        <v>174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ROW(Source!A139)</f>
        <v>139</v>
      </c>
      <c r="B175">
        <v>145197675</v>
      </c>
      <c r="C175">
        <v>145197664</v>
      </c>
      <c r="D175">
        <v>140761051</v>
      </c>
      <c r="E175">
        <v>70</v>
      </c>
      <c r="F175">
        <v>1</v>
      </c>
      <c r="G175">
        <v>1</v>
      </c>
      <c r="H175">
        <v>3</v>
      </c>
      <c r="I175" t="s">
        <v>543</v>
      </c>
      <c r="J175" t="s">
        <v>3</v>
      </c>
      <c r="K175" t="s">
        <v>544</v>
      </c>
      <c r="L175">
        <v>1339</v>
      </c>
      <c r="N175">
        <v>1007</v>
      </c>
      <c r="O175" t="s">
        <v>141</v>
      </c>
      <c r="P175" t="s">
        <v>141</v>
      </c>
      <c r="Q175">
        <v>1</v>
      </c>
      <c r="X175">
        <v>1.02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3</v>
      </c>
      <c r="AG175">
        <v>1.02</v>
      </c>
      <c r="AH175">
        <v>2</v>
      </c>
      <c r="AI175">
        <v>145197675</v>
      </c>
      <c r="AJ175">
        <v>175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ROW(Source!A139)</f>
        <v>139</v>
      </c>
      <c r="B176">
        <v>145197676</v>
      </c>
      <c r="C176">
        <v>145197664</v>
      </c>
      <c r="D176">
        <v>140792339</v>
      </c>
      <c r="E176">
        <v>1</v>
      </c>
      <c r="F176">
        <v>1</v>
      </c>
      <c r="G176">
        <v>1</v>
      </c>
      <c r="H176">
        <v>3</v>
      </c>
      <c r="I176" t="s">
        <v>451</v>
      </c>
      <c r="J176" t="s">
        <v>452</v>
      </c>
      <c r="K176" t="s">
        <v>453</v>
      </c>
      <c r="L176">
        <v>1348</v>
      </c>
      <c r="N176">
        <v>1009</v>
      </c>
      <c r="O176" t="s">
        <v>21</v>
      </c>
      <c r="P176" t="s">
        <v>21</v>
      </c>
      <c r="Q176">
        <v>1000</v>
      </c>
      <c r="X176">
        <v>5.6999999999999998E-4</v>
      </c>
      <c r="Y176">
        <v>4455.2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5.6999999999999998E-4</v>
      </c>
      <c r="AH176">
        <v>2</v>
      </c>
      <c r="AI176">
        <v>145197676</v>
      </c>
      <c r="AJ176">
        <v>176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ROW(Source!A139)</f>
        <v>139</v>
      </c>
      <c r="B177">
        <v>145197677</v>
      </c>
      <c r="C177">
        <v>145197664</v>
      </c>
      <c r="D177">
        <v>140762427</v>
      </c>
      <c r="E177">
        <v>70</v>
      </c>
      <c r="F177">
        <v>1</v>
      </c>
      <c r="G177">
        <v>1</v>
      </c>
      <c r="H177">
        <v>3</v>
      </c>
      <c r="I177" t="s">
        <v>545</v>
      </c>
      <c r="J177" t="s">
        <v>3</v>
      </c>
      <c r="K177" t="s">
        <v>546</v>
      </c>
      <c r="L177">
        <v>1348</v>
      </c>
      <c r="N177">
        <v>1009</v>
      </c>
      <c r="O177" t="s">
        <v>21</v>
      </c>
      <c r="P177" t="s">
        <v>21</v>
      </c>
      <c r="Q177">
        <v>1000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1</v>
      </c>
      <c r="AD177">
        <v>0</v>
      </c>
      <c r="AE177">
        <v>0</v>
      </c>
      <c r="AF177" t="s">
        <v>3</v>
      </c>
      <c r="AG177">
        <v>0</v>
      </c>
      <c r="AH177">
        <v>2</v>
      </c>
      <c r="AI177">
        <v>145197677</v>
      </c>
      <c r="AJ177">
        <v>177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12 гр. по ФЕР</vt:lpstr>
      <vt:lpstr>Source</vt:lpstr>
      <vt:lpstr>SourceObSm</vt:lpstr>
      <vt:lpstr>SmtRes</vt:lpstr>
      <vt:lpstr>EtalonRes</vt:lpstr>
      <vt:lpstr>SrcKA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Ковалев Денис Алексеевич</cp:lastModifiedBy>
  <dcterms:created xsi:type="dcterms:W3CDTF">2024-06-25T10:45:12Z</dcterms:created>
  <dcterms:modified xsi:type="dcterms:W3CDTF">2024-07-30T11:15:55Z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