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I:\OKS\Ковалев Д.А\1. Операционный бюджет\2024г\1. Экспертиза зданий с ОПО\6. Усиление плит покрытия СО\ЭО\"/>
    </mc:Choice>
  </mc:AlternateContent>
  <xr:revisionPtr revIDLastSave="0" documentId="13_ncr:1_{ADB1DA99-CACC-4541-B3EF-E23D2984A3B3}" xr6:coauthVersionLast="36" xr6:coauthVersionMax="36" xr10:uidLastSave="{00000000-0000-0000-0000-000000000000}"/>
  <bookViews>
    <workbookView xWindow="0" yWindow="0" windowWidth="21570" windowHeight="10215" xr2:uid="{00000000-000D-0000-FFFF-FFFF00000000}"/>
  </bookViews>
  <sheets>
    <sheet name="Смета 12 гр. по ФЕР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12 гр. по ФЕР'!$43:$43</definedName>
    <definedName name="_xlnm.Print_Area" localSheetId="0">'Смета 12 гр. по ФЕР'!$A$1:$L$158</definedName>
  </definedNames>
  <calcPr calcId="191029" iterate="1"/>
</workbook>
</file>

<file path=xl/calcChain.xml><?xml version="1.0" encoding="utf-8"?>
<calcChain xmlns="http://schemas.openxmlformats.org/spreadsheetml/2006/main">
  <c r="AD22" i="6" l="1"/>
  <c r="I156" i="6"/>
  <c r="I153" i="6"/>
  <c r="D156" i="6"/>
  <c r="D153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Z122" i="6"/>
  <c r="Y122" i="6"/>
  <c r="X122" i="6"/>
  <c r="G121" i="6"/>
  <c r="E121" i="6"/>
  <c r="J120" i="6"/>
  <c r="F120" i="6"/>
  <c r="E120" i="6"/>
  <c r="J119" i="6"/>
  <c r="E119" i="6"/>
  <c r="J118" i="6"/>
  <c r="G118" i="6"/>
  <c r="F118" i="6"/>
  <c r="F116" i="6"/>
  <c r="D116" i="6"/>
  <c r="I116" i="6"/>
  <c r="C116" i="6"/>
  <c r="B116" i="6"/>
  <c r="Z115" i="6"/>
  <c r="Y115" i="6"/>
  <c r="X115" i="6"/>
  <c r="G114" i="6"/>
  <c r="E114" i="6"/>
  <c r="J113" i="6"/>
  <c r="F113" i="6"/>
  <c r="E113" i="6"/>
  <c r="J112" i="6"/>
  <c r="E112" i="6"/>
  <c r="J111" i="6"/>
  <c r="G111" i="6"/>
  <c r="F111" i="6"/>
  <c r="J110" i="6"/>
  <c r="G110" i="6"/>
  <c r="F110" i="6"/>
  <c r="J109" i="6"/>
  <c r="G109" i="6"/>
  <c r="F109" i="6"/>
  <c r="F107" i="6"/>
  <c r="D107" i="6"/>
  <c r="I107" i="6"/>
  <c r="C107" i="6"/>
  <c r="B107" i="6"/>
  <c r="Z106" i="6"/>
  <c r="Y106" i="6"/>
  <c r="X106" i="6"/>
  <c r="G105" i="6"/>
  <c r="E105" i="6"/>
  <c r="J104" i="6"/>
  <c r="F104" i="6"/>
  <c r="E104" i="6"/>
  <c r="J103" i="6"/>
  <c r="E103" i="6"/>
  <c r="J102" i="6"/>
  <c r="G102" i="6"/>
  <c r="F102" i="6"/>
  <c r="J101" i="6"/>
  <c r="G101" i="6"/>
  <c r="F101" i="6"/>
  <c r="J100" i="6"/>
  <c r="G100" i="6"/>
  <c r="F100" i="6"/>
  <c r="J99" i="6"/>
  <c r="G99" i="6"/>
  <c r="F99" i="6"/>
  <c r="F97" i="6"/>
  <c r="D97" i="6"/>
  <c r="I97" i="6"/>
  <c r="C97" i="6"/>
  <c r="B97" i="6"/>
  <c r="Z96" i="6"/>
  <c r="Y96" i="6"/>
  <c r="X96" i="6"/>
  <c r="G95" i="6"/>
  <c r="E95" i="6"/>
  <c r="J94" i="6"/>
  <c r="F94" i="6"/>
  <c r="E94" i="6"/>
  <c r="J93" i="6"/>
  <c r="E93" i="6"/>
  <c r="J92" i="6"/>
  <c r="G92" i="6"/>
  <c r="F92" i="6"/>
  <c r="J91" i="6"/>
  <c r="G91" i="6"/>
  <c r="F91" i="6"/>
  <c r="J90" i="6"/>
  <c r="G90" i="6"/>
  <c r="F90" i="6"/>
  <c r="J89" i="6"/>
  <c r="G89" i="6"/>
  <c r="F89" i="6"/>
  <c r="F87" i="6"/>
  <c r="D87" i="6"/>
  <c r="I87" i="6"/>
  <c r="C87" i="6"/>
  <c r="B87" i="6"/>
  <c r="Z86" i="6"/>
  <c r="Y86" i="6"/>
  <c r="W86" i="6"/>
  <c r="G85" i="6"/>
  <c r="E85" i="6"/>
  <c r="J84" i="6"/>
  <c r="E84" i="6"/>
  <c r="J83" i="6"/>
  <c r="E83" i="6"/>
  <c r="J82" i="6"/>
  <c r="G82" i="6"/>
  <c r="F82" i="6"/>
  <c r="J81" i="6"/>
  <c r="G81" i="6"/>
  <c r="F81" i="6"/>
  <c r="J80" i="6"/>
  <c r="G80" i="6"/>
  <c r="F80" i="6"/>
  <c r="J79" i="6"/>
  <c r="G79" i="6"/>
  <c r="F79" i="6"/>
  <c r="F78" i="6"/>
  <c r="D78" i="6"/>
  <c r="I78" i="6"/>
  <c r="C78" i="6"/>
  <c r="B78" i="6"/>
  <c r="Z77" i="6"/>
  <c r="Y77" i="6"/>
  <c r="X77" i="6"/>
  <c r="G76" i="6"/>
  <c r="E76" i="6"/>
  <c r="J75" i="6"/>
  <c r="F75" i="6"/>
  <c r="E75" i="6"/>
  <c r="J74" i="6"/>
  <c r="E74" i="6"/>
  <c r="J73" i="6"/>
  <c r="G73" i="6"/>
  <c r="F73" i="6"/>
  <c r="J72" i="6"/>
  <c r="G72" i="6"/>
  <c r="F72" i="6"/>
  <c r="J71" i="6"/>
  <c r="G71" i="6"/>
  <c r="F71" i="6"/>
  <c r="J70" i="6"/>
  <c r="G70" i="6"/>
  <c r="F70" i="6"/>
  <c r="F69" i="6"/>
  <c r="E69" i="6"/>
  <c r="D69" i="6"/>
  <c r="I69" i="6"/>
  <c r="C69" i="6"/>
  <c r="B69" i="6"/>
  <c r="P68" i="6"/>
  <c r="O68" i="6"/>
  <c r="J68" i="6"/>
  <c r="G68" i="6"/>
  <c r="Z68" i="6"/>
  <c r="Y68" i="6"/>
  <c r="X68" i="6"/>
  <c r="W68" i="6"/>
  <c r="F67" i="6"/>
  <c r="D67" i="6"/>
  <c r="I67" i="6"/>
  <c r="C67" i="6"/>
  <c r="B67" i="6"/>
  <c r="Z66" i="6"/>
  <c r="Y66" i="6"/>
  <c r="W66" i="6"/>
  <c r="G65" i="6"/>
  <c r="E65" i="6"/>
  <c r="J64" i="6"/>
  <c r="E64" i="6"/>
  <c r="J63" i="6"/>
  <c r="E63" i="6"/>
  <c r="J62" i="6"/>
  <c r="G62" i="6"/>
  <c r="F62" i="6"/>
  <c r="J61" i="6"/>
  <c r="G61" i="6"/>
  <c r="F61" i="6"/>
  <c r="J60" i="6"/>
  <c r="G60" i="6"/>
  <c r="F60" i="6"/>
  <c r="J59" i="6"/>
  <c r="G59" i="6"/>
  <c r="F59" i="6"/>
  <c r="F58" i="6"/>
  <c r="E58" i="6"/>
  <c r="D58" i="6"/>
  <c r="I58" i="6"/>
  <c r="C58" i="6"/>
  <c r="B58" i="6"/>
  <c r="A57" i="6"/>
  <c r="Z51" i="6"/>
  <c r="Y51" i="6"/>
  <c r="X51" i="6"/>
  <c r="J50" i="6"/>
  <c r="G50" i="6"/>
  <c r="F50" i="6"/>
  <c r="E50" i="6"/>
  <c r="D50" i="6"/>
  <c r="I50" i="6"/>
  <c r="B50" i="6"/>
  <c r="Z49" i="6"/>
  <c r="Y49" i="6"/>
  <c r="X49" i="6"/>
  <c r="J48" i="6"/>
  <c r="G48" i="6"/>
  <c r="F48" i="6"/>
  <c r="E48" i="6"/>
  <c r="D48" i="6"/>
  <c r="I48" i="6"/>
  <c r="B48" i="6"/>
  <c r="A47" i="6"/>
  <c r="A45" i="6"/>
  <c r="A25" i="6"/>
  <c r="B22" i="6"/>
  <c r="B18" i="6"/>
  <c r="H9" i="6"/>
  <c r="B9" i="6"/>
  <c r="A1" i="6"/>
  <c r="G32" i="6" l="1"/>
  <c r="G33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1" i="3"/>
  <c r="Y1" i="3"/>
  <c r="CX1" i="3"/>
  <c r="DI1" i="3" s="1"/>
  <c r="DJ1" i="3" s="1"/>
  <c r="CY1" i="3"/>
  <c r="CZ1" i="3"/>
  <c r="DA1" i="3"/>
  <c r="DB1" i="3"/>
  <c r="DC1" i="3"/>
  <c r="DH1" i="3"/>
  <c r="A2" i="3"/>
  <c r="Y2" i="3"/>
  <c r="CX2" i="3" s="1"/>
  <c r="DG2" i="3" s="1"/>
  <c r="CY2" i="3"/>
  <c r="CZ2" i="3"/>
  <c r="DB2" i="3" s="1"/>
  <c r="DA2" i="3"/>
  <c r="DC2" i="3"/>
  <c r="A3" i="3"/>
  <c r="Y3" i="3"/>
  <c r="CX3" i="3"/>
  <c r="DG3" i="3" s="1"/>
  <c r="DJ3" i="3" s="1"/>
  <c r="CY3" i="3"/>
  <c r="CZ3" i="3"/>
  <c r="DB3" i="3" s="1"/>
  <c r="DA3" i="3"/>
  <c r="DC3" i="3"/>
  <c r="A4" i="3"/>
  <c r="Y4" i="3"/>
  <c r="CX4" i="3" s="1"/>
  <c r="CY4" i="3"/>
  <c r="CZ4" i="3"/>
  <c r="DB4" i="3" s="1"/>
  <c r="DA4" i="3"/>
  <c r="DC4" i="3"/>
  <c r="A5" i="3"/>
  <c r="Y5" i="3"/>
  <c r="CX5" i="3" s="1"/>
  <c r="DH5" i="3" s="1"/>
  <c r="CY5" i="3"/>
  <c r="CZ5" i="3"/>
  <c r="DB5" i="3" s="1"/>
  <c r="DA5" i="3"/>
  <c r="DC5" i="3"/>
  <c r="A6" i="3"/>
  <c r="Y6" i="3"/>
  <c r="CX6" i="3" s="1"/>
  <c r="DF6" i="3" s="1"/>
  <c r="CY6" i="3"/>
  <c r="CZ6" i="3"/>
  <c r="DB6" i="3" s="1"/>
  <c r="DA6" i="3"/>
  <c r="DC6" i="3"/>
  <c r="A7" i="3"/>
  <c r="Y7" i="3"/>
  <c r="CX7" i="3"/>
  <c r="DG7" i="3" s="1"/>
  <c r="DJ7" i="3" s="1"/>
  <c r="CY7" i="3"/>
  <c r="CZ7" i="3"/>
  <c r="DB7" i="3" s="1"/>
  <c r="DA7" i="3"/>
  <c r="DC7" i="3"/>
  <c r="DI7" i="3"/>
  <c r="A8" i="3"/>
  <c r="Y8" i="3"/>
  <c r="CX8" i="3" s="1"/>
  <c r="CY8" i="3"/>
  <c r="CZ8" i="3"/>
  <c r="DA8" i="3"/>
  <c r="DB8" i="3"/>
  <c r="DC8" i="3"/>
  <c r="A9" i="3"/>
  <c r="Y9" i="3"/>
  <c r="CX9" i="3" s="1"/>
  <c r="CY9" i="3"/>
  <c r="CZ9" i="3"/>
  <c r="DB9" i="3" s="1"/>
  <c r="DA9" i="3"/>
  <c r="DC9" i="3"/>
  <c r="A10" i="3"/>
  <c r="Y10" i="3"/>
  <c r="CX10" i="3" s="1"/>
  <c r="DG10" i="3" s="1"/>
  <c r="CY10" i="3"/>
  <c r="CZ10" i="3"/>
  <c r="DB10" i="3" s="1"/>
  <c r="DA10" i="3"/>
  <c r="DC10" i="3"/>
  <c r="DI10" i="3"/>
  <c r="A11" i="3"/>
  <c r="Y11" i="3"/>
  <c r="CX11" i="3" s="1"/>
  <c r="CY11" i="3"/>
  <c r="CZ11" i="3"/>
  <c r="DB11" i="3" s="1"/>
  <c r="DA11" i="3"/>
  <c r="DC11" i="3"/>
  <c r="A12" i="3"/>
  <c r="Y12" i="3"/>
  <c r="CX12" i="3" s="1"/>
  <c r="CY12" i="3"/>
  <c r="CZ12" i="3"/>
  <c r="DB12" i="3" s="1"/>
  <c r="DA12" i="3"/>
  <c r="DC12" i="3"/>
  <c r="A13" i="3"/>
  <c r="Y13" i="3"/>
  <c r="CX13" i="3" s="1"/>
  <c r="CY13" i="3"/>
  <c r="CZ13" i="3"/>
  <c r="DB13" i="3" s="1"/>
  <c r="DA13" i="3"/>
  <c r="DC13" i="3"/>
  <c r="A14" i="3"/>
  <c r="Y14" i="3"/>
  <c r="CX14" i="3" s="1"/>
  <c r="DG14" i="3" s="1"/>
  <c r="CY14" i="3"/>
  <c r="CZ14" i="3"/>
  <c r="DB14" i="3" s="1"/>
  <c r="DA14" i="3"/>
  <c r="DC14" i="3"/>
  <c r="DF14" i="3"/>
  <c r="A15" i="3"/>
  <c r="Y15" i="3"/>
  <c r="CX15" i="3"/>
  <c r="DG15" i="3" s="1"/>
  <c r="CY15" i="3"/>
  <c r="CZ15" i="3"/>
  <c r="DB15" i="3" s="1"/>
  <c r="DA15" i="3"/>
  <c r="DC15" i="3"/>
  <c r="DJ15" i="3"/>
  <c r="A16" i="3"/>
  <c r="Y16" i="3"/>
  <c r="CX16" i="3" s="1"/>
  <c r="CY16" i="3"/>
  <c r="CZ16" i="3"/>
  <c r="DA16" i="3"/>
  <c r="DB16" i="3"/>
  <c r="DC16" i="3"/>
  <c r="A17" i="3"/>
  <c r="Y17" i="3"/>
  <c r="CX17" i="3" s="1"/>
  <c r="CY17" i="3"/>
  <c r="CZ17" i="3"/>
  <c r="DB17" i="3" s="1"/>
  <c r="DA17" i="3"/>
  <c r="DC17" i="3"/>
  <c r="A18" i="3"/>
  <c r="Y18" i="3"/>
  <c r="CX18" i="3" s="1"/>
  <c r="CY18" i="3"/>
  <c r="CZ18" i="3"/>
  <c r="DB18" i="3" s="1"/>
  <c r="DA18" i="3"/>
  <c r="DC18" i="3"/>
  <c r="A19" i="3"/>
  <c r="Y19" i="3"/>
  <c r="CX19" i="3" s="1"/>
  <c r="CY19" i="3"/>
  <c r="CZ19" i="3"/>
  <c r="DA19" i="3"/>
  <c r="DB19" i="3"/>
  <c r="DC19" i="3"/>
  <c r="A20" i="3"/>
  <c r="Y20" i="3"/>
  <c r="CX20" i="3"/>
  <c r="DF20" i="3" s="1"/>
  <c r="CY20" i="3"/>
  <c r="CZ20" i="3"/>
  <c r="DB20" i="3" s="1"/>
  <c r="DA20" i="3"/>
  <c r="DC20" i="3"/>
  <c r="A21" i="3"/>
  <c r="Y21" i="3"/>
  <c r="CX21" i="3" s="1"/>
  <c r="DH21" i="3" s="1"/>
  <c r="CY21" i="3"/>
  <c r="CZ21" i="3"/>
  <c r="DB21" i="3" s="1"/>
  <c r="DA21" i="3"/>
  <c r="DC21" i="3"/>
  <c r="A22" i="3"/>
  <c r="Y22" i="3"/>
  <c r="CX22" i="3" s="1"/>
  <c r="CY22" i="3"/>
  <c r="CZ22" i="3"/>
  <c r="DA22" i="3"/>
  <c r="DB22" i="3"/>
  <c r="DC22" i="3"/>
  <c r="A23" i="3"/>
  <c r="Y23" i="3"/>
  <c r="CX23" i="3" s="1"/>
  <c r="CY23" i="3"/>
  <c r="CZ23" i="3"/>
  <c r="DB23" i="3" s="1"/>
  <c r="DA23" i="3"/>
  <c r="DC23" i="3"/>
  <c r="A24" i="3"/>
  <c r="Y24" i="3"/>
  <c r="CX24" i="3" s="1"/>
  <c r="CY24" i="3"/>
  <c r="CZ24" i="3"/>
  <c r="DA24" i="3"/>
  <c r="DB24" i="3"/>
  <c r="DC24" i="3"/>
  <c r="A25" i="3"/>
  <c r="Y25" i="3"/>
  <c r="CX25" i="3" s="1"/>
  <c r="CY25" i="3"/>
  <c r="CZ25" i="3"/>
  <c r="DB25" i="3" s="1"/>
  <c r="DA25" i="3"/>
  <c r="DC25" i="3"/>
  <c r="A26" i="3"/>
  <c r="Y26" i="3"/>
  <c r="CX26" i="3" s="1"/>
  <c r="CY26" i="3"/>
  <c r="CZ26" i="3"/>
  <c r="DB26" i="3" s="1"/>
  <c r="DA26" i="3"/>
  <c r="DC26" i="3"/>
  <c r="DI26" i="3"/>
  <c r="A27" i="3"/>
  <c r="Y27" i="3"/>
  <c r="CX27" i="3" s="1"/>
  <c r="CY27" i="3"/>
  <c r="CZ27" i="3"/>
  <c r="DB27" i="3" s="1"/>
  <c r="DA27" i="3"/>
  <c r="DC27" i="3"/>
  <c r="A28" i="3"/>
  <c r="Y28" i="3"/>
  <c r="CX28" i="3" s="1"/>
  <c r="CY28" i="3"/>
  <c r="CZ28" i="3"/>
  <c r="DB28" i="3" s="1"/>
  <c r="DA28" i="3"/>
  <c r="DC28" i="3"/>
  <c r="A29" i="3"/>
  <c r="Y29" i="3"/>
  <c r="CX29" i="3" s="1"/>
  <c r="CY29" i="3"/>
  <c r="CZ29" i="3"/>
  <c r="DB29" i="3" s="1"/>
  <c r="DA29" i="3"/>
  <c r="DC29" i="3"/>
  <c r="A30" i="3"/>
  <c r="Y30" i="3"/>
  <c r="CX30" i="3" s="1"/>
  <c r="CY30" i="3"/>
  <c r="CZ30" i="3"/>
  <c r="DB30" i="3" s="1"/>
  <c r="DA30" i="3"/>
  <c r="DC30" i="3"/>
  <c r="DF30" i="3"/>
  <c r="DJ30" i="3" s="1"/>
  <c r="DG30" i="3"/>
  <c r="A31" i="3"/>
  <c r="Y31" i="3"/>
  <c r="CX31" i="3" s="1"/>
  <c r="CY31" i="3"/>
  <c r="CZ31" i="3"/>
  <c r="DB31" i="3" s="1"/>
  <c r="DA31" i="3"/>
  <c r="DC31" i="3"/>
  <c r="A32" i="3"/>
  <c r="Y32" i="3"/>
  <c r="CX32" i="3" s="1"/>
  <c r="CY32" i="3"/>
  <c r="CZ32" i="3"/>
  <c r="DA32" i="3"/>
  <c r="DB32" i="3"/>
  <c r="DC32" i="3"/>
  <c r="A33" i="3"/>
  <c r="Y33" i="3"/>
  <c r="CX33" i="3" s="1"/>
  <c r="CY33" i="3"/>
  <c r="CZ33" i="3"/>
  <c r="DB33" i="3" s="1"/>
  <c r="DA33" i="3"/>
  <c r="DC33" i="3"/>
  <c r="A34" i="3"/>
  <c r="Y34" i="3"/>
  <c r="CX34" i="3" s="1"/>
  <c r="CY34" i="3"/>
  <c r="CZ34" i="3"/>
  <c r="DB34" i="3" s="1"/>
  <c r="DA34" i="3"/>
  <c r="DC34" i="3"/>
  <c r="A35" i="3"/>
  <c r="Y35" i="3"/>
  <c r="CY35" i="3"/>
  <c r="CZ35" i="3"/>
  <c r="DB35" i="3" s="1"/>
  <c r="DA35" i="3"/>
  <c r="DC35" i="3"/>
  <c r="A36" i="3"/>
  <c r="Y36" i="3"/>
  <c r="CY36" i="3"/>
  <c r="CZ36" i="3"/>
  <c r="DB36" i="3" s="1"/>
  <c r="DA36" i="3"/>
  <c r="DC36" i="3"/>
  <c r="A37" i="3"/>
  <c r="Y37" i="3"/>
  <c r="CY37" i="3"/>
  <c r="CZ37" i="3"/>
  <c r="DB37" i="3" s="1"/>
  <c r="DA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B42" i="3" s="1"/>
  <c r="DA42" i="3"/>
  <c r="DC42" i="3"/>
  <c r="A43" i="3"/>
  <c r="Y43" i="3"/>
  <c r="CY43" i="3"/>
  <c r="CZ43" i="3"/>
  <c r="DB43" i="3" s="1"/>
  <c r="DA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B46" i="3" s="1"/>
  <c r="DA46" i="3"/>
  <c r="DC46" i="3"/>
  <c r="A47" i="3"/>
  <c r="Y47" i="3"/>
  <c r="CY47" i="3"/>
  <c r="CZ47" i="3"/>
  <c r="DB47" i="3" s="1"/>
  <c r="DA47" i="3"/>
  <c r="DC47" i="3"/>
  <c r="A48" i="3"/>
  <c r="Y48" i="3"/>
  <c r="CY48" i="3"/>
  <c r="CZ48" i="3"/>
  <c r="DA48" i="3"/>
  <c r="DB48" i="3"/>
  <c r="DC48" i="3"/>
  <c r="A49" i="3"/>
  <c r="Y49" i="3"/>
  <c r="CY49" i="3"/>
  <c r="CZ49" i="3"/>
  <c r="DA49" i="3"/>
  <c r="DB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B51" i="3" s="1"/>
  <c r="DA51" i="3"/>
  <c r="DC51" i="3"/>
  <c r="A52" i="3"/>
  <c r="Y52" i="3"/>
  <c r="CY52" i="3"/>
  <c r="CZ52" i="3"/>
  <c r="DB52" i="3" s="1"/>
  <c r="DA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B55" i="3" s="1"/>
  <c r="DA55" i="3"/>
  <c r="DC55" i="3"/>
  <c r="A56" i="3"/>
  <c r="Y56" i="3"/>
  <c r="CY56" i="3"/>
  <c r="CZ56" i="3"/>
  <c r="DB56" i="3" s="1"/>
  <c r="DA56" i="3"/>
  <c r="DC56" i="3"/>
  <c r="A57" i="3"/>
  <c r="Y57" i="3"/>
  <c r="CY57" i="3"/>
  <c r="CZ57" i="3"/>
  <c r="DB57" i="3" s="1"/>
  <c r="DA57" i="3"/>
  <c r="DC57" i="3"/>
  <c r="A58" i="3"/>
  <c r="Y58" i="3"/>
  <c r="CY58" i="3"/>
  <c r="CZ58" i="3"/>
  <c r="DB58" i="3" s="1"/>
  <c r="DA58" i="3"/>
  <c r="DC58" i="3"/>
  <c r="A59" i="3"/>
  <c r="Y59" i="3"/>
  <c r="CY59" i="3"/>
  <c r="CZ59" i="3"/>
  <c r="DB59" i="3" s="1"/>
  <c r="DA59" i="3"/>
  <c r="DC59" i="3"/>
  <c r="A60" i="3"/>
  <c r="Y60" i="3"/>
  <c r="CY60" i="3"/>
  <c r="CZ60" i="3"/>
  <c r="DB60" i="3" s="1"/>
  <c r="DA60" i="3"/>
  <c r="DC60" i="3"/>
  <c r="A61" i="3"/>
  <c r="Y61" i="3"/>
  <c r="CY61" i="3"/>
  <c r="CZ61" i="3"/>
  <c r="DB61" i="3" s="1"/>
  <c r="DA61" i="3"/>
  <c r="DC61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C26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AC28" i="1"/>
  <c r="AE28" i="1"/>
  <c r="AD28" i="1" s="1"/>
  <c r="AF28" i="1"/>
  <c r="CT28" i="1" s="1"/>
  <c r="S28" i="1" s="1"/>
  <c r="AG28" i="1"/>
  <c r="CU28" i="1" s="1"/>
  <c r="T28" i="1" s="1"/>
  <c r="AG31" i="1" s="1"/>
  <c r="T31" i="1" s="1"/>
  <c r="AH28" i="1"/>
  <c r="AI28" i="1"/>
  <c r="AJ28" i="1"/>
  <c r="CX28" i="1" s="1"/>
  <c r="W28" i="1" s="1"/>
  <c r="CV28" i="1"/>
  <c r="U28" i="1" s="1"/>
  <c r="CW28" i="1"/>
  <c r="V28" i="1" s="1"/>
  <c r="FR28" i="1"/>
  <c r="GL28" i="1"/>
  <c r="GO28" i="1"/>
  <c r="CC31" i="1" s="1"/>
  <c r="GP28" i="1"/>
  <c r="GV28" i="1"/>
  <c r="HC28" i="1"/>
  <c r="GX28" i="1" s="1"/>
  <c r="AC29" i="1"/>
  <c r="AE29" i="1"/>
  <c r="AD29" i="1" s="1"/>
  <c r="AF29" i="1"/>
  <c r="AG29" i="1"/>
  <c r="CU29" i="1" s="1"/>
  <c r="T29" i="1" s="1"/>
  <c r="AH29" i="1"/>
  <c r="AI29" i="1"/>
  <c r="CW29" i="1" s="1"/>
  <c r="V29" i="1" s="1"/>
  <c r="AJ29" i="1"/>
  <c r="CT29" i="1"/>
  <c r="S29" i="1" s="1"/>
  <c r="CV29" i="1"/>
  <c r="U29" i="1" s="1"/>
  <c r="L51" i="6" s="1"/>
  <c r="Q51" i="6" s="1"/>
  <c r="CX29" i="1"/>
  <c r="W29" i="1" s="1"/>
  <c r="FR29" i="1"/>
  <c r="GL29" i="1"/>
  <c r="GO29" i="1"/>
  <c r="GP29" i="1"/>
  <c r="GV29" i="1"/>
  <c r="HC29" i="1"/>
  <c r="GX29" i="1" s="1"/>
  <c r="B31" i="1"/>
  <c r="B26" i="1" s="1"/>
  <c r="C31" i="1"/>
  <c r="D31" i="1"/>
  <c r="D26" i="1" s="1"/>
  <c r="F31" i="1"/>
  <c r="F26" i="1" s="1"/>
  <c r="G31" i="1"/>
  <c r="BX31" i="1"/>
  <c r="BX26" i="1" s="1"/>
  <c r="BY31" i="1"/>
  <c r="CJ31" i="1"/>
  <c r="CK31" i="1"/>
  <c r="BB31" i="1" s="1"/>
  <c r="CL31" i="1"/>
  <c r="BC31" i="1" s="1"/>
  <c r="BC26" i="1" s="1"/>
  <c r="CM31" i="1"/>
  <c r="BD31" i="1" s="1"/>
  <c r="D61" i="1"/>
  <c r="E63" i="1"/>
  <c r="Z63" i="1"/>
  <c r="AA63" i="1"/>
  <c r="AM63" i="1"/>
  <c r="AN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EC63" i="1"/>
  <c r="ED63" i="1"/>
  <c r="EE63" i="1"/>
  <c r="EF63" i="1"/>
  <c r="EG63" i="1"/>
  <c r="EH63" i="1"/>
  <c r="EI63" i="1"/>
  <c r="EJ63" i="1"/>
  <c r="EK63" i="1"/>
  <c r="EL63" i="1"/>
  <c r="EM63" i="1"/>
  <c r="EN63" i="1"/>
  <c r="EO63" i="1"/>
  <c r="EP63" i="1"/>
  <c r="EQ63" i="1"/>
  <c r="ER63" i="1"/>
  <c r="ES63" i="1"/>
  <c r="ET63" i="1"/>
  <c r="EU63" i="1"/>
  <c r="EV63" i="1"/>
  <c r="EW63" i="1"/>
  <c r="EX63" i="1"/>
  <c r="EY63" i="1"/>
  <c r="EZ63" i="1"/>
  <c r="FA63" i="1"/>
  <c r="FB63" i="1"/>
  <c r="FC63" i="1"/>
  <c r="FD63" i="1"/>
  <c r="FE63" i="1"/>
  <c r="FF63" i="1"/>
  <c r="FG63" i="1"/>
  <c r="FH63" i="1"/>
  <c r="FI63" i="1"/>
  <c r="FJ63" i="1"/>
  <c r="FK63" i="1"/>
  <c r="FL63" i="1"/>
  <c r="FM63" i="1"/>
  <c r="FN63" i="1"/>
  <c r="FO63" i="1"/>
  <c r="FP63" i="1"/>
  <c r="FQ63" i="1"/>
  <c r="FR63" i="1"/>
  <c r="FS63" i="1"/>
  <c r="FT63" i="1"/>
  <c r="FU63" i="1"/>
  <c r="FV63" i="1"/>
  <c r="FW63" i="1"/>
  <c r="FX63" i="1"/>
  <c r="FY63" i="1"/>
  <c r="FZ63" i="1"/>
  <c r="GA63" i="1"/>
  <c r="GB63" i="1"/>
  <c r="GC63" i="1"/>
  <c r="GD63" i="1"/>
  <c r="GE63" i="1"/>
  <c r="GF63" i="1"/>
  <c r="GG63" i="1"/>
  <c r="GH63" i="1"/>
  <c r="GI63" i="1"/>
  <c r="GJ63" i="1"/>
  <c r="GK63" i="1"/>
  <c r="GL63" i="1"/>
  <c r="GM63" i="1"/>
  <c r="GN63" i="1"/>
  <c r="GO63" i="1"/>
  <c r="GP63" i="1"/>
  <c r="GQ63" i="1"/>
  <c r="GR63" i="1"/>
  <c r="GS63" i="1"/>
  <c r="GT63" i="1"/>
  <c r="GU63" i="1"/>
  <c r="GV63" i="1"/>
  <c r="GW63" i="1"/>
  <c r="GX63" i="1"/>
  <c r="C65" i="1"/>
  <c r="D65" i="1"/>
  <c r="P65" i="1"/>
  <c r="K62" i="6" s="1"/>
  <c r="AC65" i="1"/>
  <c r="H62" i="6" s="1"/>
  <c r="AE65" i="1"/>
  <c r="AF65" i="1"/>
  <c r="AG65" i="1"/>
  <c r="AH65" i="1"/>
  <c r="CV65" i="1" s="1"/>
  <c r="U65" i="1" s="1"/>
  <c r="AI65" i="1"/>
  <c r="AJ65" i="1"/>
  <c r="CX65" i="1" s="1"/>
  <c r="W65" i="1" s="1"/>
  <c r="CQ65" i="1"/>
  <c r="CR65" i="1"/>
  <c r="Q65" i="1" s="1"/>
  <c r="K60" i="6" s="1"/>
  <c r="CT65" i="1"/>
  <c r="S65" i="1" s="1"/>
  <c r="K59" i="6" s="1"/>
  <c r="CU65" i="1"/>
  <c r="T65" i="1" s="1"/>
  <c r="CW65" i="1"/>
  <c r="V65" i="1" s="1"/>
  <c r="FR65" i="1"/>
  <c r="GL65" i="1"/>
  <c r="GN65" i="1"/>
  <c r="GP65" i="1"/>
  <c r="GV65" i="1"/>
  <c r="HC65" i="1" s="1"/>
  <c r="GX65" i="1" s="1"/>
  <c r="I66" i="1"/>
  <c r="K66" i="1"/>
  <c r="AC66" i="1"/>
  <c r="AE66" i="1"/>
  <c r="AD66" i="1" s="1"/>
  <c r="AF66" i="1"/>
  <c r="AG66" i="1"/>
  <c r="CU66" i="1" s="1"/>
  <c r="AH66" i="1"/>
  <c r="CV66" i="1" s="1"/>
  <c r="U66" i="1" s="1"/>
  <c r="L68" i="6" s="1"/>
  <c r="Q68" i="6" s="1"/>
  <c r="AI66" i="1"/>
  <c r="CW66" i="1" s="1"/>
  <c r="AJ66" i="1"/>
  <c r="CX66" i="1" s="1"/>
  <c r="CR66" i="1"/>
  <c r="CS66" i="1"/>
  <c r="CT66" i="1"/>
  <c r="S66" i="1" s="1"/>
  <c r="FR66" i="1"/>
  <c r="GL66" i="1"/>
  <c r="GO66" i="1"/>
  <c r="GP66" i="1"/>
  <c r="GV66" i="1"/>
  <c r="HC66" i="1"/>
  <c r="GX66" i="1" s="1"/>
  <c r="C67" i="1"/>
  <c r="D67" i="1"/>
  <c r="V67" i="1"/>
  <c r="AC67" i="1"/>
  <c r="H73" i="6" s="1"/>
  <c r="AE67" i="1"/>
  <c r="AF67" i="1"/>
  <c r="AG67" i="1"/>
  <c r="CU67" i="1" s="1"/>
  <c r="T67" i="1" s="1"/>
  <c r="AH67" i="1"/>
  <c r="AI67" i="1"/>
  <c r="AJ67" i="1"/>
  <c r="CV67" i="1"/>
  <c r="U67" i="1" s="1"/>
  <c r="CW67" i="1"/>
  <c r="CX67" i="1"/>
  <c r="W67" i="1" s="1"/>
  <c r="FR67" i="1"/>
  <c r="GL67" i="1"/>
  <c r="GO67" i="1"/>
  <c r="GP67" i="1"/>
  <c r="GV67" i="1"/>
  <c r="HC67" i="1" s="1"/>
  <c r="GX67" i="1" s="1"/>
  <c r="C68" i="1"/>
  <c r="D68" i="1"/>
  <c r="I68" i="1"/>
  <c r="K68" i="1"/>
  <c r="AC68" i="1"/>
  <c r="AE68" i="1"/>
  <c r="AF68" i="1"/>
  <c r="AG68" i="1"/>
  <c r="CU68" i="1" s="1"/>
  <c r="T68" i="1" s="1"/>
  <c r="AH68" i="1"/>
  <c r="CV68" i="1" s="1"/>
  <c r="U68" i="1" s="1"/>
  <c r="AI68" i="1"/>
  <c r="CW68" i="1" s="1"/>
  <c r="V68" i="1" s="1"/>
  <c r="AJ68" i="1"/>
  <c r="CX68" i="1" s="1"/>
  <c r="W68" i="1" s="1"/>
  <c r="CQ68" i="1"/>
  <c r="CR68" i="1"/>
  <c r="Q68" i="1" s="1"/>
  <c r="K80" i="6" s="1"/>
  <c r="CS68" i="1"/>
  <c r="R68" i="1" s="1"/>
  <c r="K81" i="6" s="1"/>
  <c r="CT68" i="1"/>
  <c r="S68" i="1" s="1"/>
  <c r="FR68" i="1"/>
  <c r="GL68" i="1"/>
  <c r="GN68" i="1"/>
  <c r="GP68" i="1"/>
  <c r="GV68" i="1"/>
  <c r="HC68" i="1"/>
  <c r="C69" i="1"/>
  <c r="D69" i="1"/>
  <c r="I69" i="1"/>
  <c r="K69" i="1"/>
  <c r="AC69" i="1"/>
  <c r="H92" i="6" s="1"/>
  <c r="AE69" i="1"/>
  <c r="AD69" i="1" s="1"/>
  <c r="AB69" i="1" s="1"/>
  <c r="AF69" i="1"/>
  <c r="AG69" i="1"/>
  <c r="AH69" i="1"/>
  <c r="AI69" i="1"/>
  <c r="AJ69" i="1"/>
  <c r="CU69" i="1"/>
  <c r="CV69" i="1"/>
  <c r="CW69" i="1"/>
  <c r="CX69" i="1"/>
  <c r="FR69" i="1"/>
  <c r="GL69" i="1"/>
  <c r="GO69" i="1"/>
  <c r="GP69" i="1"/>
  <c r="GV69" i="1"/>
  <c r="HC69" i="1" s="1"/>
  <c r="GX69" i="1" s="1"/>
  <c r="C70" i="1"/>
  <c r="D70" i="1"/>
  <c r="I70" i="1"/>
  <c r="K70" i="1"/>
  <c r="AC70" i="1"/>
  <c r="H102" i="6" s="1"/>
  <c r="AE70" i="1"/>
  <c r="AF70" i="1"/>
  <c r="AG70" i="1"/>
  <c r="CU70" i="1" s="1"/>
  <c r="AH70" i="1"/>
  <c r="CV70" i="1" s="1"/>
  <c r="U70" i="1" s="1"/>
  <c r="AI70" i="1"/>
  <c r="CW70" i="1" s="1"/>
  <c r="V70" i="1" s="1"/>
  <c r="AJ70" i="1"/>
  <c r="CX70" i="1" s="1"/>
  <c r="W70" i="1" s="1"/>
  <c r="CQ70" i="1"/>
  <c r="P70" i="1" s="1"/>
  <c r="K102" i="6" s="1"/>
  <c r="CS70" i="1"/>
  <c r="R70" i="1" s="1"/>
  <c r="FR70" i="1"/>
  <c r="GL70" i="1"/>
  <c r="GO70" i="1"/>
  <c r="GP70" i="1"/>
  <c r="GV70" i="1"/>
  <c r="HC70" i="1"/>
  <c r="GX70" i="1" s="1"/>
  <c r="C71" i="1"/>
  <c r="D71" i="1"/>
  <c r="I71" i="1"/>
  <c r="K71" i="1"/>
  <c r="AC71" i="1"/>
  <c r="AE71" i="1"/>
  <c r="AF71" i="1"/>
  <c r="AG71" i="1"/>
  <c r="AH71" i="1"/>
  <c r="AI71" i="1"/>
  <c r="AJ71" i="1"/>
  <c r="CR71" i="1"/>
  <c r="CU71" i="1"/>
  <c r="T71" i="1" s="1"/>
  <c r="CV71" i="1"/>
  <c r="CW71" i="1"/>
  <c r="V71" i="1" s="1"/>
  <c r="CX71" i="1"/>
  <c r="FR71" i="1"/>
  <c r="BY74" i="1" s="1"/>
  <c r="GL71" i="1"/>
  <c r="GO71" i="1"/>
  <c r="GP71" i="1"/>
  <c r="GV71" i="1"/>
  <c r="HC71" i="1" s="1"/>
  <c r="C72" i="1"/>
  <c r="D72" i="1"/>
  <c r="I72" i="1"/>
  <c r="K72" i="1"/>
  <c r="AC72" i="1"/>
  <c r="CQ72" i="1" s="1"/>
  <c r="AE72" i="1"/>
  <c r="AD72" i="1" s="1"/>
  <c r="AF72" i="1"/>
  <c r="AG72" i="1"/>
  <c r="CU72" i="1" s="1"/>
  <c r="T72" i="1" s="1"/>
  <c r="AH72" i="1"/>
  <c r="CV72" i="1" s="1"/>
  <c r="U72" i="1" s="1"/>
  <c r="AI72" i="1"/>
  <c r="CW72" i="1" s="1"/>
  <c r="V72" i="1" s="1"/>
  <c r="AJ72" i="1"/>
  <c r="CX72" i="1" s="1"/>
  <c r="W72" i="1" s="1"/>
  <c r="FR72" i="1"/>
  <c r="GL72" i="1"/>
  <c r="GO72" i="1"/>
  <c r="GP72" i="1"/>
  <c r="GV72" i="1"/>
  <c r="HC72" i="1"/>
  <c r="B74" i="1"/>
  <c r="B63" i="1" s="1"/>
  <c r="C74" i="1"/>
  <c r="C63" i="1" s="1"/>
  <c r="D74" i="1"/>
  <c r="D63" i="1" s="1"/>
  <c r="F74" i="1"/>
  <c r="F63" i="1" s="1"/>
  <c r="G74" i="1"/>
  <c r="BX74" i="1"/>
  <c r="BX63" i="1" s="1"/>
  <c r="CD74" i="1"/>
  <c r="CD63" i="1" s="1"/>
  <c r="CK74" i="1"/>
  <c r="CK63" i="1" s="1"/>
  <c r="CL74" i="1"/>
  <c r="CL63" i="1" s="1"/>
  <c r="CM74" i="1"/>
  <c r="CM63" i="1" s="1"/>
  <c r="B104" i="1"/>
  <c r="B22" i="1" s="1"/>
  <c r="C104" i="1"/>
  <c r="C22" i="1" s="1"/>
  <c r="D104" i="1"/>
  <c r="D22" i="1" s="1"/>
  <c r="F104" i="1"/>
  <c r="F22" i="1" s="1"/>
  <c r="G104" i="1"/>
  <c r="B136" i="1"/>
  <c r="B18" i="1" s="1"/>
  <c r="C136" i="1"/>
  <c r="C18" i="1" s="1"/>
  <c r="D136" i="1"/>
  <c r="D18" i="1" s="1"/>
  <c r="F136" i="1"/>
  <c r="F18" i="1" s="1"/>
  <c r="G136" i="1"/>
  <c r="L105" i="6" l="1"/>
  <c r="L106" i="6"/>
  <c r="Q106" i="6" s="1"/>
  <c r="DI25" i="3"/>
  <c r="DH25" i="3"/>
  <c r="DG27" i="3"/>
  <c r="DF27" i="3"/>
  <c r="DJ27" i="3" s="1"/>
  <c r="DH27" i="3"/>
  <c r="L122" i="6"/>
  <c r="Q122" i="6" s="1"/>
  <c r="L121" i="6"/>
  <c r="BB26" i="1"/>
  <c r="DG19" i="3"/>
  <c r="DJ19" i="3" s="1"/>
  <c r="DF19" i="3"/>
  <c r="DH19" i="3"/>
  <c r="L85" i="6"/>
  <c r="L86" i="6"/>
  <c r="Q86" i="6" s="1"/>
  <c r="DG31" i="3"/>
  <c r="DF31" i="3"/>
  <c r="DJ31" i="3" s="1"/>
  <c r="DH31" i="3"/>
  <c r="DI31" i="3"/>
  <c r="DG11" i="3"/>
  <c r="DF11" i="3"/>
  <c r="DJ11" i="3" s="1"/>
  <c r="DH11" i="3"/>
  <c r="DG23" i="3"/>
  <c r="DF23" i="3"/>
  <c r="DJ23" i="3" s="1"/>
  <c r="DH23" i="3"/>
  <c r="CQ28" i="1"/>
  <c r="P28" i="1" s="1"/>
  <c r="K48" i="6" s="1"/>
  <c r="J49" i="6" s="1"/>
  <c r="P49" i="6" s="1"/>
  <c r="H48" i="6"/>
  <c r="DI2" i="3"/>
  <c r="DJ2" i="3" s="1"/>
  <c r="K101" i="6"/>
  <c r="CZ68" i="1"/>
  <c r="Y68" i="1" s="1"/>
  <c r="V78" i="6" s="1"/>
  <c r="K84" i="6" s="1"/>
  <c r="K79" i="6"/>
  <c r="AD67" i="1"/>
  <c r="H71" i="6"/>
  <c r="H72" i="6"/>
  <c r="R72" i="6" s="1"/>
  <c r="CS29" i="1"/>
  <c r="R29" i="1" s="1"/>
  <c r="CS69" i="1"/>
  <c r="R69" i="1" s="1"/>
  <c r="K91" i="6" s="1"/>
  <c r="H91" i="6"/>
  <c r="R91" i="6" s="1"/>
  <c r="H90" i="6"/>
  <c r="CR29" i="1"/>
  <c r="Q29" i="1" s="1"/>
  <c r="AB72" i="1"/>
  <c r="H118" i="6"/>
  <c r="U116" i="6"/>
  <c r="H120" i="6" s="1"/>
  <c r="S116" i="6"/>
  <c r="H119" i="6" s="1"/>
  <c r="Q71" i="1"/>
  <c r="K110" i="6" s="1"/>
  <c r="AD70" i="1"/>
  <c r="AB70" i="1" s="1"/>
  <c r="H101" i="6"/>
  <c r="R101" i="6" s="1"/>
  <c r="H100" i="6"/>
  <c r="S67" i="6"/>
  <c r="U67" i="6"/>
  <c r="CR69" i="1"/>
  <c r="AD68" i="1"/>
  <c r="AB68" i="1" s="1"/>
  <c r="H80" i="6"/>
  <c r="H81" i="6"/>
  <c r="R81" i="6" s="1"/>
  <c r="G26" i="1"/>
  <c r="AF53" i="6"/>
  <c r="A53" i="6"/>
  <c r="CX61" i="3"/>
  <c r="DH61" i="3" s="1"/>
  <c r="C117" i="6"/>
  <c r="E116" i="6"/>
  <c r="CQ69" i="1"/>
  <c r="H82" i="6"/>
  <c r="CR67" i="1"/>
  <c r="Q67" i="1" s="1"/>
  <c r="K71" i="6" s="1"/>
  <c r="L66" i="6"/>
  <c r="Q66" i="6" s="1"/>
  <c r="L65" i="6"/>
  <c r="AH31" i="1"/>
  <c r="AH26" i="1" s="1"/>
  <c r="L49" i="6"/>
  <c r="Q49" i="6" s="1"/>
  <c r="L53" i="6" s="1"/>
  <c r="DF15" i="3"/>
  <c r="DH3" i="3"/>
  <c r="CT71" i="1"/>
  <c r="S71" i="1" s="1"/>
  <c r="K109" i="6" s="1"/>
  <c r="S107" i="6"/>
  <c r="H112" i="6" s="1"/>
  <c r="U107" i="6"/>
  <c r="H113" i="6" s="1"/>
  <c r="H109" i="6"/>
  <c r="V66" i="1"/>
  <c r="AI74" i="1" s="1"/>
  <c r="E67" i="6"/>
  <c r="CL26" i="1"/>
  <c r="DF3" i="3"/>
  <c r="AD71" i="1"/>
  <c r="H110" i="6"/>
  <c r="H111" i="6"/>
  <c r="R111" i="6" s="1"/>
  <c r="E97" i="6"/>
  <c r="C98" i="6"/>
  <c r="U58" i="6"/>
  <c r="H64" i="6" s="1"/>
  <c r="S58" i="6"/>
  <c r="H63" i="6" s="1"/>
  <c r="H59" i="6"/>
  <c r="CS28" i="1"/>
  <c r="R28" i="1" s="1"/>
  <c r="AE31" i="1" s="1"/>
  <c r="AE26" i="1" s="1"/>
  <c r="CK26" i="1"/>
  <c r="G18" i="1"/>
  <c r="BC74" i="1"/>
  <c r="F90" i="1" s="1"/>
  <c r="CS72" i="1"/>
  <c r="R72" i="1" s="1"/>
  <c r="GX71" i="1"/>
  <c r="H61" i="6"/>
  <c r="R61" i="6" s="1"/>
  <c r="H60" i="6"/>
  <c r="S50" i="6"/>
  <c r="U50" i="6"/>
  <c r="CR28" i="1"/>
  <c r="Q28" i="1" s="1"/>
  <c r="G22" i="1"/>
  <c r="A128" i="6"/>
  <c r="C108" i="6"/>
  <c r="E107" i="6"/>
  <c r="U71" i="1"/>
  <c r="Q69" i="1"/>
  <c r="K90" i="6" s="1"/>
  <c r="E87" i="6"/>
  <c r="C88" i="6"/>
  <c r="S97" i="6"/>
  <c r="H103" i="6" s="1"/>
  <c r="U97" i="6"/>
  <c r="H104" i="6" s="1"/>
  <c r="H99" i="6"/>
  <c r="V69" i="1"/>
  <c r="H79" i="6"/>
  <c r="U78" i="6"/>
  <c r="H84" i="6" s="1"/>
  <c r="S78" i="6"/>
  <c r="H83" i="6" s="1"/>
  <c r="L76" i="6"/>
  <c r="L77" i="6"/>
  <c r="Q77" i="6" s="1"/>
  <c r="BB74" i="1"/>
  <c r="BB104" i="1" s="1"/>
  <c r="CR72" i="1"/>
  <c r="Q72" i="1" s="1"/>
  <c r="GX68" i="1"/>
  <c r="E78" i="6"/>
  <c r="G63" i="1"/>
  <c r="A124" i="6"/>
  <c r="CT70" i="1"/>
  <c r="S70" i="1" s="1"/>
  <c r="K99" i="6" s="1"/>
  <c r="CT69" i="1"/>
  <c r="S69" i="1" s="1"/>
  <c r="U87" i="6"/>
  <c r="H94" i="6" s="1"/>
  <c r="H89" i="6"/>
  <c r="S87" i="6"/>
  <c r="H93" i="6" s="1"/>
  <c r="CT67" i="1"/>
  <c r="S67" i="1" s="1"/>
  <c r="K70" i="6" s="1"/>
  <c r="U69" i="6"/>
  <c r="H75" i="6" s="1"/>
  <c r="S69" i="6"/>
  <c r="H74" i="6" s="1"/>
  <c r="H70" i="6"/>
  <c r="F47" i="1"/>
  <c r="CQ29" i="1"/>
  <c r="P29" i="1" s="1"/>
  <c r="K50" i="6" s="1"/>
  <c r="J51" i="6" s="1"/>
  <c r="P51" i="6" s="1"/>
  <c r="H50" i="6"/>
  <c r="AB29" i="1"/>
  <c r="U48" i="6"/>
  <c r="S48" i="6"/>
  <c r="AB71" i="1"/>
  <c r="CJ74" i="1"/>
  <c r="BY63" i="1"/>
  <c r="AP74" i="1"/>
  <c r="AB67" i="1"/>
  <c r="GX72" i="1"/>
  <c r="CX59" i="3"/>
  <c r="CX57" i="3"/>
  <c r="CX55" i="3"/>
  <c r="CX60" i="3"/>
  <c r="Q66" i="1"/>
  <c r="AB66" i="1"/>
  <c r="CQ66" i="1"/>
  <c r="P66" i="1" s="1"/>
  <c r="CP65" i="1"/>
  <c r="O65" i="1" s="1"/>
  <c r="P69" i="1"/>
  <c r="K92" i="6" s="1"/>
  <c r="BZ74" i="1"/>
  <c r="CI74" i="1" s="1"/>
  <c r="BD74" i="1"/>
  <c r="AU74" i="1"/>
  <c r="CR70" i="1"/>
  <c r="Q70" i="1" s="1"/>
  <c r="K100" i="6" s="1"/>
  <c r="CX35" i="3"/>
  <c r="CX37" i="3"/>
  <c r="W66" i="1"/>
  <c r="CX41" i="3"/>
  <c r="CX36" i="3"/>
  <c r="CS71" i="1"/>
  <c r="R71" i="1" s="1"/>
  <c r="K111" i="6" s="1"/>
  <c r="W69" i="1"/>
  <c r="CS67" i="1"/>
  <c r="R67" i="1" s="1"/>
  <c r="CY68" i="1"/>
  <c r="X68" i="1" s="1"/>
  <c r="T78" i="6" s="1"/>
  <c r="K83" i="6" s="1"/>
  <c r="CY29" i="1"/>
  <c r="X29" i="1" s="1"/>
  <c r="T50" i="6" s="1"/>
  <c r="CZ29" i="1"/>
  <c r="Y29" i="1" s="1"/>
  <c r="V50" i="6" s="1"/>
  <c r="CP29" i="1"/>
  <c r="O29" i="1" s="1"/>
  <c r="AF31" i="1"/>
  <c r="CC26" i="1"/>
  <c r="AT31" i="1"/>
  <c r="AJ31" i="1"/>
  <c r="CT72" i="1"/>
  <c r="S72" i="1" s="1"/>
  <c r="K118" i="6" s="1"/>
  <c r="CQ71" i="1"/>
  <c r="P71" i="1" s="1"/>
  <c r="CP71" i="1" s="1"/>
  <c r="O71" i="1" s="1"/>
  <c r="CQ67" i="1"/>
  <c r="P67" i="1" s="1"/>
  <c r="T66" i="1"/>
  <c r="AG74" i="1" s="1"/>
  <c r="BD26" i="1"/>
  <c r="BD104" i="1"/>
  <c r="F56" i="1"/>
  <c r="CX49" i="3"/>
  <c r="DF28" i="3"/>
  <c r="DJ28" i="3" s="1"/>
  <c r="DG28" i="3"/>
  <c r="DH28" i="3"/>
  <c r="DI28" i="3"/>
  <c r="DF12" i="3"/>
  <c r="DJ12" i="3" s="1"/>
  <c r="DG12" i="3"/>
  <c r="DH12" i="3"/>
  <c r="DI12" i="3"/>
  <c r="DF4" i="3"/>
  <c r="DG4" i="3"/>
  <c r="DJ4" i="3" s="1"/>
  <c r="DH4" i="3"/>
  <c r="DI4" i="3"/>
  <c r="CX43" i="3"/>
  <c r="CX39" i="3"/>
  <c r="CX45" i="3"/>
  <c r="CX51" i="3"/>
  <c r="CX47" i="3"/>
  <c r="CX52" i="3"/>
  <c r="CX53" i="3"/>
  <c r="U69" i="1"/>
  <c r="CX44" i="3"/>
  <c r="DI33" i="3"/>
  <c r="DF33" i="3"/>
  <c r="DJ33" i="3" s="1"/>
  <c r="DG33" i="3"/>
  <c r="DH33" i="3"/>
  <c r="DI17" i="3"/>
  <c r="DF17" i="3"/>
  <c r="DG17" i="3"/>
  <c r="DJ17" i="3" s="1"/>
  <c r="DH17" i="3"/>
  <c r="DI9" i="3"/>
  <c r="DF9" i="3"/>
  <c r="DJ9" i="3" s="1"/>
  <c r="DG9" i="3"/>
  <c r="DH9" i="3"/>
  <c r="AO74" i="1"/>
  <c r="P72" i="1"/>
  <c r="W71" i="1"/>
  <c r="T70" i="1"/>
  <c r="T69" i="1"/>
  <c r="P68" i="1"/>
  <c r="R66" i="1"/>
  <c r="CY66" i="1" s="1"/>
  <c r="X66" i="1" s="1"/>
  <c r="T67" i="6" s="1"/>
  <c r="AD65" i="1"/>
  <c r="AB65" i="1" s="1"/>
  <c r="CS65" i="1"/>
  <c r="R65" i="1" s="1"/>
  <c r="T26" i="1"/>
  <c r="F52" i="1"/>
  <c r="BA31" i="1"/>
  <c r="CJ26" i="1"/>
  <c r="R31" i="1"/>
  <c r="AG26" i="1"/>
  <c r="CX50" i="3"/>
  <c r="CX40" i="3"/>
  <c r="DH22" i="3"/>
  <c r="DI22" i="3"/>
  <c r="DF18" i="3"/>
  <c r="DH18" i="3"/>
  <c r="DF13" i="3"/>
  <c r="DG13" i="3"/>
  <c r="DI13" i="3"/>
  <c r="DJ13" i="3" s="1"/>
  <c r="CM26" i="1"/>
  <c r="DH30" i="3"/>
  <c r="DI30" i="3"/>
  <c r="DF26" i="3"/>
  <c r="DJ26" i="3" s="1"/>
  <c r="DH26" i="3"/>
  <c r="DG22" i="3"/>
  <c r="DF21" i="3"/>
  <c r="DJ21" i="3" s="1"/>
  <c r="DG21" i="3"/>
  <c r="DI21" i="3"/>
  <c r="DG1" i="3"/>
  <c r="AI31" i="1"/>
  <c r="CY28" i="1"/>
  <c r="X28" i="1" s="1"/>
  <c r="T48" i="6" s="1"/>
  <c r="CZ28" i="1"/>
  <c r="Y28" i="1" s="1"/>
  <c r="CX54" i="3"/>
  <c r="DF34" i="3"/>
  <c r="DJ34" i="3" s="1"/>
  <c r="DH34" i="3"/>
  <c r="DF29" i="3"/>
  <c r="DJ29" i="3" s="1"/>
  <c r="DG29" i="3"/>
  <c r="DI29" i="3"/>
  <c r="DF22" i="3"/>
  <c r="DJ22" i="3" s="1"/>
  <c r="DI18" i="3"/>
  <c r="DH13" i="3"/>
  <c r="DF8" i="3"/>
  <c r="DG8" i="3"/>
  <c r="DJ8" i="3" s="1"/>
  <c r="DH8" i="3"/>
  <c r="DF1" i="3"/>
  <c r="CX58" i="3"/>
  <c r="CX48" i="3"/>
  <c r="DG18" i="3"/>
  <c r="DJ18" i="3" s="1"/>
  <c r="DF16" i="3"/>
  <c r="DG16" i="3"/>
  <c r="DJ16" i="3" s="1"/>
  <c r="DH16" i="3"/>
  <c r="F44" i="1"/>
  <c r="CD31" i="1"/>
  <c r="CX38" i="3"/>
  <c r="DI34" i="3"/>
  <c r="DH29" i="3"/>
  <c r="DG26" i="3"/>
  <c r="DG25" i="3"/>
  <c r="DF24" i="3"/>
  <c r="DJ24" i="3" s="1"/>
  <c r="DG24" i="3"/>
  <c r="DH24" i="3"/>
  <c r="DI20" i="3"/>
  <c r="DI8" i="3"/>
  <c r="BY26" i="1"/>
  <c r="AP31" i="1"/>
  <c r="CX42" i="3"/>
  <c r="DG34" i="3"/>
  <c r="DF32" i="3"/>
  <c r="DJ32" i="3" s="1"/>
  <c r="DG32" i="3"/>
  <c r="DH32" i="3"/>
  <c r="DF25" i="3"/>
  <c r="DJ25" i="3" s="1"/>
  <c r="DH20" i="3"/>
  <c r="DI16" i="3"/>
  <c r="AO31" i="1"/>
  <c r="CX56" i="3"/>
  <c r="DI24" i="3"/>
  <c r="DG20" i="3"/>
  <c r="DJ20" i="3" s="1"/>
  <c r="DI15" i="3"/>
  <c r="DH7" i="3"/>
  <c r="DH6" i="3"/>
  <c r="DI6" i="3"/>
  <c r="DF2" i="3"/>
  <c r="DH2" i="3"/>
  <c r="BZ31" i="1"/>
  <c r="CI31" i="1" s="1"/>
  <c r="CP28" i="1"/>
  <c r="O28" i="1" s="1"/>
  <c r="AB28" i="1"/>
  <c r="CX46" i="3"/>
  <c r="DI32" i="3"/>
  <c r="DI23" i="3"/>
  <c r="DH15" i="3"/>
  <c r="DH14" i="3"/>
  <c r="DI14" i="3"/>
  <c r="DJ14" i="3" s="1"/>
  <c r="DF10" i="3"/>
  <c r="DJ10" i="3" s="1"/>
  <c r="DH10" i="3"/>
  <c r="DF7" i="3"/>
  <c r="DG6" i="3"/>
  <c r="DJ6" i="3" s="1"/>
  <c r="DF5" i="3"/>
  <c r="DG5" i="3"/>
  <c r="DJ5" i="3" s="1"/>
  <c r="DI5" i="3"/>
  <c r="DI27" i="3"/>
  <c r="DI19" i="3"/>
  <c r="DI11" i="3"/>
  <c r="DI3" i="3"/>
  <c r="G77" i="6" l="1"/>
  <c r="O77" i="6" s="1"/>
  <c r="AF74" i="1"/>
  <c r="K89" i="6"/>
  <c r="BB22" i="1"/>
  <c r="BB136" i="1"/>
  <c r="F117" i="1"/>
  <c r="J53" i="6"/>
  <c r="DG61" i="3"/>
  <c r="L114" i="6"/>
  <c r="L115" i="6"/>
  <c r="Q115" i="6" s="1"/>
  <c r="DF61" i="3"/>
  <c r="BB63" i="1"/>
  <c r="F87" i="1"/>
  <c r="G66" i="6"/>
  <c r="O66" i="6" s="1"/>
  <c r="BC104" i="1"/>
  <c r="CY65" i="1"/>
  <c r="X65" i="1" s="1"/>
  <c r="T58" i="6" s="1"/>
  <c r="K63" i="6" s="1"/>
  <c r="K61" i="6"/>
  <c r="CP70" i="1"/>
  <c r="O70" i="1" s="1"/>
  <c r="G122" i="6"/>
  <c r="O122" i="6" s="1"/>
  <c r="W122" i="6"/>
  <c r="R118" i="6"/>
  <c r="W115" i="6"/>
  <c r="G115" i="6"/>
  <c r="O115" i="6" s="1"/>
  <c r="R109" i="6"/>
  <c r="G51" i="6"/>
  <c r="O51" i="6" s="1"/>
  <c r="W51" i="6"/>
  <c r="CY71" i="1"/>
  <c r="X71" i="1" s="1"/>
  <c r="T107" i="6" s="1"/>
  <c r="K112" i="6" s="1"/>
  <c r="AH74" i="1"/>
  <c r="U74" i="1" s="1"/>
  <c r="L95" i="6"/>
  <c r="L96" i="6"/>
  <c r="Q96" i="6" s="1"/>
  <c r="W49" i="6"/>
  <c r="G49" i="6"/>
  <c r="O49" i="6" s="1"/>
  <c r="DI61" i="3"/>
  <c r="DJ61" i="3" s="1"/>
  <c r="G86" i="6"/>
  <c r="O86" i="6" s="1"/>
  <c r="CP68" i="1"/>
  <c r="O68" i="1" s="1"/>
  <c r="K82" i="6"/>
  <c r="J86" i="6" s="1"/>
  <c r="P86" i="6" s="1"/>
  <c r="AL31" i="1"/>
  <c r="V48" i="6"/>
  <c r="CZ71" i="1"/>
  <c r="Y71" i="1" s="1"/>
  <c r="V107" i="6" s="1"/>
  <c r="K113" i="6" s="1"/>
  <c r="BC63" i="1"/>
  <c r="AC31" i="1"/>
  <c r="CH31" i="1" s="1"/>
  <c r="G96" i="6"/>
  <c r="O96" i="6" s="1"/>
  <c r="W96" i="6"/>
  <c r="R89" i="6"/>
  <c r="G106" i="6"/>
  <c r="O106" i="6" s="1"/>
  <c r="R99" i="6"/>
  <c r="W106" i="6"/>
  <c r="CZ67" i="1"/>
  <c r="Y67" i="1" s="1"/>
  <c r="V69" i="6" s="1"/>
  <c r="K75" i="6" s="1"/>
  <c r="K72" i="6"/>
  <c r="X66" i="6"/>
  <c r="R59" i="6"/>
  <c r="W77" i="6"/>
  <c r="R70" i="6"/>
  <c r="AD31" i="1"/>
  <c r="CP67" i="1"/>
  <c r="O67" i="1" s="1"/>
  <c r="AB74" i="1" s="1"/>
  <c r="K73" i="6"/>
  <c r="R79" i="6"/>
  <c r="X86" i="6"/>
  <c r="AD74" i="1"/>
  <c r="U31" i="1"/>
  <c r="CY70" i="1"/>
  <c r="X70" i="1" s="1"/>
  <c r="T97" i="6" s="1"/>
  <c r="K103" i="6" s="1"/>
  <c r="CZ70" i="1"/>
  <c r="Y70" i="1" s="1"/>
  <c r="V97" i="6" s="1"/>
  <c r="K104" i="6" s="1"/>
  <c r="AF63" i="1"/>
  <c r="S74" i="1"/>
  <c r="AD63" i="1"/>
  <c r="Q74" i="1"/>
  <c r="AZ74" i="1"/>
  <c r="CI63" i="1"/>
  <c r="AZ31" i="1"/>
  <c r="CI26" i="1"/>
  <c r="DF42" i="3"/>
  <c r="DH42" i="3"/>
  <c r="DI42" i="3"/>
  <c r="DG42" i="3"/>
  <c r="DJ42" i="3" s="1"/>
  <c r="U26" i="1"/>
  <c r="F53" i="1"/>
  <c r="AI26" i="1"/>
  <c r="V31" i="1"/>
  <c r="DI49" i="3"/>
  <c r="DF49" i="3"/>
  <c r="DG49" i="3"/>
  <c r="DJ49" i="3" s="1"/>
  <c r="DH49" i="3"/>
  <c r="DI41" i="3"/>
  <c r="DH41" i="3"/>
  <c r="DF41" i="3"/>
  <c r="DG41" i="3"/>
  <c r="DJ41" i="3" s="1"/>
  <c r="AG63" i="1"/>
  <c r="T74" i="1"/>
  <c r="DG39" i="3"/>
  <c r="DF39" i="3"/>
  <c r="DH39" i="3"/>
  <c r="DI39" i="3"/>
  <c r="DJ39" i="3" s="1"/>
  <c r="BD22" i="1"/>
  <c r="BD136" i="1"/>
  <c r="F129" i="1"/>
  <c r="AJ26" i="1"/>
  <c r="W31" i="1"/>
  <c r="AJ74" i="1"/>
  <c r="AU63" i="1"/>
  <c r="F93" i="1"/>
  <c r="CY69" i="1"/>
  <c r="X69" i="1" s="1"/>
  <c r="T87" i="6" s="1"/>
  <c r="K93" i="6" s="1"/>
  <c r="CZ69" i="1"/>
  <c r="Y69" i="1" s="1"/>
  <c r="V87" i="6" s="1"/>
  <c r="K94" i="6" s="1"/>
  <c r="CJ63" i="1"/>
  <c r="BA74" i="1"/>
  <c r="F35" i="1"/>
  <c r="AO26" i="1"/>
  <c r="AO104" i="1"/>
  <c r="DH46" i="3"/>
  <c r="DI46" i="3"/>
  <c r="DF46" i="3"/>
  <c r="DJ46" i="3" s="1"/>
  <c r="DG46" i="3"/>
  <c r="CP72" i="1"/>
  <c r="O72" i="1" s="1"/>
  <c r="DF50" i="3"/>
  <c r="DH50" i="3"/>
  <c r="DG50" i="3"/>
  <c r="DJ50" i="3" s="1"/>
  <c r="DI50" i="3"/>
  <c r="F78" i="1"/>
  <c r="AO63" i="1"/>
  <c r="DG43" i="3"/>
  <c r="DJ43" i="3" s="1"/>
  <c r="DH43" i="3"/>
  <c r="DI43" i="3"/>
  <c r="DF43" i="3"/>
  <c r="AT26" i="1"/>
  <c r="F49" i="1"/>
  <c r="DF37" i="3"/>
  <c r="DG37" i="3"/>
  <c r="DJ37" i="3" s="1"/>
  <c r="DI37" i="3"/>
  <c r="DH37" i="3"/>
  <c r="BD63" i="1"/>
  <c r="F99" i="1"/>
  <c r="CY72" i="1"/>
  <c r="X72" i="1" s="1"/>
  <c r="T116" i="6" s="1"/>
  <c r="K119" i="6" s="1"/>
  <c r="CZ72" i="1"/>
  <c r="Y72" i="1" s="1"/>
  <c r="V116" i="6" s="1"/>
  <c r="K120" i="6" s="1"/>
  <c r="J122" i="6" s="1"/>
  <c r="P122" i="6" s="1"/>
  <c r="DF40" i="3"/>
  <c r="DG40" i="3"/>
  <c r="DH40" i="3"/>
  <c r="DI40" i="3"/>
  <c r="DJ40" i="3" s="1"/>
  <c r="GM28" i="1"/>
  <c r="GN28" i="1"/>
  <c r="AB31" i="1"/>
  <c r="DF53" i="3"/>
  <c r="DJ53" i="3" s="1"/>
  <c r="DG53" i="3"/>
  <c r="DI53" i="3"/>
  <c r="DH53" i="3"/>
  <c r="GM70" i="1"/>
  <c r="GN70" i="1"/>
  <c r="DG35" i="3"/>
  <c r="DH35" i="3"/>
  <c r="DI35" i="3"/>
  <c r="DJ35" i="3" s="1"/>
  <c r="DF35" i="3"/>
  <c r="BZ63" i="1"/>
  <c r="AQ74" i="1"/>
  <c r="CG74" i="1"/>
  <c r="DF60" i="3"/>
  <c r="DJ60" i="3" s="1"/>
  <c r="DG60" i="3"/>
  <c r="DH60" i="3"/>
  <c r="DI60" i="3"/>
  <c r="F83" i="1"/>
  <c r="AP63" i="1"/>
  <c r="DF45" i="3"/>
  <c r="DJ45" i="3" s="1"/>
  <c r="DG45" i="3"/>
  <c r="DI45" i="3"/>
  <c r="DH45" i="3"/>
  <c r="AQ31" i="1"/>
  <c r="BZ26" i="1"/>
  <c r="CG31" i="1"/>
  <c r="DH54" i="3"/>
  <c r="DI54" i="3"/>
  <c r="DF54" i="3"/>
  <c r="DJ54" i="3" s="1"/>
  <c r="DG54" i="3"/>
  <c r="R26" i="1"/>
  <c r="F45" i="1"/>
  <c r="DF52" i="3"/>
  <c r="DH52" i="3"/>
  <c r="DI52" i="3"/>
  <c r="DG52" i="3"/>
  <c r="DJ52" i="3" s="1"/>
  <c r="AF26" i="1"/>
  <c r="S31" i="1"/>
  <c r="CP69" i="1"/>
  <c r="O69" i="1" s="1"/>
  <c r="DG55" i="3"/>
  <c r="DF55" i="3"/>
  <c r="DH55" i="3"/>
  <c r="DI55" i="3"/>
  <c r="DJ55" i="3" s="1"/>
  <c r="CY67" i="1"/>
  <c r="X67" i="1" s="1"/>
  <c r="DF44" i="3"/>
  <c r="DG44" i="3"/>
  <c r="DJ44" i="3" s="1"/>
  <c r="DH44" i="3"/>
  <c r="DI44" i="3"/>
  <c r="F40" i="1"/>
  <c r="AP26" i="1"/>
  <c r="AP104" i="1"/>
  <c r="DF48" i="3"/>
  <c r="DG48" i="3"/>
  <c r="DH48" i="3"/>
  <c r="DI48" i="3"/>
  <c r="DJ48" i="3" s="1"/>
  <c r="DF56" i="3"/>
  <c r="DG56" i="3"/>
  <c r="DH56" i="3"/>
  <c r="DI56" i="3"/>
  <c r="DJ56" i="3" s="1"/>
  <c r="DH38" i="3"/>
  <c r="DI38" i="3"/>
  <c r="DF38" i="3"/>
  <c r="DJ38" i="3" s="1"/>
  <c r="DG38" i="3"/>
  <c r="DF58" i="3"/>
  <c r="DJ58" i="3" s="1"/>
  <c r="DH58" i="3"/>
  <c r="DG58" i="3"/>
  <c r="DI58" i="3"/>
  <c r="AL26" i="1"/>
  <c r="Y31" i="1"/>
  <c r="GM68" i="1"/>
  <c r="GO68" i="1"/>
  <c r="DG47" i="3"/>
  <c r="DH47" i="3"/>
  <c r="DI47" i="3"/>
  <c r="DJ47" i="3" s="1"/>
  <c r="DF47" i="3"/>
  <c r="GM29" i="1"/>
  <c r="GN29" i="1"/>
  <c r="DI57" i="3"/>
  <c r="DF57" i="3"/>
  <c r="DG57" i="3"/>
  <c r="DJ57" i="3" s="1"/>
  <c r="DH57" i="3"/>
  <c r="CZ66" i="1"/>
  <c r="Y66" i="1" s="1"/>
  <c r="V67" i="6" s="1"/>
  <c r="V74" i="1"/>
  <c r="AI63" i="1"/>
  <c r="BB18" i="1"/>
  <c r="F149" i="1"/>
  <c r="AE74" i="1"/>
  <c r="CZ65" i="1"/>
  <c r="Y65" i="1" s="1"/>
  <c r="V58" i="6" s="1"/>
  <c r="K64" i="6" s="1"/>
  <c r="AU31" i="1"/>
  <c r="CD26" i="1"/>
  <c r="AK31" i="1"/>
  <c r="BA26" i="1"/>
  <c r="F51" i="1"/>
  <c r="BA104" i="1"/>
  <c r="DG51" i="3"/>
  <c r="DJ51" i="3" s="1"/>
  <c r="DH51" i="3"/>
  <c r="DI51" i="3"/>
  <c r="DF51" i="3"/>
  <c r="GM71" i="1"/>
  <c r="GN71" i="1"/>
  <c r="DF36" i="3"/>
  <c r="DG36" i="3"/>
  <c r="DH36" i="3"/>
  <c r="DI36" i="3"/>
  <c r="DJ36" i="3" s="1"/>
  <c r="CP66" i="1"/>
  <c r="O66" i="1" s="1"/>
  <c r="AC74" i="1"/>
  <c r="DG59" i="3"/>
  <c r="DH59" i="3"/>
  <c r="DI59" i="3"/>
  <c r="DF59" i="3"/>
  <c r="DJ59" i="3" s="1"/>
  <c r="J66" i="6" l="1"/>
  <c r="P66" i="6" s="1"/>
  <c r="J115" i="6"/>
  <c r="P115" i="6" s="1"/>
  <c r="L128" i="6"/>
  <c r="J106" i="6"/>
  <c r="P106" i="6" s="1"/>
  <c r="L124" i="6"/>
  <c r="AH63" i="1"/>
  <c r="G30" i="6"/>
  <c r="G35" i="6"/>
  <c r="G124" i="6"/>
  <c r="AD26" i="1"/>
  <c r="Q31" i="1"/>
  <c r="BC22" i="1"/>
  <c r="F120" i="1"/>
  <c r="BC136" i="1"/>
  <c r="P31" i="1"/>
  <c r="P26" i="1" s="1"/>
  <c r="CA31" i="1"/>
  <c r="AR31" i="1" s="1"/>
  <c r="G53" i="6"/>
  <c r="G128" i="6"/>
  <c r="J96" i="6"/>
  <c r="P96" i="6" s="1"/>
  <c r="CF31" i="1"/>
  <c r="GO65" i="1"/>
  <c r="GM67" i="1"/>
  <c r="T69" i="6"/>
  <c r="K74" i="6" s="1"/>
  <c r="J77" i="6" s="1"/>
  <c r="P77" i="6" s="1"/>
  <c r="G31" i="6"/>
  <c r="CE31" i="1"/>
  <c r="CE26" i="1" s="1"/>
  <c r="GM65" i="1"/>
  <c r="CA74" i="1" s="1"/>
  <c r="AC26" i="1"/>
  <c r="F50" i="1"/>
  <c r="AU26" i="1"/>
  <c r="AU104" i="1"/>
  <c r="AQ63" i="1"/>
  <c r="F84" i="1"/>
  <c r="W74" i="1"/>
  <c r="AJ63" i="1"/>
  <c r="AZ63" i="1"/>
  <c r="F85" i="1"/>
  <c r="W26" i="1"/>
  <c r="F55" i="1"/>
  <c r="AK74" i="1"/>
  <c r="O74" i="1"/>
  <c r="AB63" i="1"/>
  <c r="GM69" i="1"/>
  <c r="GN69" i="1"/>
  <c r="CG26" i="1"/>
  <c r="AX31" i="1"/>
  <c r="GM72" i="1"/>
  <c r="GN72" i="1"/>
  <c r="BA63" i="1"/>
  <c r="F94" i="1"/>
  <c r="T63" i="1"/>
  <c r="F95" i="1"/>
  <c r="T104" i="1"/>
  <c r="AK26" i="1"/>
  <c r="X31" i="1"/>
  <c r="S26" i="1"/>
  <c r="S104" i="1"/>
  <c r="F46" i="1"/>
  <c r="U63" i="1"/>
  <c r="F96" i="1"/>
  <c r="AC63" i="1"/>
  <c r="CH74" i="1"/>
  <c r="CE74" i="1"/>
  <c r="CF74" i="1"/>
  <c r="P74" i="1"/>
  <c r="F58" i="1"/>
  <c r="Y26" i="1"/>
  <c r="F41" i="1"/>
  <c r="AQ26" i="1"/>
  <c r="AQ104" i="1"/>
  <c r="BD18" i="1"/>
  <c r="F161" i="1"/>
  <c r="V26" i="1"/>
  <c r="F54" i="1"/>
  <c r="V104" i="1"/>
  <c r="F86" i="1"/>
  <c r="Q63" i="1"/>
  <c r="V63" i="1"/>
  <c r="F97" i="1"/>
  <c r="GN66" i="1"/>
  <c r="GM66" i="1"/>
  <c r="AY31" i="1"/>
  <c r="CH26" i="1"/>
  <c r="GN67" i="1"/>
  <c r="BA22" i="1"/>
  <c r="BA136" i="1"/>
  <c r="F124" i="1"/>
  <c r="CC74" i="1"/>
  <c r="AL74" i="1"/>
  <c r="F113" i="1"/>
  <c r="G16" i="2" s="1"/>
  <c r="G18" i="2" s="1"/>
  <c r="AP22" i="1"/>
  <c r="AP136" i="1"/>
  <c r="AB26" i="1"/>
  <c r="O31" i="1"/>
  <c r="U104" i="1"/>
  <c r="AZ26" i="1"/>
  <c r="F42" i="1"/>
  <c r="AZ104" i="1"/>
  <c r="S63" i="1"/>
  <c r="F89" i="1"/>
  <c r="CF26" i="1"/>
  <c r="AW31" i="1"/>
  <c r="AE63" i="1"/>
  <c r="R74" i="1"/>
  <c r="CG63" i="1"/>
  <c r="AX74" i="1"/>
  <c r="CB31" i="1"/>
  <c r="AO22" i="1"/>
  <c r="F108" i="1"/>
  <c r="AO136" i="1"/>
  <c r="J128" i="6" l="1"/>
  <c r="J124" i="6"/>
  <c r="F152" i="1"/>
  <c r="BC18" i="1"/>
  <c r="AV31" i="1"/>
  <c r="Q26" i="1"/>
  <c r="F43" i="1"/>
  <c r="Q104" i="1"/>
  <c r="CB74" i="1"/>
  <c r="CB63" i="1" s="1"/>
  <c r="F34" i="1"/>
  <c r="P104" i="1"/>
  <c r="P22" i="1" s="1"/>
  <c r="CA26" i="1"/>
  <c r="AQ22" i="1"/>
  <c r="F114" i="1"/>
  <c r="AQ136" i="1"/>
  <c r="O63" i="1"/>
  <c r="F76" i="1"/>
  <c r="W63" i="1"/>
  <c r="F98" i="1"/>
  <c r="F33" i="1"/>
  <c r="O26" i="1"/>
  <c r="O104" i="1"/>
  <c r="AK63" i="1"/>
  <c r="X74" i="1"/>
  <c r="F36" i="1"/>
  <c r="AV26" i="1"/>
  <c r="AP18" i="1"/>
  <c r="F145" i="1"/>
  <c r="I32" i="6" s="1"/>
  <c r="AX26" i="1"/>
  <c r="F38" i="1"/>
  <c r="AX104" i="1"/>
  <c r="CA63" i="1"/>
  <c r="AR74" i="1"/>
  <c r="AR104" i="1" s="1"/>
  <c r="AW26" i="1"/>
  <c r="F37" i="1"/>
  <c r="CH63" i="1"/>
  <c r="AY74" i="1"/>
  <c r="AY104" i="1" s="1"/>
  <c r="AS31" i="1"/>
  <c r="CB26" i="1"/>
  <c r="T22" i="1"/>
  <c r="F125" i="1"/>
  <c r="T136" i="1"/>
  <c r="AR26" i="1"/>
  <c r="F59" i="1"/>
  <c r="AZ22" i="1"/>
  <c r="AZ136" i="1"/>
  <c r="F115" i="1"/>
  <c r="AU22" i="1"/>
  <c r="AU136" i="1"/>
  <c r="F123" i="1"/>
  <c r="H16" i="2" s="1"/>
  <c r="H18" i="2" s="1"/>
  <c r="U22" i="1"/>
  <c r="F126" i="1"/>
  <c r="J141" i="6" s="1"/>
  <c r="U136" i="1"/>
  <c r="CE63" i="1"/>
  <c r="AV74" i="1"/>
  <c r="AV104" i="1" s="1"/>
  <c r="BA18" i="1"/>
  <c r="F156" i="1"/>
  <c r="V22" i="1"/>
  <c r="V136" i="1"/>
  <c r="F127" i="1"/>
  <c r="J142" i="6" s="1"/>
  <c r="P63" i="1"/>
  <c r="F77" i="1"/>
  <c r="S22" i="1"/>
  <c r="F119" i="1"/>
  <c r="J138" i="6" s="1"/>
  <c r="S136" i="1"/>
  <c r="X26" i="1"/>
  <c r="F57" i="1"/>
  <c r="X104" i="1"/>
  <c r="AO18" i="1"/>
  <c r="F140" i="1"/>
  <c r="W104" i="1"/>
  <c r="F81" i="1"/>
  <c r="AX63" i="1"/>
  <c r="AY26" i="1"/>
  <c r="F39" i="1"/>
  <c r="AL63" i="1"/>
  <c r="Y74" i="1"/>
  <c r="R63" i="1"/>
  <c r="F88" i="1"/>
  <c r="R104" i="1"/>
  <c r="CC63" i="1"/>
  <c r="AT74" i="1"/>
  <c r="CF63" i="1"/>
  <c r="AW74" i="1"/>
  <c r="AS74" i="1" l="1"/>
  <c r="Q22" i="1"/>
  <c r="F116" i="1"/>
  <c r="J136" i="6" s="1"/>
  <c r="Q136" i="1"/>
  <c r="P136" i="1"/>
  <c r="F107" i="1"/>
  <c r="J132" i="6" s="1"/>
  <c r="AV22" i="1"/>
  <c r="AV136" i="1"/>
  <c r="F109" i="1"/>
  <c r="J133" i="6" s="1"/>
  <c r="AR22" i="1"/>
  <c r="F132" i="1"/>
  <c r="J145" i="6" s="1"/>
  <c r="AR136" i="1"/>
  <c r="P18" i="1"/>
  <c r="F139" i="1"/>
  <c r="AZ18" i="1"/>
  <c r="F147" i="1"/>
  <c r="AX22" i="1"/>
  <c r="F111" i="1"/>
  <c r="AX136" i="1"/>
  <c r="AY22" i="1"/>
  <c r="AY136" i="1"/>
  <c r="F112" i="1"/>
  <c r="J135" i="6" s="1"/>
  <c r="R22" i="1"/>
  <c r="F118" i="1"/>
  <c r="J137" i="6" s="1"/>
  <c r="R136" i="1"/>
  <c r="V18" i="1"/>
  <c r="F159" i="1"/>
  <c r="X22" i="1"/>
  <c r="X136" i="1"/>
  <c r="F130" i="1"/>
  <c r="J143" i="6" s="1"/>
  <c r="U18" i="1"/>
  <c r="F158" i="1"/>
  <c r="I34" i="6" s="1"/>
  <c r="G34" i="6" s="1"/>
  <c r="AS26" i="1"/>
  <c r="F48" i="1"/>
  <c r="AS104" i="1"/>
  <c r="X63" i="1"/>
  <c r="F100" i="1"/>
  <c r="AW63" i="1"/>
  <c r="F80" i="1"/>
  <c r="W22" i="1"/>
  <c r="F128" i="1"/>
  <c r="W136" i="1"/>
  <c r="F82" i="1"/>
  <c r="AY63" i="1"/>
  <c r="AU18" i="1"/>
  <c r="F155" i="1"/>
  <c r="I33" i="6" s="1"/>
  <c r="AV63" i="1"/>
  <c r="F79" i="1"/>
  <c r="T18" i="1"/>
  <c r="F157" i="1"/>
  <c r="F102" i="1"/>
  <c r="AR63" i="1"/>
  <c r="S18" i="1"/>
  <c r="F151" i="1"/>
  <c r="AQ18" i="1"/>
  <c r="F146" i="1"/>
  <c r="F101" i="1"/>
  <c r="Y63" i="1"/>
  <c r="Y104" i="1"/>
  <c r="AS63" i="1"/>
  <c r="F91" i="1"/>
  <c r="O22" i="1"/>
  <c r="F106" i="1"/>
  <c r="J131" i="6" s="1"/>
  <c r="O136" i="1"/>
  <c r="AT63" i="1"/>
  <c r="F92" i="1"/>
  <c r="AT104" i="1"/>
  <c r="AW104" i="1"/>
  <c r="Q18" i="1" l="1"/>
  <c r="F148" i="1"/>
  <c r="J16" i="2"/>
  <c r="J18" i="2" s="1"/>
  <c r="AY18" i="1"/>
  <c r="F144" i="1"/>
  <c r="AW22" i="1"/>
  <c r="AW136" i="1"/>
  <c r="F110" i="1"/>
  <c r="J134" i="6" s="1"/>
  <c r="AX18" i="1"/>
  <c r="F143" i="1"/>
  <c r="X18" i="1"/>
  <c r="F162" i="1"/>
  <c r="Y22" i="1"/>
  <c r="Y136" i="1"/>
  <c r="F131" i="1"/>
  <c r="J144" i="6" s="1"/>
  <c r="AS22" i="1"/>
  <c r="F121" i="1"/>
  <c r="AS136" i="1"/>
  <c r="AR18" i="1"/>
  <c r="F164" i="1"/>
  <c r="F165" i="1" s="1"/>
  <c r="F166" i="1" s="1"/>
  <c r="W18" i="1"/>
  <c r="F160" i="1"/>
  <c r="F133" i="1"/>
  <c r="J146" i="6" s="1"/>
  <c r="F134" i="1"/>
  <c r="J147" i="6" s="1"/>
  <c r="I29" i="6" s="1"/>
  <c r="O18" i="1"/>
  <c r="F138" i="1"/>
  <c r="R18" i="1"/>
  <c r="F150" i="1"/>
  <c r="I35" i="6" s="1"/>
  <c r="AV18" i="1"/>
  <c r="F141" i="1"/>
  <c r="AT22" i="1"/>
  <c r="F122" i="1"/>
  <c r="AT136" i="1"/>
  <c r="E16" i="2" l="1"/>
  <c r="J139" i="6"/>
  <c r="F16" i="2"/>
  <c r="F18" i="2" s="1"/>
  <c r="J140" i="6"/>
  <c r="AT18" i="1"/>
  <c r="F154" i="1"/>
  <c r="I31" i="6" s="1"/>
  <c r="AS18" i="1"/>
  <c r="F153" i="1"/>
  <c r="I30" i="6" s="1"/>
  <c r="AW18" i="1"/>
  <c r="F142" i="1"/>
  <c r="Y18" i="1"/>
  <c r="F163" i="1"/>
  <c r="E18" i="2"/>
  <c r="I16" i="2"/>
  <c r="I18" i="2" s="1"/>
</calcChain>
</file>

<file path=xl/sharedStrings.xml><?xml version="1.0" encoding="utf-8"?>
<sst xmlns="http://schemas.openxmlformats.org/spreadsheetml/2006/main" count="2396" uniqueCount="403">
  <si>
    <t>Smeta.RU  (495) 974-1589</t>
  </si>
  <si>
    <t>_PS_</t>
  </si>
  <si>
    <t>Smeta.RU</t>
  </si>
  <si>
    <t/>
  </si>
  <si>
    <t>АО "Невьянский цементник"</t>
  </si>
  <si>
    <t>1,</t>
  </si>
  <si>
    <t>Усиление плит перекрытия и очистка кровли от технологических отложений здания  сырьевых мельниц, лит.13 на АО «Невьянский цементник».</t>
  </si>
  <si>
    <t>Ведомость объемов работ</t>
  </si>
  <si>
    <t>Соломонова Н.В.</t>
  </si>
  <si>
    <t>Сметные нормы списания</t>
  </si>
  <si>
    <t>Коды ценников</t>
  </si>
  <si>
    <t>ФЕР-2020 И9</t>
  </si>
  <si>
    <t>Версия 1.7.0 ГСН (ГЭСН, ФЕР) и ТЕР (Методики НР (812/пр, 636/пр, 611/пр) и СП (774/пр и 317/пр) применять с 08.01.2023 г.)</t>
  </si>
  <si>
    <t>ФЕР-2020 - изменения И9</t>
  </si>
  <si>
    <t>Поправки для ГСН (ФЕР) 2020 от 11.09.2022 г И9 (в ред. 557/пр) Капитальный ремонт производственных зданий</t>
  </si>
  <si>
    <t>ГСН</t>
  </si>
  <si>
    <t>№1</t>
  </si>
  <si>
    <t>Новый раздел</t>
  </si>
  <si>
    <t>Очистка кровли от технологических отложений на отм. + 42,150</t>
  </si>
  <si>
    <t>1</t>
  </si>
  <si>
    <t>Договорная цена</t>
  </si>
  <si>
    <t>Очистка кровли от гидратированного цемента, в т.ч.: перемещение материала на нулевую отметку, погрузка и перевозка материала на расстояние до 5 км</t>
  </si>
  <si>
    <t>т</t>
  </si>
  <si>
    <t>Материалы строительные</t>
  </si>
  <si>
    <t>Материалы, изделия и конструкции</t>
  </si>
  <si>
    <t>материалы (03)</t>
  </si>
  <si>
    <t>[1 813 /  8.38]</t>
  </si>
  <si>
    <t>0</t>
  </si>
  <si>
    <t>2</t>
  </si>
  <si>
    <t>Монтаж и демонтаж  мусоропровода</t>
  </si>
  <si>
    <t>м.п.</t>
  </si>
  <si>
    <t>[1 612.5 / 1.2 /  8.38]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</si>
  <si>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</si>
  <si>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</si>
  <si>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</si>
  <si>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</si>
  <si>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</si>
  <si>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</si>
  <si>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</si>
  <si>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</si>
  <si>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</si>
  <si>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</si>
  <si>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</si>
  <si>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</si>
  <si>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</si>
  <si>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</si>
  <si>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</si>
  <si>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</si>
  <si>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</si>
  <si>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</si>
  <si>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</si>
  <si>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</si>
  <si>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</si>
  <si>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</si>
  <si>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</si>
  <si>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</si>
  <si>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</si>
  <si>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</si>
  <si>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</si>
  <si>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</si>
  <si>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</si>
  <si>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</si>
  <si>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</si>
  <si>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</si>
  <si>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</si>
  <si>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</si>
  <si>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</si>
  <si>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</si>
  <si>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</si>
  <si>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</si>
  <si>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</si>
  <si>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</si>
  <si>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</si>
  <si>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</si>
  <si>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</si>
  <si>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</si>
  <si>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</si>
  <si>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</si>
  <si>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</si>
  <si>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</si>
  <si>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</si>
  <si>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</si>
  <si>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</si>
  <si>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</si>
  <si>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</si>
  <si>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</si>
  <si>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Усиление плит перекрытия</t>
  </si>
  <si>
    <t>3</t>
  </si>
  <si>
    <t>м38-01-002-03</t>
  </si>
  <si>
    <t>Монорельсы, балки и другие аналогичные конструкции промышленных зданий, сборка с помощью: лебедок электрических (с установкой и снятием их в процессе работы)/прим.изготовление балок, материал поставка Заказчика</t>
  </si>
  <si>
    <t>ФЕРм-2001, м38-01-002-03, приказ Минстроя России № 876/пр от 26.12.2019</t>
  </si>
  <si>
    <t>Монтажные работы</t>
  </si>
  <si>
    <t>Изготовление технологических металлических конструкций в условиях производственных баз</t>
  </si>
  <si>
    <t>ФЕРм-38</t>
  </si>
  <si>
    <t>Пр/812-080.0-1</t>
  </si>
  <si>
    <t>Пр/774-080.0</t>
  </si>
  <si>
    <t>4</t>
  </si>
  <si>
    <t>поставка Заказчика</t>
  </si>
  <si>
    <t>Металлопрокат</t>
  </si>
  <si>
    <t>5</t>
  </si>
  <si>
    <t>09-03-002-13</t>
  </si>
  <si>
    <t>Монтаж балок, ригелей перекрытия, покрытия и под установку оборудования многоэтажных зданий при высоте здания: до 50 м</t>
  </si>
  <si>
    <t>ФЕР-2001, 09-03-002-13, приказ Минстроя России № 876/пр от 26.12.2019</t>
  </si>
  <si>
    <t>)*1,25)*1,15</t>
  </si>
  <si>
    <t>)*1,15)*1,15</t>
  </si>
  <si>
    <t>)*0,85</t>
  </si>
  <si>
    <t>Общестроительные работы</t>
  </si>
  <si>
    <t>Строительные металлические конструкции</t>
  </si>
  <si>
    <t>ФЕР-09</t>
  </si>
  <si>
    <t>Поправка: М-ка 421/пр 04.08.20 п.58 п.п. б)  Поправка: МР 519/пр Прил.2, Табл.3, п. 3</t>
  </si>
  <si>
    <t>Пр/812-009.0-1</t>
  </si>
  <si>
    <t>Пр/774-009.0</t>
  </si>
  <si>
    <t>6</t>
  </si>
  <si>
    <t>м40-01-002-24</t>
  </si>
  <si>
    <t>Вертикальное перемещение свыше 25 м, добавлять на каждые следующие 5 м (перемещение с 33 до 42 м.)</t>
  </si>
  <si>
    <t>10 т</t>
  </si>
  <si>
    <t>ФЕРм-2001, м40-01-002-24, приказ Минстроя России № 876/пр от 26.12.2019</t>
  </si>
  <si>
    <t>*2</t>
  </si>
  <si>
    <t>*2)*1,15</t>
  </si>
  <si>
    <t>Дополнительное перемещение оборудования и материальных ресурсов, сверх предусмотренного государственными элементными сметными нормами на монтаж оборудования</t>
  </si>
  <si>
    <t>мФЕР-40</t>
  </si>
  <si>
    <t>Поправка: МР 519/пр Прил.2, Табл.3, п. 3</t>
  </si>
  <si>
    <t>Пр/812-082.0-1</t>
  </si>
  <si>
    <t>Пр/774-082.0</t>
  </si>
  <si>
    <t>7</t>
  </si>
  <si>
    <t>13-03-002-04</t>
  </si>
  <si>
    <t>Огрунтовка металлических поверхностей за один раз: грунтовкой ГФ-021</t>
  </si>
  <si>
    <t>100 м2</t>
  </si>
  <si>
    <t>ФЕР-2001, 13-03-002-04, приказ Минстроя России № 876/пр от 26.12.2019</t>
  </si>
  <si>
    <t>Защита строительных конструкций и оборудования от коррозии</t>
  </si>
  <si>
    <t>Защита строительных конструкций</t>
  </si>
  <si>
    <t>ФЕР-13</t>
  </si>
  <si>
    <t>Пр/812-013.0-1</t>
  </si>
  <si>
    <t>Пр/774-013.0</t>
  </si>
  <si>
    <t>8</t>
  </si>
  <si>
    <t>13-03-004-26</t>
  </si>
  <si>
    <t>Окраска металлических огрунтованных поверхностей: эмалью ПФ-115</t>
  </si>
  <si>
    <t>ФЕР-2001, 13-03-004-26, приказ Минстроя России № 876/пр от 26.12.2019</t>
  </si>
  <si>
    <t>9</t>
  </si>
  <si>
    <t>08-07-002-01</t>
  </si>
  <si>
    <t>Установка и разборка внутренних трубчатых инвентарных лесов: при высоте помещений до 6 м/прим.вышка тура</t>
  </si>
  <si>
    <t>100 м2 горизонтальной проекции</t>
  </si>
  <si>
    <t>ФЕР-2001, 08-07-002-01, приказ Минстроя России № 876/пр от 26.12.2019</t>
  </si>
  <si>
    <t>*0</t>
  </si>
  <si>
    <t>Конструкции из кирпича и блоков</t>
  </si>
  <si>
    <t>ФЕР-08</t>
  </si>
  <si>
    <t>Пр/812-008.0-1</t>
  </si>
  <si>
    <t>Пр/774-008.0</t>
  </si>
  <si>
    <t>10</t>
  </si>
  <si>
    <t>08-07-001-04</t>
  </si>
  <si>
    <t>На каждые последующие 4 м высоты наружных инвентарных лесов добавлять: к расценкам 08-07-001-01, 08-07-001-02/ прим.вышка-тура</t>
  </si>
  <si>
    <t>ФЕР-2001, 08-07-001-04, приказ Минстроя России № 876/пр от 26.12.2019</t>
  </si>
  <si>
    <t>н</t>
  </si>
  <si>
    <t>НДС 20%</t>
  </si>
  <si>
    <t>в</t>
  </si>
  <si>
    <t>Всего с НДС</t>
  </si>
  <si>
    <t>в с н</t>
  </si>
  <si>
    <t>Всего с НДС 20%</t>
  </si>
  <si>
    <t>НДС</t>
  </si>
  <si>
    <t>Новая переменная</t>
  </si>
  <si>
    <t>Переменная</t>
  </si>
  <si>
    <t>Переменная1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</si>
  <si>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</si>
  <si>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</si>
  <si>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</si>
  <si>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</si>
  <si>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</si>
  <si>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</si>
  <si>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</si>
  <si>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</si>
  <si>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</si>
  <si>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</si>
  <si>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</si>
  <si>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</si>
  <si>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</si>
  <si>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</si>
  <si>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</si>
  <si>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</si>
  <si>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</si>
  <si>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</si>
  <si>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</si>
  <si>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</si>
  <si>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</si>
  <si>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</si>
  <si>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</si>
  <si>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</si>
  <si>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</si>
  <si>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</si>
  <si>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</si>
  <si>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</si>
  <si>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</si>
  <si>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</si>
  <si>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</si>
  <si>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</si>
  <si>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</si>
  <si>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</si>
  <si>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авитранспорта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</si>
  <si>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</si>
  <si>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</si>
  <si>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</si>
  <si>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</si>
  <si>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</si>
  <si>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</si>
  <si>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</si>
  <si>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</si>
  <si>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</si>
  <si>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</si>
  <si>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</si>
  <si>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</si>
  <si>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</si>
  <si>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</si>
  <si>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</si>
  <si>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</si>
  <si>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</si>
  <si>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</si>
  <si>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</si>
  <si>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</si>
  <si>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</si>
  <si>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</si>
  <si>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</si>
  <si>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</si>
  <si>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</si>
  <si>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</si>
  <si>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</si>
  <si>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</si>
  <si>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</si>
  <si>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Индексы за итогом</t>
  </si>
  <si>
    <t>_OBSM_</t>
  </si>
  <si>
    <t>1-100-40</t>
  </si>
  <si>
    <t>Затраты труда рабочих (Средний разряд - 4)</t>
  </si>
  <si>
    <t>чел.-ч.</t>
  </si>
  <si>
    <t>4-100-00</t>
  </si>
  <si>
    <t>Затраты труда машинистов</t>
  </si>
  <si>
    <t>91.05.05-015</t>
  </si>
  <si>
    <t>ФСЭМ-2001, 91.05.05-015 , приказ Минстроя России № 876/пр от 26.12.2019</t>
  </si>
  <si>
    <t>Краны на автомобильном ходу, грузоподъемность 16 т</t>
  </si>
  <si>
    <t>маш.-ч.</t>
  </si>
  <si>
    <t>91.06.03-056</t>
  </si>
  <si>
    <t>ФСЭМ-2001, 91.06.03-056 , приказ Минстроя России № 876/пр от 26.12.2019</t>
  </si>
  <si>
    <t>Лебедки электрические тяговым усилием 78,48 кН (8 т)</t>
  </si>
  <si>
    <t>91.14.02-002</t>
  </si>
  <si>
    <t>ФСЭМ-2001, 91.14.02-002 , приказ Минстроя России № 876/пр от 26.12.2019</t>
  </si>
  <si>
    <t>Автомобили бортовые, грузоподъемность до 8 т</t>
  </si>
  <si>
    <t>91.17.04-042</t>
  </si>
  <si>
    <t>ФСЭМ-2001, 91.17.04-042 , приказ Минстроя России № 876/пр от 26.12.2019</t>
  </si>
  <si>
    <t>Аппараты для газовой сварки и резки</t>
  </si>
  <si>
    <t>91.17.04-233</t>
  </si>
  <si>
    <t>ФСЭМ-2001, 91.17.04-233 , приказ Минстроя России № 876/пр от 26.12.2019</t>
  </si>
  <si>
    <t>Установки для сварки ручной дуговой (постоянного тока)</t>
  </si>
  <si>
    <t>91.21.19-031</t>
  </si>
  <si>
    <t>ФСЭМ-2001, 91.21.19-031 , приказ Минстроя России № 876/пр от 26.12.2019</t>
  </si>
  <si>
    <t>Станки сверлильные</t>
  </si>
  <si>
    <t>01.3.02.08-0001</t>
  </si>
  <si>
    <t>ФССЦ-2001, 01.3.02.08-0001, приказ Минстроя России № 876/пр от 26.12.2019</t>
  </si>
  <si>
    <t>Кислород газообразный технический</t>
  </si>
  <si>
    <t>м3</t>
  </si>
  <si>
    <t>01.3.02.09-0022</t>
  </si>
  <si>
    <t>ФССЦ-2001, 01.3.02.09-0022, приказ Минстроя России № 876/пр от 26.12.2019</t>
  </si>
  <si>
    <t>Пропан-бутан смесь техническая</t>
  </si>
  <si>
    <t>кг</t>
  </si>
  <si>
    <t>01.7.11.07-0044</t>
  </si>
  <si>
    <t>ФССЦ-2001, 01.7.11.07-0044, приказ Минстроя России № 876/пр от 26.12.2019</t>
  </si>
  <si>
    <t>Электроды сварочные Э42, диаметр 5 мм</t>
  </si>
  <si>
    <t>999-9950</t>
  </si>
  <si>
    <t>Вспомогательные ненормируемые материалы (2% от ОЗП)</t>
  </si>
  <si>
    <t>РУБ</t>
  </si>
  <si>
    <t>1-100-42</t>
  </si>
  <si>
    <t>Затраты труда рабочих (Средний разряд - 4,2)</t>
  </si>
  <si>
    <t>91.05.01-025</t>
  </si>
  <si>
    <t>ФСЭМ-2001, 91.05.01-025 , приказ Минстроя России № 876/пр от 26.12.2019</t>
  </si>
  <si>
    <t>Краны башенные, грузоподъемность 25-75 т</t>
  </si>
  <si>
    <t>91.05.02-005</t>
  </si>
  <si>
    <t>ФСЭМ-2001, 91.05.02-005 , приказ Минстроя России № 876/пр от 26.12.2019</t>
  </si>
  <si>
    <t>Краны козловые, грузоподъемность 32 т</t>
  </si>
  <si>
    <t>91.14.02-001</t>
  </si>
  <si>
    <t>ФСЭМ-2001, 91.14.02-001 , приказ Минстроя России № 876/пр от 26.12.2019</t>
  </si>
  <si>
    <t>Автомобили бортовые, грузоподъемность до 5 т</t>
  </si>
  <si>
    <t>91.17.04-171</t>
  </si>
  <si>
    <t>ФСЭМ-2001, 91.17.04-171 , приказ Минстроя России № 876/пр от 26.12.2019</t>
  </si>
  <si>
    <t>Преобразователи сварочные номинальным сварочным током 315-500 А</t>
  </si>
  <si>
    <t>01.7.11.07-0032</t>
  </si>
  <si>
    <t>ФССЦ-2001, 01.7.11.07-0032, приказ Минстроя России № 876/пр от 26.12.2019</t>
  </si>
  <si>
    <t>Электроды сварочные Э42, диаметр 4 мм</t>
  </si>
  <si>
    <t>01.7.15.03-0042</t>
  </si>
  <si>
    <t>ФССЦ-2001, 01.7.15.03-0042, приказ Минстроя России № 876/пр от 26.12.2019</t>
  </si>
  <si>
    <t>Болты с гайками и шайбами строительные</t>
  </si>
  <si>
    <t>01.7.15.06-0111</t>
  </si>
  <si>
    <t>ФССЦ-2001, 01.7.15.06-0111, приказ Минстроя России № 876/пр от 26.12.2019</t>
  </si>
  <si>
    <t>Гвозди строительные</t>
  </si>
  <si>
    <t>01.7.20.08-0071</t>
  </si>
  <si>
    <t>ФССЦ-2001, 01.7.20.08-0071, приказ Минстроя России № 876/пр от 26.12.2019</t>
  </si>
  <si>
    <t>Канат пеньковый пропитанный</t>
  </si>
  <si>
    <t>07.2.07.12</t>
  </si>
  <si>
    <t>Конструкции стальные</t>
  </si>
  <si>
    <t>07.2.07.12-0020</t>
  </si>
  <si>
    <t>ФССЦ-2001, 07.2.07.12-0020, приказ Минстроя России № 876/пр от 26.12.2019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</si>
  <si>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</si>
  <si>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08.2.02.11-0007</t>
  </si>
  <si>
    <t>ФССЦ-2001, 08.2.02.11-0007, приказ Минстроя России № 876/пр от 26.12.2019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</si>
  <si>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</si>
  <si>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</si>
  <si>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</si>
  <si>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ФССЦ-2001, 08.3.03.06-0002, приказ Минстроя России № 876/пр от 26.12.2019</t>
  </si>
  <si>
    <t>Проволока горячекатаная в мотках, диаметр 6,3-6,5 мм</t>
  </si>
  <si>
    <t>08.3.11.01-0091</t>
  </si>
  <si>
    <t>ФССЦ-2001, 08.3.11.01-0091, приказ Минстроя России № 876/пр от 26.12.2019</t>
  </si>
  <si>
    <t>Швеллеры № 40, марка стали Ст0</t>
  </si>
  <si>
    <t>11.1.03.01-0077</t>
  </si>
  <si>
    <t>ФССЦ-2001, 11.1.03.01-0077, приказ Минстроя России № 876/пр от 26.12.2019</t>
  </si>
  <si>
    <t>Бруски обрезные, хвойных пород, длина 4-6,5 м, ширина 75-150 мм, толщина 40-75 мм, сорт I</t>
  </si>
  <si>
    <t>14.4.01.01-0003</t>
  </si>
  <si>
    <t>ФССЦ-2001, 14.4.01.01-0003, приказ Минстроя России № 876/пр от 26.12.2019</t>
  </si>
  <si>
    <t>Грунтовка ГФ-021</t>
  </si>
  <si>
    <t>14.5.09.07-0030</t>
  </si>
  <si>
    <t>ФССЦ-2001, 14.5.09.07-0030, приказ Минстроя России № 876/пр от 26.12.2019</t>
  </si>
  <si>
    <t>Растворитель Р-4</t>
  </si>
  <si>
    <t>1-100-31</t>
  </si>
  <si>
    <t>Затраты труда рабочих (Средний разряд - 3,1)</t>
  </si>
  <si>
    <t>91.05.06-012</t>
  </si>
  <si>
    <t>ФСЭМ-2001, 91.05.06-012 , приказ Минстроя России № 876/пр от 26.12.2019</t>
  </si>
  <si>
    <t>Краны на гусеничном ходу, грузоподъемность до 16 т</t>
  </si>
  <si>
    <t>1-100-47</t>
  </si>
  <si>
    <t>Затраты труда рабочих (Средний разряд - 4,7)</t>
  </si>
  <si>
    <t>91.06.03-060</t>
  </si>
  <si>
    <t>ФСЭМ-2001, 91.06.03-060 , приказ Минстроя России № 876/пр от 26.12.2019</t>
  </si>
  <si>
    <t>Лебедки электрические тяговым усилием до 5,79 кН (0,59 т)</t>
  </si>
  <si>
    <t>91.06.05-011</t>
  </si>
  <si>
    <t>ФСЭМ-2001, 91.06.05-011 , приказ Минстроя России № 876/пр от 26.12.2019</t>
  </si>
  <si>
    <t>Погрузчики, грузоподъемность 5 т</t>
  </si>
  <si>
    <t>91.21.01-012</t>
  </si>
  <si>
    <t>ФСЭМ-2001, 91.21.01-012 , приказ Минстроя России № 876/пр от 26.12.2019</t>
  </si>
  <si>
    <t>Агрегаты окрасочные высокого давления для окраски поверхностей конструкций, мощность 1 кВт</t>
  </si>
  <si>
    <t>14.5.09.02-0002</t>
  </si>
  <si>
    <t>ФССЦ-2001, 14.5.09.02-0002, приказ Минстроя России № 876/пр от 26.12.2019</t>
  </si>
  <si>
    <t>Ксилол нефтяной, марка А</t>
  </si>
  <si>
    <t>1-100-35</t>
  </si>
  <si>
    <t>Затраты труда рабочих (Средний разряд - 3,5)</t>
  </si>
  <si>
    <t>14.4.04.08-0003</t>
  </si>
  <si>
    <t>ФССЦ-2001, 14.4.04.08-0003, приказ Минстроя России № 876/пр от 26.12.2019</t>
  </si>
  <si>
    <t>Эмаль ПФ-115, серая</t>
  </si>
  <si>
    <t>14.5.09.11-0102</t>
  </si>
  <si>
    <t>ФССЦ-2001, 14.5.09.11-0102, приказ Минстроя России № 876/пр от 26.12.2019</t>
  </si>
  <si>
    <t>Уайт-спирит</t>
  </si>
  <si>
    <t>01.7.16.02-0001</t>
  </si>
  <si>
    <t>ФССЦ-2001, 01.7.16.02-0001, приказ Минстроя России № 876/пр от 26.12.2019</t>
  </si>
  <si>
    <t>Детали деревянные лесов из пиломатериалов хвойных пород</t>
  </si>
  <si>
    <t>01.7.16.02-0003</t>
  </si>
  <si>
    <t>ФССЦ-2001, 01.7.16.02-0003, приказ Минстроя России № 876/пр от 26.12.2019</t>
  </si>
  <si>
    <t>Детали стальных трубчатых лесов, укомплектованные пробками, крючками и хомутами, окрашенные</t>
  </si>
  <si>
    <t>11.2.13.06-0011</t>
  </si>
  <si>
    <t>ФССЦ-2001, 11.2.13.06-0011, приказ Минстроя России № 876/пр от 26.12.2019</t>
  </si>
  <si>
    <t>Щиты настила, все толщины</t>
  </si>
  <si>
    <t>м2</t>
  </si>
  <si>
    <t>ГОСУДАРСТВЕННЫЕ СМЕТНЫЕ НОРМАТИВЫ (ФЕР-2020), утвержденные приказами Минстроя России от 26 декабря 2019 г.   № 876/пр (в редакции приказов Минстроя РФ от 30 марта 2020 г. № 172/пр, от 1 июня 2020 г. № 294/пр, от 30 июня 2020 г. № 352/пр,   от 20 октября 2020 г. № 636/пр, от 9 февраля 2021 г. № 51/пр, от 24 мая 2021 г. № 321/пр, от 24 июня 2021 г. № 408/пр,  от 14 октября 2021 № 746/пр, от 20 декабря 2021 № 962/пр)</t>
  </si>
  <si>
    <t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МР 519/пр Прил.2, Табл.3, п. 3  Наименование: 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 разветвленной сети транспортных и инженерных коммуникаций; стесненных условий для складирования материалов; действующего технологического оборудования</t>
  </si>
  <si>
    <t>Поправка: МР 519/пр Прил.2, Табл.3, п. 3  Наименование: 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 разветвленной сети транспортных и инженерных коммуникаций; стесненных условий для складирования материалов; действующего технологического оборудования</t>
  </si>
  <si>
    <t>"_____"________________ 2024 г.</t>
  </si>
  <si>
    <t>(наименование стройки)</t>
  </si>
  <si>
    <t>(наименование работ и затрат, наименование объекта)</t>
  </si>
  <si>
    <t>текущая цена</t>
  </si>
  <si>
    <t>Сметная стоимость</t>
  </si>
  <si>
    <t>тыс. руб.</t>
  </si>
  <si>
    <t xml:space="preserve">     Строительные работы</t>
  </si>
  <si>
    <t xml:space="preserve">     Монтажные работы</t>
  </si>
  <si>
    <t xml:space="preserve">     Оборудование</t>
  </si>
  <si>
    <t xml:space="preserve">     Прочие работы</t>
  </si>
  <si>
    <t>Нормативная трудоемкость</t>
  </si>
  <si>
    <t>чел. -ч.</t>
  </si>
  <si>
    <t>Средства на оплату труда</t>
  </si>
  <si>
    <t>Строительный объем:</t>
  </si>
  <si>
    <t>Стоимость ед.стр.объема:</t>
  </si>
  <si>
    <t>№ п/п</t>
  </si>
  <si>
    <t>Шифр расценки и коды ресурсов</t>
  </si>
  <si>
    <t>Наименование работ и затрат</t>
  </si>
  <si>
    <t>Ед. изм.</t>
  </si>
  <si>
    <t>Кол-во единиц</t>
  </si>
  <si>
    <t>Цена на ед. изм.</t>
  </si>
  <si>
    <t>Попра-вочные коэфф.</t>
  </si>
  <si>
    <t>Стоимость в ценах 2001г.</t>
  </si>
  <si>
    <t>Пункт коэфф. пересчета</t>
  </si>
  <si>
    <t>Коэфф. пересчета</t>
  </si>
  <si>
    <t>Стоимость в текущих ценах</t>
  </si>
  <si>
    <t>ЗТР всего чел.-час</t>
  </si>
  <si>
    <t>Составлена в ценах II квартал 2024 года</t>
  </si>
  <si>
    <r>
      <t>Очистка кровли от гидратированного цемента, в т.ч.: перемещение материала на нулевую отметку, погрузка и перевозка материала на расстояние до 5 км</t>
    </r>
    <r>
      <rPr>
        <i/>
        <sz val="10"/>
        <rFont val="Arial"/>
        <family val="2"/>
        <charset val="204"/>
      </rPr>
      <t xml:space="preserve">
216.35 = [1 813 /  8.38]</t>
    </r>
  </si>
  <si>
    <r>
      <t>Монтаж и демонтаж  мусоропровода</t>
    </r>
    <r>
      <rPr>
        <i/>
        <sz val="10"/>
        <rFont val="Arial"/>
        <family val="2"/>
        <charset val="204"/>
      </rPr>
      <t xml:space="preserve">
160.35 = [1 612.5 / 1.2 /  8.38]</t>
    </r>
  </si>
  <si>
    <t>Зарплата</t>
  </si>
  <si>
    <t>в т.ч. зарплата машинистов</t>
  </si>
  <si>
    <t>Материальные ресурсы</t>
  </si>
  <si>
    <t>НР от ФОТ</t>
  </si>
  <si>
    <t>%</t>
  </si>
  <si>
    <t>СП от ФОТ</t>
  </si>
  <si>
    <t>Затраты труда</t>
  </si>
  <si>
    <t>чел-ч</t>
  </si>
  <si>
    <t xml:space="preserve">   </t>
  </si>
  <si>
    <t xml:space="preserve">Объемы согласовал  </t>
  </si>
  <si>
    <t>[должность,подпись(инициалы,фамилия)]</t>
  </si>
  <si>
    <t xml:space="preserve">Составил  </t>
  </si>
  <si>
    <t xml:space="preserve">Проверил  </t>
  </si>
  <si>
    <t xml:space="preserve">Генеральный директор </t>
  </si>
  <si>
    <t>ООО ""</t>
  </si>
  <si>
    <t>к Техническому заданию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</si>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</sst>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#,##0.00############;[Red]\-\ #,##0.00############"/>
  </numFmts>
  <fonts count="20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0" fontId="11" fillId="0" borderId="0" xfId="0" applyFont="1" applyBorder="1"/>
    <xf numFmtId="0" fontId="11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4" fontId="0" fillId="0" borderId="0" xfId="0" applyNumberFormat="1"/>
    <xf numFmtId="0" fontId="11" fillId="0" borderId="2" xfId="0" applyFont="1" applyBorder="1"/>
    <xf numFmtId="0" fontId="9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0" fontId="14" fillId="0" borderId="0" xfId="0" applyFont="1"/>
    <xf numFmtId="0" fontId="11" fillId="0" borderId="0" xfId="0" applyFont="1" applyAlignment="1">
      <alignment horizontal="left" wrapText="1"/>
    </xf>
    <xf numFmtId="0" fontId="17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164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164" fontId="19" fillId="0" borderId="0" xfId="0" applyNumberFormat="1" applyFont="1" applyAlignment="1">
      <alignment horizontal="right"/>
    </xf>
    <xf numFmtId="0" fontId="17" fillId="0" borderId="0" xfId="0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9" fillId="0" borderId="0" xfId="0" applyFont="1" applyAlignment="1">
      <alignment horizontal="right" wrapText="1"/>
    </xf>
    <xf numFmtId="164" fontId="10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left"/>
    </xf>
    <xf numFmtId="0" fontId="15" fillId="0" borderId="2" xfId="0" applyFont="1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/>
    </xf>
    <xf numFmtId="0" fontId="11" fillId="0" borderId="0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/>
    <xf numFmtId="0" fontId="14" fillId="0" borderId="0" xfId="0" applyFont="1" applyAlignment="1">
      <alignment horizontal="right"/>
    </xf>
    <xf numFmtId="0" fontId="11" fillId="0" borderId="2" xfId="0" applyFont="1" applyBorder="1" applyAlignment="1">
      <alignment horizontal="left"/>
    </xf>
    <xf numFmtId="164" fontId="14" fillId="0" borderId="1" xfId="0" applyNumberFormat="1" applyFont="1" applyBorder="1" applyAlignment="1">
      <alignment horizontal="right"/>
    </xf>
    <xf numFmtId="16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top"/>
    </xf>
    <xf numFmtId="165" fontId="11" fillId="0" borderId="0" xfId="0" applyNumberFormat="1" applyFont="1" applyAlignment="1">
      <alignment horizontal="right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57"/>
  <sheetViews>
    <sheetView tabSelected="1" zoomScaleNormal="100" workbookViewId="0">
      <selection activeCell="N15" sqref="N15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9.7109375" customWidth="1"/>
    <col min="15" max="29" width="0" hidden="1" customWidth="1"/>
    <col min="30" max="30" width="147.7109375" hidden="1" customWidth="1"/>
    <col min="31" max="31" width="0" hidden="1" customWidth="1"/>
    <col min="32" max="32" width="91.7109375" hidden="1" customWidth="1"/>
    <col min="33" max="36" width="0" hidden="1" customWidth="1"/>
  </cols>
  <sheetData>
    <row r="1" spans="1:12" x14ac:dyDescent="0.2">
      <c r="A1" s="9" t="str">
        <f>Source!B1</f>
        <v>Smeta.RU  (495) 974-1589</v>
      </c>
      <c r="J1" s="77" t="s">
        <v>402</v>
      </c>
      <c r="K1" s="78"/>
      <c r="L1" s="78"/>
    </row>
    <row r="2" spans="1:12" x14ac:dyDescent="0.2">
      <c r="A2" s="9"/>
      <c r="J2" s="77" t="s">
        <v>401</v>
      </c>
      <c r="K2" s="78"/>
      <c r="L2" s="78"/>
    </row>
    <row r="3" spans="1:12" x14ac:dyDescent="0.2">
      <c r="A3" s="9"/>
    </row>
    <row r="4" spans="1:12" x14ac:dyDescent="0.2">
      <c r="A4" s="9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</row>
    <row r="6" spans="1:12" ht="16.5" x14ac:dyDescent="0.25">
      <c r="A6" s="12"/>
      <c r="B6" s="76" t="s">
        <v>399</v>
      </c>
      <c r="C6" s="76"/>
      <c r="D6" s="76"/>
      <c r="E6" s="76"/>
      <c r="F6" s="11"/>
      <c r="G6" s="11"/>
      <c r="H6" s="76" t="s">
        <v>399</v>
      </c>
      <c r="I6" s="76"/>
      <c r="J6" s="76"/>
      <c r="K6" s="76"/>
      <c r="L6" s="76"/>
    </row>
    <row r="7" spans="1:12" ht="14.25" x14ac:dyDescent="0.2">
      <c r="A7" s="11"/>
      <c r="B7" s="55" t="s">
        <v>4</v>
      </c>
      <c r="C7" s="55"/>
      <c r="D7" s="55"/>
      <c r="E7" s="55"/>
      <c r="F7" s="11"/>
      <c r="G7" s="11"/>
      <c r="H7" s="55" t="s">
        <v>400</v>
      </c>
      <c r="I7" s="55"/>
      <c r="J7" s="55"/>
      <c r="K7" s="55"/>
      <c r="L7" s="55"/>
    </row>
    <row r="8" spans="1:12" ht="14.25" x14ac:dyDescent="0.2">
      <c r="A8" s="13"/>
      <c r="B8" s="13"/>
      <c r="C8" s="14"/>
      <c r="D8" s="14"/>
      <c r="E8" s="14"/>
      <c r="F8" s="11"/>
      <c r="G8" s="11"/>
      <c r="H8" s="15"/>
      <c r="I8" s="14"/>
      <c r="J8" s="14"/>
      <c r="K8" s="14"/>
      <c r="L8" s="15"/>
    </row>
    <row r="9" spans="1:12" ht="14.25" x14ac:dyDescent="0.2">
      <c r="A9" s="15"/>
      <c r="B9" s="55" t="str">
        <f>CONCATENATE("______________________ ", IF(Source!AL12&lt;&gt;"", Source!AL12, ""))</f>
        <v xml:space="preserve">______________________ </v>
      </c>
      <c r="C9" s="55"/>
      <c r="D9" s="55"/>
      <c r="E9" s="55"/>
      <c r="F9" s="11"/>
      <c r="G9" s="11"/>
      <c r="H9" s="55" t="str">
        <f>CONCATENATE("______________________ ", IF(Source!AH12&lt;&gt;"", Source!AH12, ""))</f>
        <v xml:space="preserve">______________________ </v>
      </c>
      <c r="I9" s="55"/>
      <c r="J9" s="55"/>
      <c r="K9" s="55"/>
      <c r="L9" s="55"/>
    </row>
    <row r="10" spans="1:12" ht="14.25" x14ac:dyDescent="0.2">
      <c r="A10" s="16"/>
      <c r="B10" s="62" t="s">
        <v>356</v>
      </c>
      <c r="C10" s="62"/>
      <c r="D10" s="62"/>
      <c r="E10" s="62"/>
      <c r="F10" s="11"/>
      <c r="G10" s="11"/>
      <c r="H10" s="62" t="s">
        <v>356</v>
      </c>
      <c r="I10" s="62"/>
      <c r="J10" s="62"/>
      <c r="K10" s="62"/>
      <c r="L10" s="62"/>
    </row>
    <row r="13" spans="1:12" ht="15.75" x14ac:dyDescent="0.25">
      <c r="A13" s="16"/>
      <c r="B13" s="56" t="s">
        <v>4</v>
      </c>
      <c r="C13" s="56"/>
      <c r="D13" s="56"/>
      <c r="E13" s="56"/>
      <c r="F13" s="56"/>
      <c r="G13" s="56"/>
      <c r="H13" s="56"/>
      <c r="I13" s="56"/>
      <c r="J13" s="56"/>
      <c r="K13" s="56"/>
      <c r="L13" s="16"/>
    </row>
    <row r="14" spans="1:12" ht="14.25" x14ac:dyDescent="0.2">
      <c r="A14" s="17"/>
      <c r="B14" s="63" t="s">
        <v>357</v>
      </c>
      <c r="C14" s="63"/>
      <c r="D14" s="63"/>
      <c r="E14" s="63"/>
      <c r="F14" s="63"/>
      <c r="G14" s="63"/>
      <c r="H14" s="63"/>
      <c r="I14" s="63"/>
      <c r="J14" s="63"/>
      <c r="K14" s="63"/>
      <c r="L14" s="16"/>
    </row>
    <row r="15" spans="1:12" ht="14.25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4.25" x14ac:dyDescent="0.2">
      <c r="A16" s="11"/>
      <c r="B16" s="11"/>
      <c r="C16" s="11"/>
      <c r="D16" s="11"/>
      <c r="E16" s="11"/>
      <c r="F16" s="64"/>
      <c r="G16" s="64"/>
      <c r="H16" s="60"/>
      <c r="I16" s="60"/>
      <c r="J16" s="60"/>
      <c r="K16" s="60"/>
      <c r="L16" s="18"/>
    </row>
    <row r="17" spans="1:30" ht="14.25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30" ht="15.75" x14ac:dyDescent="0.25">
      <c r="A18" s="19"/>
      <c r="B18" s="56" t="str">
        <f>CONCATENATE( "ЛОКАЛЬНАЯ СМЕТА № ",IF(Source!F12&lt;&gt;"Новый объект", Source!F12, ""))</f>
        <v>ЛОКАЛЬНАЯ СМЕТА № 1</v>
      </c>
      <c r="C18" s="56"/>
      <c r="D18" s="56"/>
      <c r="E18" s="56"/>
      <c r="F18" s="56"/>
      <c r="G18" s="56"/>
      <c r="H18" s="56"/>
      <c r="I18" s="56"/>
      <c r="J18" s="56"/>
      <c r="K18" s="56"/>
      <c r="L18" s="19"/>
    </row>
    <row r="19" spans="1:30" ht="15.75" x14ac:dyDescent="0.25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19"/>
    </row>
    <row r="20" spans="1:30" ht="18" hidden="1" x14ac:dyDescent="0.25">
      <c r="A20" s="19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19"/>
    </row>
    <row r="21" spans="1:30" ht="14.25" hidden="1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30" ht="36" x14ac:dyDescent="0.25">
      <c r="A22" s="11"/>
      <c r="B22" s="58" t="str">
        <f>IF(Source!G12&lt;&gt;"Новый объект", Source!G12, "")</f>
        <v>Усиление плит перекрытия и очистка кровли от технологических отложений здания  сырьевых мельниц, лит.13 на АО «Невьянский цементник».</v>
      </c>
      <c r="C22" s="58"/>
      <c r="D22" s="58"/>
      <c r="E22" s="58"/>
      <c r="F22" s="58"/>
      <c r="G22" s="58"/>
      <c r="H22" s="58"/>
      <c r="I22" s="58"/>
      <c r="J22" s="58"/>
      <c r="K22" s="58"/>
      <c r="L22" s="21"/>
      <c r="AD22" s="53" t="str">
        <f>IF(Source!G12&lt;&gt;"Новый объект", Source!G12, "")</f>
        <v>Усиление плит перекрытия и очистка кровли от технологических отложений здания  сырьевых мельниц, лит.13 на АО «Невьянский цементник».</v>
      </c>
    </row>
    <row r="23" spans="1:30" ht="14.25" x14ac:dyDescent="0.2">
      <c r="A23" s="11"/>
      <c r="B23" s="59" t="s">
        <v>358</v>
      </c>
      <c r="C23" s="59"/>
      <c r="D23" s="59"/>
      <c r="E23" s="59"/>
      <c r="F23" s="59"/>
      <c r="G23" s="59"/>
      <c r="H23" s="59"/>
      <c r="I23" s="59"/>
      <c r="J23" s="59"/>
      <c r="K23" s="59"/>
      <c r="L23" s="16"/>
    </row>
    <row r="24" spans="1:30" ht="14.2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30" ht="14.25" x14ac:dyDescent="0.2">
      <c r="A25" s="60" t="str">
        <f>CONCATENATE("Основание: ", Source!J12)</f>
        <v>Основание: Ведомость объемов работ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</row>
    <row r="26" spans="1:30" ht="14.2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30" ht="14.2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30" ht="14.25" x14ac:dyDescent="0.2">
      <c r="A28" s="11"/>
      <c r="B28" s="11"/>
      <c r="C28" s="11"/>
      <c r="D28" s="11"/>
      <c r="E28" s="22"/>
      <c r="F28" s="22"/>
      <c r="G28" s="61"/>
      <c r="H28" s="61"/>
      <c r="I28" s="61" t="s">
        <v>359</v>
      </c>
      <c r="J28" s="61"/>
      <c r="K28" s="11"/>
      <c r="L28" s="11"/>
    </row>
    <row r="29" spans="1:30" ht="15" x14ac:dyDescent="0.25">
      <c r="A29" s="11"/>
      <c r="B29" s="11"/>
      <c r="C29" s="68" t="s">
        <v>360</v>
      </c>
      <c r="D29" s="68"/>
      <c r="E29" s="68"/>
      <c r="F29" s="68"/>
      <c r="G29" s="66"/>
      <c r="H29" s="66"/>
      <c r="I29" s="66">
        <f>J147/1000</f>
        <v>208.27417000000003</v>
      </c>
      <c r="J29" s="66"/>
      <c r="K29" s="67" t="s">
        <v>361</v>
      </c>
      <c r="L29" s="67"/>
    </row>
    <row r="30" spans="1:30" ht="14.25" hidden="1" x14ac:dyDescent="0.2">
      <c r="A30" s="11"/>
      <c r="B30" s="11"/>
      <c r="C30" s="65" t="s">
        <v>362</v>
      </c>
      <c r="D30" s="65"/>
      <c r="E30" s="65"/>
      <c r="F30" s="65"/>
      <c r="G30" s="66">
        <f>ROUND(SUM(W1:W148)/1000, 2)</f>
        <v>12.2</v>
      </c>
      <c r="H30" s="66"/>
      <c r="I30" s="66">
        <f>ROUND((Source!F153)/1000, 2)</f>
        <v>140.94999999999999</v>
      </c>
      <c r="J30" s="66"/>
      <c r="K30" s="67" t="s">
        <v>361</v>
      </c>
      <c r="L30" s="67"/>
    </row>
    <row r="31" spans="1:30" ht="14.25" hidden="1" x14ac:dyDescent="0.2">
      <c r="A31" s="11"/>
      <c r="B31" s="11"/>
      <c r="C31" s="65" t="s">
        <v>363</v>
      </c>
      <c r="D31" s="65"/>
      <c r="E31" s="65"/>
      <c r="F31" s="65"/>
      <c r="G31" s="66">
        <f>ROUND(SUM(X1:X148)/1000, 2)</f>
        <v>0.95</v>
      </c>
      <c r="H31" s="66"/>
      <c r="I31" s="66">
        <f>ROUND((Source!F154)/1000, 2)</f>
        <v>32.61</v>
      </c>
      <c r="J31" s="66"/>
      <c r="K31" s="67" t="s">
        <v>361</v>
      </c>
      <c r="L31" s="67"/>
    </row>
    <row r="32" spans="1:30" ht="14.25" hidden="1" x14ac:dyDescent="0.2">
      <c r="A32" s="11"/>
      <c r="B32" s="11"/>
      <c r="C32" s="65" t="s">
        <v>364</v>
      </c>
      <c r="D32" s="65"/>
      <c r="E32" s="65"/>
      <c r="F32" s="65"/>
      <c r="G32" s="66">
        <f>ROUND(SUM(Y1:Y148)/1000, 2)</f>
        <v>0</v>
      </c>
      <c r="H32" s="66"/>
      <c r="I32" s="66">
        <f>ROUND((Source!F145)/1000, 2)</f>
        <v>0</v>
      </c>
      <c r="J32" s="66"/>
      <c r="K32" s="67" t="s">
        <v>361</v>
      </c>
      <c r="L32" s="67"/>
    </row>
    <row r="33" spans="1:22" ht="14.25" hidden="1" x14ac:dyDescent="0.2">
      <c r="A33" s="11"/>
      <c r="B33" s="11"/>
      <c r="C33" s="65" t="s">
        <v>365</v>
      </c>
      <c r="D33" s="65"/>
      <c r="E33" s="65"/>
      <c r="F33" s="65"/>
      <c r="G33" s="66">
        <f>ROUND(SUM(Z1:Z148)/1000, 2)</f>
        <v>0</v>
      </c>
      <c r="H33" s="66"/>
      <c r="I33" s="66">
        <f>ROUND((Source!F155+Source!F156)/1000, 2)</f>
        <v>0</v>
      </c>
      <c r="J33" s="66"/>
      <c r="K33" s="67" t="s">
        <v>361</v>
      </c>
      <c r="L33" s="67"/>
    </row>
    <row r="34" spans="1:22" ht="15" hidden="1" x14ac:dyDescent="0.25">
      <c r="A34" s="11"/>
      <c r="B34" s="11"/>
      <c r="C34" s="68" t="s">
        <v>366</v>
      </c>
      <c r="D34" s="68"/>
      <c r="E34" s="68"/>
      <c r="F34" s="68"/>
      <c r="G34" s="66">
        <f>I34</f>
        <v>76.535329000000004</v>
      </c>
      <c r="H34" s="66"/>
      <c r="I34" s="66">
        <f>(Source!F158+Source!F159)</f>
        <v>76.535329000000004</v>
      </c>
      <c r="J34" s="66"/>
      <c r="K34" s="67" t="s">
        <v>367</v>
      </c>
      <c r="L34" s="67"/>
    </row>
    <row r="35" spans="1:22" ht="15" hidden="1" x14ac:dyDescent="0.25">
      <c r="A35" s="11"/>
      <c r="B35" s="11"/>
      <c r="C35" s="68" t="s">
        <v>368</v>
      </c>
      <c r="D35" s="68"/>
      <c r="E35" s="68"/>
      <c r="F35" s="68"/>
      <c r="G35" s="66">
        <f>ROUND(SUM(R1:R148)/1000, 2)</f>
        <v>0.75</v>
      </c>
      <c r="H35" s="66"/>
      <c r="I35" s="66">
        <f>(Source!F151+ Source!F150)/1000</f>
        <v>31.552329999999998</v>
      </c>
      <c r="J35" s="66"/>
      <c r="K35" s="67" t="s">
        <v>361</v>
      </c>
      <c r="L35" s="67"/>
    </row>
    <row r="36" spans="1:22" ht="14.25" hidden="1" x14ac:dyDescent="0.2">
      <c r="A36" s="11"/>
      <c r="B36" s="11"/>
      <c r="C36" s="65" t="s">
        <v>71</v>
      </c>
      <c r="D36" s="65"/>
      <c r="E36" s="65"/>
      <c r="F36" s="65"/>
      <c r="G36" s="66"/>
      <c r="H36" s="66"/>
      <c r="I36" s="66"/>
      <c r="J36" s="66"/>
      <c r="K36" s="23" t="s">
        <v>361</v>
      </c>
      <c r="L36" s="11"/>
    </row>
    <row r="37" spans="1:22" ht="15" x14ac:dyDescent="0.25">
      <c r="A37" s="11"/>
      <c r="B37" s="11"/>
      <c r="C37" s="24"/>
      <c r="D37" s="24"/>
      <c r="E37" s="24"/>
      <c r="F37" s="15"/>
      <c r="G37" s="25"/>
      <c r="H37" s="25"/>
      <c r="I37" s="25"/>
      <c r="J37" s="25"/>
      <c r="K37" s="25"/>
      <c r="L37" s="25"/>
    </row>
    <row r="38" spans="1:22" ht="15" hidden="1" x14ac:dyDescent="0.2">
      <c r="A38" s="15" t="s">
        <v>369</v>
      </c>
      <c r="B38" s="11"/>
      <c r="C38" s="11"/>
      <c r="D38" s="13"/>
      <c r="E38" s="11"/>
      <c r="F38" s="11"/>
      <c r="G38" s="26"/>
      <c r="H38" s="26"/>
      <c r="I38" s="27"/>
      <c r="J38" s="26"/>
      <c r="K38" s="26"/>
      <c r="L38" s="26"/>
    </row>
    <row r="39" spans="1:22" ht="15" hidden="1" x14ac:dyDescent="0.2">
      <c r="A39" s="15" t="s">
        <v>370</v>
      </c>
      <c r="B39" s="11"/>
      <c r="C39" s="11"/>
      <c r="D39" s="13"/>
      <c r="E39" s="11"/>
      <c r="F39" s="11"/>
      <c r="G39" s="26"/>
      <c r="H39" s="26"/>
      <c r="I39" s="27"/>
      <c r="J39" s="26"/>
      <c r="K39" s="26"/>
      <c r="L39" s="26"/>
    </row>
    <row r="40" spans="1:22" ht="15" hidden="1" x14ac:dyDescent="0.2">
      <c r="A40" s="11"/>
      <c r="B40" s="11"/>
      <c r="C40" s="10"/>
      <c r="D40" s="10"/>
      <c r="E40" s="10"/>
      <c r="F40" s="10"/>
      <c r="G40" s="26"/>
      <c r="H40" s="26"/>
      <c r="I40" s="27"/>
      <c r="J40" s="26"/>
      <c r="K40" s="26"/>
      <c r="L40" s="26"/>
    </row>
    <row r="41" spans="1:22" ht="14.25" x14ac:dyDescent="0.2">
      <c r="A41" s="69" t="s">
        <v>383</v>
      </c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</row>
    <row r="42" spans="1:22" ht="57" x14ac:dyDescent="0.2">
      <c r="A42" s="28" t="s">
        <v>371</v>
      </c>
      <c r="B42" s="28" t="s">
        <v>372</v>
      </c>
      <c r="C42" s="28" t="s">
        <v>373</v>
      </c>
      <c r="D42" s="28" t="s">
        <v>374</v>
      </c>
      <c r="E42" s="28" t="s">
        <v>375</v>
      </c>
      <c r="F42" s="28" t="s">
        <v>376</v>
      </c>
      <c r="G42" s="28" t="s">
        <v>377</v>
      </c>
      <c r="H42" s="28" t="s">
        <v>378</v>
      </c>
      <c r="I42" s="28" t="s">
        <v>379</v>
      </c>
      <c r="J42" s="28" t="s">
        <v>380</v>
      </c>
      <c r="K42" s="28" t="s">
        <v>381</v>
      </c>
      <c r="L42" s="28" t="s">
        <v>382</v>
      </c>
    </row>
    <row r="43" spans="1:22" ht="14.25" x14ac:dyDescent="0.2">
      <c r="A43" s="29">
        <v>1</v>
      </c>
      <c r="B43" s="29">
        <v>2</v>
      </c>
      <c r="C43" s="29">
        <v>3</v>
      </c>
      <c r="D43" s="29">
        <v>4</v>
      </c>
      <c r="E43" s="29">
        <v>5</v>
      </c>
      <c r="F43" s="29">
        <v>6</v>
      </c>
      <c r="G43" s="29">
        <v>7</v>
      </c>
      <c r="H43" s="29">
        <v>8</v>
      </c>
      <c r="I43" s="29">
        <v>9</v>
      </c>
      <c r="J43" s="29">
        <v>10</v>
      </c>
      <c r="K43" s="29">
        <v>11</v>
      </c>
      <c r="L43" s="30">
        <v>12</v>
      </c>
    </row>
    <row r="44" spans="1:22" hidden="1" x14ac:dyDescent="0.2"/>
    <row r="45" spans="1:22" ht="16.5" hidden="1" x14ac:dyDescent="0.25">
      <c r="A45" s="73" t="str">
        <f>CONCATENATE("Локальная смета: ",IF(Source!G20&lt;&gt;"Новая локальная смета", Source!G20, ""))</f>
        <v xml:space="preserve">Локальная смета: 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</row>
    <row r="46" spans="1:22" hidden="1" x14ac:dyDescent="0.2"/>
    <row r="47" spans="1:22" ht="16.5" x14ac:dyDescent="0.25">
      <c r="A47" s="73" t="str">
        <f>CONCATENATE("Раздел: ",IF(Source!G24&lt;&gt;"Новый раздел", Source!G24, ""))</f>
        <v>Раздел: Очистка кровли от технологических отложений на отм. + 42,150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</row>
    <row r="48" spans="1:22" ht="84" x14ac:dyDescent="0.2">
      <c r="A48" s="50">
        <v>1</v>
      </c>
      <c r="B48" s="50" t="str">
        <f>Source!F28</f>
        <v>Договорная цена</v>
      </c>
      <c r="C48" s="50" t="s">
        <v>384</v>
      </c>
      <c r="D48" s="37" t="str">
        <f>Source!H28</f>
        <v>т</v>
      </c>
      <c r="E48" s="38">
        <f>Source!I28</f>
        <v>18</v>
      </c>
      <c r="F48" s="39">
        <f>Source!AL28</f>
        <v>216.35</v>
      </c>
      <c r="G48" s="40" t="str">
        <f>Source!DD28</f>
        <v/>
      </c>
      <c r="H48" s="39">
        <f>ROUND(Source!AC28*Source!I28, 2)</f>
        <v>3894.3</v>
      </c>
      <c r="I48" s="40" t="str">
        <f>Source!BO28</f>
        <v/>
      </c>
      <c r="J48" s="40">
        <f>IF(Source!BC28&lt;&gt; 0, Source!BC28, 1)</f>
        <v>8.3800000000000008</v>
      </c>
      <c r="K48" s="39">
        <f>Source!P28</f>
        <v>32634.23</v>
      </c>
      <c r="L48" s="41"/>
      <c r="S48">
        <f>ROUND((Source!FX28/100)*((ROUND(Source!AF28*Source!I28, 2)+ROUND(Source!AE28*Source!I28, 2))), 2)</f>
        <v>0</v>
      </c>
      <c r="T48">
        <f>Source!X28</f>
        <v>0</v>
      </c>
      <c r="U48">
        <f>ROUND((Source!FY28/100)*((ROUND(Source!AF28*Source!I28, 2)+ROUND(Source!AE28*Source!I28, 2))), 2)</f>
        <v>0</v>
      </c>
      <c r="V48">
        <f>Source!Y28</f>
        <v>0</v>
      </c>
    </row>
    <row r="49" spans="1:32" ht="15" x14ac:dyDescent="0.25">
      <c r="G49" s="70">
        <f>H48</f>
        <v>3894.3</v>
      </c>
      <c r="H49" s="70"/>
      <c r="J49" s="70">
        <f>K48</f>
        <v>32634.23</v>
      </c>
      <c r="K49" s="70"/>
      <c r="L49" s="42">
        <f>Source!U28</f>
        <v>0</v>
      </c>
      <c r="O49" s="31">
        <f>G49</f>
        <v>3894.3</v>
      </c>
      <c r="P49" s="31">
        <f>J49</f>
        <v>32634.23</v>
      </c>
      <c r="Q49" s="31">
        <f>L49</f>
        <v>0</v>
      </c>
      <c r="W49">
        <f>IF(Source!BI28&lt;=1,H48, 0)</f>
        <v>3894.3</v>
      </c>
      <c r="X49">
        <f>IF(Source!BI28=2,H48, 0)</f>
        <v>0</v>
      </c>
      <c r="Y49">
        <f>IF(Source!BI28=3,H48, 0)</f>
        <v>0</v>
      </c>
      <c r="Z49">
        <f>IF(Source!BI28=4,H48, 0)</f>
        <v>0</v>
      </c>
    </row>
    <row r="50" spans="1:32" ht="28.5" x14ac:dyDescent="0.2">
      <c r="A50" s="50">
        <v>2</v>
      </c>
      <c r="B50" s="50" t="str">
        <f>Source!F29</f>
        <v>Договорная цена</v>
      </c>
      <c r="C50" s="50" t="s">
        <v>385</v>
      </c>
      <c r="D50" s="37" t="str">
        <f>Source!H29</f>
        <v>м.п.</v>
      </c>
      <c r="E50" s="38">
        <f>Source!I29</f>
        <v>40</v>
      </c>
      <c r="F50" s="39">
        <f>Source!AL29</f>
        <v>160.35</v>
      </c>
      <c r="G50" s="40" t="str">
        <f>Source!DD29</f>
        <v/>
      </c>
      <c r="H50" s="39">
        <f>ROUND(Source!AC29*Source!I29, 2)</f>
        <v>6414</v>
      </c>
      <c r="I50" s="40" t="str">
        <f>Source!BO29</f>
        <v/>
      </c>
      <c r="J50" s="40">
        <f>IF(Source!BC29&lt;&gt; 0, Source!BC29, 1)</f>
        <v>8.3800000000000008</v>
      </c>
      <c r="K50" s="39">
        <f>Source!P29</f>
        <v>53749.32</v>
      </c>
      <c r="L50" s="41"/>
      <c r="S50">
        <f>ROUND((Source!FX29/100)*((ROUND(Source!AF29*Source!I29, 2)+ROUND(Source!AE29*Source!I29, 2))), 2)</f>
        <v>0</v>
      </c>
      <c r="T50">
        <f>Source!X29</f>
        <v>0</v>
      </c>
      <c r="U50">
        <f>ROUND((Source!FY29/100)*((ROUND(Source!AF29*Source!I29, 2)+ROUND(Source!AE29*Source!I29, 2))), 2)</f>
        <v>0</v>
      </c>
      <c r="V50">
        <f>Source!Y29</f>
        <v>0</v>
      </c>
    </row>
    <row r="51" spans="1:32" ht="15" x14ac:dyDescent="0.25">
      <c r="G51" s="70">
        <f>H50</f>
        <v>6414</v>
      </c>
      <c r="H51" s="70"/>
      <c r="J51" s="70">
        <f>K50</f>
        <v>53749.32</v>
      </c>
      <c r="K51" s="70"/>
      <c r="L51" s="42">
        <f>Source!U29</f>
        <v>0</v>
      </c>
      <c r="O51" s="31">
        <f>G51</f>
        <v>6414</v>
      </c>
      <c r="P51" s="31">
        <f>J51</f>
        <v>53749.32</v>
      </c>
      <c r="Q51" s="31">
        <f>L51</f>
        <v>0</v>
      </c>
      <c r="W51">
        <f>IF(Source!BI29&lt;=1,H50, 0)</f>
        <v>6414</v>
      </c>
      <c r="X51">
        <f>IF(Source!BI29=2,H50, 0)</f>
        <v>0</v>
      </c>
      <c r="Y51">
        <f>IF(Source!BI29=3,H50, 0)</f>
        <v>0</v>
      </c>
      <c r="Z51">
        <f>IF(Source!BI29=4,H50, 0)</f>
        <v>0</v>
      </c>
    </row>
    <row r="53" spans="1:32" ht="15" x14ac:dyDescent="0.25">
      <c r="A53" s="72" t="str">
        <f>CONCATENATE("Итого по разделу: ",IF(Source!G31&lt;&gt;"Новый раздел", Source!G31, ""))</f>
        <v>Итого по разделу: Очистка кровли от технологических отложений на отм. + 42,150</v>
      </c>
      <c r="B53" s="72"/>
      <c r="C53" s="72"/>
      <c r="D53" s="72"/>
      <c r="E53" s="72"/>
      <c r="F53" s="72"/>
      <c r="G53" s="71">
        <f>SUM(O47:O52)</f>
        <v>10308.299999999999</v>
      </c>
      <c r="H53" s="71"/>
      <c r="I53" s="35"/>
      <c r="J53" s="71">
        <f>SUM(P47:P52)</f>
        <v>86383.55</v>
      </c>
      <c r="K53" s="71"/>
      <c r="L53" s="42">
        <f>SUM(Q47:Q52)</f>
        <v>0</v>
      </c>
      <c r="AF53" s="54" t="str">
        <f>CONCATENATE("Итого по разделу: ",IF(Source!G31&lt;&gt;"Новый раздел", Source!G31, ""))</f>
        <v>Итого по разделу: Очистка кровли от технологических отложений на отм. + 42,150</v>
      </c>
    </row>
    <row r="57" spans="1:32" ht="16.5" x14ac:dyDescent="0.25">
      <c r="A57" s="73" t="str">
        <f>CONCATENATE("Раздел: ",IF(Source!G61&lt;&gt;"Новый раздел", Source!G61, ""))</f>
        <v>Раздел: Усиление плит перекрытия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</row>
    <row r="58" spans="1:32" ht="99.75" x14ac:dyDescent="0.2">
      <c r="A58" s="51">
        <v>3</v>
      </c>
      <c r="B58" s="51" t="str">
        <f>Source!F65</f>
        <v>м38-01-002-03</v>
      </c>
      <c r="C58" s="51" t="str">
        <f>Source!G65</f>
        <v>Монорельсы, балки и другие аналогичные конструкции промышленных зданий, сборка с помощью: лебедок электрических (с установкой и снятием их в процессе работы)/прим.изготовление балок, материал поставка Заказчика</v>
      </c>
      <c r="D58" s="43" t="str">
        <f>Source!H65</f>
        <v>т</v>
      </c>
      <c r="E58" s="10">
        <f>Source!I65</f>
        <v>0.9</v>
      </c>
      <c r="F58" s="44">
        <f>Source!AL65+Source!AM65+Source!AO65</f>
        <v>539.04</v>
      </c>
      <c r="G58" s="45"/>
      <c r="H58" s="44"/>
      <c r="I58" s="45" t="str">
        <f>Source!BO65</f>
        <v/>
      </c>
      <c r="J58" s="45"/>
      <c r="K58" s="44"/>
      <c r="L58" s="46"/>
      <c r="S58">
        <f>ROUND((Source!FX65/100)*((ROUND(Source!AF65*Source!I65, 2)+ROUND(Source!AE65*Source!I65, 2))), 2)</f>
        <v>243.25</v>
      </c>
      <c r="T58">
        <f>Source!X65</f>
        <v>10279.790000000001</v>
      </c>
      <c r="U58">
        <f>ROUND((Source!FY65/100)*((ROUND(Source!AF65*Source!I65, 2)+ROUND(Source!AE65*Source!I65, 2))), 2)</f>
        <v>121.63</v>
      </c>
      <c r="V58">
        <f>Source!Y65</f>
        <v>5139.8999999999996</v>
      </c>
    </row>
    <row r="59" spans="1:32" ht="14.25" x14ac:dyDescent="0.2">
      <c r="A59" s="51"/>
      <c r="B59" s="51"/>
      <c r="C59" s="51" t="s">
        <v>386</v>
      </c>
      <c r="D59" s="43"/>
      <c r="E59" s="10"/>
      <c r="F59" s="44">
        <f>Source!AO65</f>
        <v>267.44</v>
      </c>
      <c r="G59" s="45" t="str">
        <f>Source!DG65</f>
        <v/>
      </c>
      <c r="H59" s="44">
        <f>ROUND(Source!AF65*Source!I65, 2)</f>
        <v>240.7</v>
      </c>
      <c r="I59" s="45"/>
      <c r="J59" s="45">
        <f>IF(Source!BA65&lt;&gt; 0, Source!BA65, 1)</f>
        <v>42.26</v>
      </c>
      <c r="K59" s="44">
        <f>Source!S65</f>
        <v>10171.81</v>
      </c>
      <c r="L59" s="46"/>
      <c r="R59">
        <f>H59</f>
        <v>240.7</v>
      </c>
    </row>
    <row r="60" spans="1:32" ht="14.25" x14ac:dyDescent="0.2">
      <c r="A60" s="51"/>
      <c r="B60" s="51"/>
      <c r="C60" s="51" t="s">
        <v>53</v>
      </c>
      <c r="D60" s="43"/>
      <c r="E60" s="10"/>
      <c r="F60" s="44">
        <f>Source!AM65</f>
        <v>230.05</v>
      </c>
      <c r="G60" s="45" t="str">
        <f>Source!DE65</f>
        <v/>
      </c>
      <c r="H60" s="44">
        <f>ROUND((((Source!ET65)-(Source!EU65))+Source!AE65)*Source!I65, 2)</f>
        <v>207.05</v>
      </c>
      <c r="I60" s="45"/>
      <c r="J60" s="45">
        <f>IF(Source!BB65&lt;&gt; 0, Source!BB65, 1)</f>
        <v>13.15</v>
      </c>
      <c r="K60" s="44">
        <f>Source!Q65</f>
        <v>2722.64</v>
      </c>
      <c r="L60" s="46"/>
    </row>
    <row r="61" spans="1:32" ht="14.25" x14ac:dyDescent="0.2">
      <c r="A61" s="51"/>
      <c r="B61" s="51"/>
      <c r="C61" s="51" t="s">
        <v>387</v>
      </c>
      <c r="D61" s="43"/>
      <c r="E61" s="10"/>
      <c r="F61" s="44">
        <f>Source!AN65</f>
        <v>32.869999999999997</v>
      </c>
      <c r="G61" s="45" t="str">
        <f>Source!DF65</f>
        <v/>
      </c>
      <c r="H61" s="47">
        <f>ROUND(Source!AE65*Source!I65, 2)</f>
        <v>29.58</v>
      </c>
      <c r="I61" s="45"/>
      <c r="J61" s="45">
        <f>IF(Source!BS65&lt;&gt; 0, Source!BS65, 1)</f>
        <v>42.26</v>
      </c>
      <c r="K61" s="47">
        <f>Source!R65</f>
        <v>1250.18</v>
      </c>
      <c r="L61" s="46"/>
      <c r="R61">
        <f>H61</f>
        <v>29.58</v>
      </c>
    </row>
    <row r="62" spans="1:32" ht="14.25" x14ac:dyDescent="0.2">
      <c r="A62" s="51"/>
      <c r="B62" s="51"/>
      <c r="C62" s="51" t="s">
        <v>388</v>
      </c>
      <c r="D62" s="43"/>
      <c r="E62" s="10"/>
      <c r="F62" s="44">
        <f>Source!AL65</f>
        <v>41.55</v>
      </c>
      <c r="G62" s="45" t="str">
        <f>Source!DD65</f>
        <v/>
      </c>
      <c r="H62" s="44">
        <f>ROUND(Source!AC65*Source!I65, 2)</f>
        <v>37.4</v>
      </c>
      <c r="I62" s="45"/>
      <c r="J62" s="45">
        <f>IF(Source!BC65&lt;&gt; 0, Source!BC65, 1)</f>
        <v>8.3800000000000008</v>
      </c>
      <c r="K62" s="44">
        <f>Source!P65</f>
        <v>313.37</v>
      </c>
      <c r="L62" s="46"/>
    </row>
    <row r="63" spans="1:32" ht="14.25" x14ac:dyDescent="0.2">
      <c r="A63" s="51"/>
      <c r="B63" s="51"/>
      <c r="C63" s="51" t="s">
        <v>389</v>
      </c>
      <c r="D63" s="43" t="s">
        <v>390</v>
      </c>
      <c r="E63" s="10">
        <f>Source!BZ65</f>
        <v>90</v>
      </c>
      <c r="F63" s="52"/>
      <c r="G63" s="45"/>
      <c r="H63" s="44">
        <f>SUM(S58:S65)</f>
        <v>243.25</v>
      </c>
      <c r="I63" s="48"/>
      <c r="J63" s="36">
        <f>Source!AT65</f>
        <v>90</v>
      </c>
      <c r="K63" s="44">
        <f>SUM(T58:T65)</f>
        <v>10279.790000000001</v>
      </c>
      <c r="L63" s="46"/>
    </row>
    <row r="64" spans="1:32" ht="14.25" x14ac:dyDescent="0.2">
      <c r="A64" s="51"/>
      <c r="B64" s="51"/>
      <c r="C64" s="51" t="s">
        <v>391</v>
      </c>
      <c r="D64" s="43" t="s">
        <v>390</v>
      </c>
      <c r="E64" s="10">
        <f>Source!CA65</f>
        <v>45</v>
      </c>
      <c r="F64" s="52"/>
      <c r="G64" s="45"/>
      <c r="H64" s="44">
        <f>SUM(U58:U65)</f>
        <v>121.63</v>
      </c>
      <c r="I64" s="48"/>
      <c r="J64" s="36">
        <f>Source!AU65</f>
        <v>45</v>
      </c>
      <c r="K64" s="44">
        <f>SUM(V58:V65)</f>
        <v>5139.8999999999996</v>
      </c>
      <c r="L64" s="46"/>
    </row>
    <row r="65" spans="1:26" ht="14.25" x14ac:dyDescent="0.2">
      <c r="A65" s="50"/>
      <c r="B65" s="50"/>
      <c r="C65" s="50" t="s">
        <v>392</v>
      </c>
      <c r="D65" s="37" t="s">
        <v>393</v>
      </c>
      <c r="E65" s="38">
        <f>Source!AQ65</f>
        <v>27.8</v>
      </c>
      <c r="F65" s="39"/>
      <c r="G65" s="40" t="str">
        <f>Source!DI65</f>
        <v/>
      </c>
      <c r="H65" s="39"/>
      <c r="I65" s="40"/>
      <c r="J65" s="40"/>
      <c r="K65" s="39"/>
      <c r="L65" s="49">
        <f>Source!U65</f>
        <v>25.02</v>
      </c>
    </row>
    <row r="66" spans="1:26" ht="15" x14ac:dyDescent="0.25">
      <c r="G66" s="70">
        <f>H59+H60+H62+H63+H64</f>
        <v>850.03</v>
      </c>
      <c r="H66" s="70"/>
      <c r="J66" s="70">
        <f>K59+K60+K62+K63+K64</f>
        <v>28627.510000000002</v>
      </c>
      <c r="K66" s="70"/>
      <c r="L66" s="42">
        <f>Source!U65</f>
        <v>25.02</v>
      </c>
      <c r="O66" s="31">
        <f>G66</f>
        <v>850.03</v>
      </c>
      <c r="P66" s="31">
        <f>J66</f>
        <v>28627.510000000002</v>
      </c>
      <c r="Q66" s="31">
        <f>L66</f>
        <v>25.02</v>
      </c>
      <c r="W66">
        <f>IF(Source!BI65&lt;=1,H59+H60+H62+H63+H64, 0)</f>
        <v>0</v>
      </c>
      <c r="X66">
        <f>IF(Source!BI65=2,H59+H60+H62+H63+H64, 0)</f>
        <v>850.03</v>
      </c>
      <c r="Y66">
        <f>IF(Source!BI65=3,H59+H60+H62+H63+H64, 0)</f>
        <v>0</v>
      </c>
      <c r="Z66">
        <f>IF(Source!BI65=4,H59+H60+H62+H63+H64, 0)</f>
        <v>0</v>
      </c>
    </row>
    <row r="67" spans="1:26" ht="28.5" x14ac:dyDescent="0.2">
      <c r="A67" s="50">
        <v>4</v>
      </c>
      <c r="B67" s="50" t="str">
        <f>Source!F66</f>
        <v>поставка Заказчика</v>
      </c>
      <c r="C67" s="50" t="str">
        <f>Source!G66</f>
        <v>Металлопрокат</v>
      </c>
      <c r="D67" s="37" t="str">
        <f>Source!H66</f>
        <v>т</v>
      </c>
      <c r="E67" s="38">
        <f>Source!I66</f>
        <v>0.91800000000000004</v>
      </c>
      <c r="F67" s="39">
        <f>Source!AL66+Source!AM66+Source!AO66</f>
        <v>0</v>
      </c>
      <c r="G67" s="40"/>
      <c r="H67" s="39"/>
      <c r="I67" s="40" t="str">
        <f>Source!BO66</f>
        <v/>
      </c>
      <c r="J67" s="40"/>
      <c r="K67" s="39"/>
      <c r="L67" s="41"/>
      <c r="S67">
        <f>ROUND((Source!FX66/100)*((ROUND(Source!AF66*Source!I66, 2)+ROUND(Source!AE66*Source!I66, 2))), 2)</f>
        <v>0</v>
      </c>
      <c r="T67">
        <f>Source!X66</f>
        <v>0</v>
      </c>
      <c r="U67">
        <f>ROUND((Source!FY66/100)*((ROUND(Source!AF66*Source!I66, 2)+ROUND(Source!AE66*Source!I66, 2))), 2)</f>
        <v>0</v>
      </c>
      <c r="V67">
        <f>Source!Y66</f>
        <v>0</v>
      </c>
    </row>
    <row r="68" spans="1:26" ht="15" x14ac:dyDescent="0.25">
      <c r="G68" s="70">
        <f>H67</f>
        <v>0</v>
      </c>
      <c r="H68" s="70"/>
      <c r="J68" s="70">
        <f>K67</f>
        <v>0</v>
      </c>
      <c r="K68" s="70"/>
      <c r="L68" s="42">
        <f>Source!U66</f>
        <v>0</v>
      </c>
      <c r="O68" s="31">
        <f>G68</f>
        <v>0</v>
      </c>
      <c r="P68" s="31">
        <f>J68</f>
        <v>0</v>
      </c>
      <c r="Q68" s="31">
        <f>L68</f>
        <v>0</v>
      </c>
      <c r="W68">
        <f>IF(Source!BI66&lt;=1,H67, 0)</f>
        <v>0</v>
      </c>
      <c r="X68">
        <f>IF(Source!BI66=2,H67, 0)</f>
        <v>0</v>
      </c>
      <c r="Y68">
        <f>IF(Source!BI66=3,H67, 0)</f>
        <v>0</v>
      </c>
      <c r="Z68">
        <f>IF(Source!BI66=4,H67, 0)</f>
        <v>0</v>
      </c>
    </row>
    <row r="69" spans="1:26" ht="57" x14ac:dyDescent="0.2">
      <c r="A69" s="51">
        <v>5</v>
      </c>
      <c r="B69" s="51" t="str">
        <f>Source!F67</f>
        <v>09-03-002-13</v>
      </c>
      <c r="C69" s="51" t="str">
        <f>Source!G67</f>
        <v>Монтаж балок, ригелей перекрытия, покрытия и под установку оборудования многоэтажных зданий при высоте здания: до 50 м</v>
      </c>
      <c r="D69" s="43" t="str">
        <f>Source!H67</f>
        <v>т</v>
      </c>
      <c r="E69" s="10">
        <f>Source!I67</f>
        <v>0.9</v>
      </c>
      <c r="F69" s="44">
        <f>Source!AL67+Source!AM67+Source!AO67</f>
        <v>780.22</v>
      </c>
      <c r="G69" s="45"/>
      <c r="H69" s="44"/>
      <c r="I69" s="45" t="str">
        <f>Source!BO67</f>
        <v/>
      </c>
      <c r="J69" s="45"/>
      <c r="K69" s="44"/>
      <c r="L69" s="46"/>
      <c r="S69">
        <f>ROUND((Source!FX67/100)*((ROUND(Source!AF67*Source!I67, 2)+ROUND(Source!AE67*Source!I67, 2))), 2)</f>
        <v>234.54</v>
      </c>
      <c r="T69">
        <f>Source!X67</f>
        <v>9911.48</v>
      </c>
      <c r="U69">
        <f>ROUND((Source!FY67/100)*((ROUND(Source!AF67*Source!I67, 2)+ROUND(Source!AE67*Source!I67, 2))), 2)</f>
        <v>132.9</v>
      </c>
      <c r="V69">
        <f>Source!Y67</f>
        <v>5616.51</v>
      </c>
    </row>
    <row r="70" spans="1:26" ht="14.25" x14ac:dyDescent="0.2">
      <c r="A70" s="51"/>
      <c r="B70" s="51"/>
      <c r="C70" s="51" t="s">
        <v>386</v>
      </c>
      <c r="D70" s="43"/>
      <c r="E70" s="10"/>
      <c r="F70" s="44">
        <f>Source!AO67</f>
        <v>161.69999999999999</v>
      </c>
      <c r="G70" s="45" t="str">
        <f>Source!DG67</f>
        <v>)*1,15)*1,15</v>
      </c>
      <c r="H70" s="44">
        <f>ROUND(Source!AF67*Source!I67, 2)</f>
        <v>192.47</v>
      </c>
      <c r="I70" s="45"/>
      <c r="J70" s="45">
        <f>IF(Source!BA67&lt;&gt; 0, Source!BA67, 1)</f>
        <v>42.26</v>
      </c>
      <c r="K70" s="44">
        <f>Source!S67</f>
        <v>8133.57</v>
      </c>
      <c r="L70" s="46"/>
      <c r="R70">
        <f>H70</f>
        <v>192.47</v>
      </c>
    </row>
    <row r="71" spans="1:26" ht="14.25" x14ac:dyDescent="0.2">
      <c r="A71" s="51"/>
      <c r="B71" s="51"/>
      <c r="C71" s="51" t="s">
        <v>53</v>
      </c>
      <c r="D71" s="43"/>
      <c r="E71" s="10"/>
      <c r="F71" s="44">
        <f>Source!AM67</f>
        <v>517.07000000000005</v>
      </c>
      <c r="G71" s="45" t="str">
        <f>Source!DE67</f>
        <v>)*1,25)*1,15</v>
      </c>
      <c r="H71" s="44">
        <f>ROUND((((((Source!ET67*1.25)*1.15))-(((Source!EU67*1.25)*1.15)))+Source!AE67)*Source!I67, 2)</f>
        <v>668.96</v>
      </c>
      <c r="I71" s="45"/>
      <c r="J71" s="45">
        <f>IF(Source!BB67&lt;&gt; 0, Source!BB67, 1)</f>
        <v>13.15</v>
      </c>
      <c r="K71" s="44">
        <f>Source!Q67</f>
        <v>8797.01</v>
      </c>
      <c r="L71" s="46"/>
    </row>
    <row r="72" spans="1:26" ht="14.25" x14ac:dyDescent="0.2">
      <c r="A72" s="51"/>
      <c r="B72" s="51"/>
      <c r="C72" s="51" t="s">
        <v>387</v>
      </c>
      <c r="D72" s="43"/>
      <c r="E72" s="10"/>
      <c r="F72" s="44">
        <f>Source!AN67</f>
        <v>46.16</v>
      </c>
      <c r="G72" s="45" t="str">
        <f>Source!DF67</f>
        <v>)*1,25)*1,15</v>
      </c>
      <c r="H72" s="47">
        <f>ROUND(Source!AE67*Source!I67, 2)</f>
        <v>59.72</v>
      </c>
      <c r="I72" s="45"/>
      <c r="J72" s="45">
        <f>IF(Source!BS67&lt;&gt; 0, Source!BS67, 1)</f>
        <v>42.26</v>
      </c>
      <c r="K72" s="47">
        <f>Source!R67</f>
        <v>2523.94</v>
      </c>
      <c r="L72" s="46"/>
      <c r="R72">
        <f>H72</f>
        <v>59.72</v>
      </c>
    </row>
    <row r="73" spans="1:26" ht="14.25" x14ac:dyDescent="0.2">
      <c r="A73" s="51"/>
      <c r="B73" s="51"/>
      <c r="C73" s="51" t="s">
        <v>388</v>
      </c>
      <c r="D73" s="43"/>
      <c r="E73" s="10"/>
      <c r="F73" s="44">
        <f>Source!AL67</f>
        <v>101.45</v>
      </c>
      <c r="G73" s="45" t="str">
        <f>Source!DD67</f>
        <v/>
      </c>
      <c r="H73" s="44">
        <f>ROUND(Source!AC67*Source!I67, 2)</f>
        <v>91.31</v>
      </c>
      <c r="I73" s="45"/>
      <c r="J73" s="45">
        <f>IF(Source!BC67&lt;&gt; 0, Source!BC67, 1)</f>
        <v>8.3800000000000008</v>
      </c>
      <c r="K73" s="44">
        <f>Source!P67</f>
        <v>765.14</v>
      </c>
      <c r="L73" s="46"/>
    </row>
    <row r="74" spans="1:26" ht="14.25" x14ac:dyDescent="0.2">
      <c r="A74" s="51"/>
      <c r="B74" s="51"/>
      <c r="C74" s="51" t="s">
        <v>389</v>
      </c>
      <c r="D74" s="43" t="s">
        <v>390</v>
      </c>
      <c r="E74" s="10">
        <f>Source!BZ67</f>
        <v>93</v>
      </c>
      <c r="F74" s="52"/>
      <c r="G74" s="45"/>
      <c r="H74" s="44">
        <f>SUM(S69:S76)</f>
        <v>234.54</v>
      </c>
      <c r="I74" s="48"/>
      <c r="J74" s="36">
        <f>Source!AT67</f>
        <v>93</v>
      </c>
      <c r="K74" s="44">
        <f>SUM(T69:T76)</f>
        <v>9911.48</v>
      </c>
      <c r="L74" s="46"/>
    </row>
    <row r="75" spans="1:26" ht="14.25" x14ac:dyDescent="0.2">
      <c r="A75" s="51"/>
      <c r="B75" s="51"/>
      <c r="C75" s="51" t="s">
        <v>391</v>
      </c>
      <c r="D75" s="43" t="s">
        <v>390</v>
      </c>
      <c r="E75" s="10">
        <f>Source!CA67</f>
        <v>62</v>
      </c>
      <c r="F75" s="55" t="str">
        <f>CONCATENATE(" )", Source!DM67, Source!FU67, "=", Source!FY67)</f>
        <v xml:space="preserve"> ))*0,85=52,7</v>
      </c>
      <c r="G75" s="64"/>
      <c r="H75" s="44">
        <f>SUM(U69:U76)</f>
        <v>132.9</v>
      </c>
      <c r="I75" s="48"/>
      <c r="J75" s="36">
        <f>Source!AU67</f>
        <v>52.7</v>
      </c>
      <c r="K75" s="44">
        <f>SUM(V69:V76)</f>
        <v>5616.51</v>
      </c>
      <c r="L75" s="46"/>
    </row>
    <row r="76" spans="1:26" ht="14.25" x14ac:dyDescent="0.2">
      <c r="A76" s="50"/>
      <c r="B76" s="50"/>
      <c r="C76" s="50" t="s">
        <v>392</v>
      </c>
      <c r="D76" s="37" t="s">
        <v>393</v>
      </c>
      <c r="E76" s="38">
        <f>Source!AQ67</f>
        <v>16.3</v>
      </c>
      <c r="F76" s="39"/>
      <c r="G76" s="40" t="str">
        <f>Source!DI67</f>
        <v>)*1,15)*1,15</v>
      </c>
      <c r="H76" s="39"/>
      <c r="I76" s="40"/>
      <c r="J76" s="40"/>
      <c r="K76" s="39"/>
      <c r="L76" s="49">
        <f>Source!U67</f>
        <v>19.401075000000002</v>
      </c>
    </row>
    <row r="77" spans="1:26" ht="15" x14ac:dyDescent="0.25">
      <c r="G77" s="70">
        <f>H70+H71+H73+H74+H75</f>
        <v>1320.18</v>
      </c>
      <c r="H77" s="70"/>
      <c r="J77" s="70">
        <f>K70+K71+K73+K74+K75</f>
        <v>33223.71</v>
      </c>
      <c r="K77" s="70"/>
      <c r="L77" s="42">
        <f>Source!U67</f>
        <v>19.401075000000002</v>
      </c>
      <c r="O77" s="31">
        <f>G77</f>
        <v>1320.18</v>
      </c>
      <c r="P77" s="31">
        <f>J77</f>
        <v>33223.71</v>
      </c>
      <c r="Q77" s="31">
        <f>L77</f>
        <v>19.401075000000002</v>
      </c>
      <c r="W77">
        <f>IF(Source!BI67&lt;=1,H70+H71+H73+H74+H75, 0)</f>
        <v>1320.18</v>
      </c>
      <c r="X77">
        <f>IF(Source!BI67=2,H70+H71+H73+H74+H75, 0)</f>
        <v>0</v>
      </c>
      <c r="Y77">
        <f>IF(Source!BI67=3,H70+H71+H73+H74+H75, 0)</f>
        <v>0</v>
      </c>
      <c r="Z77">
        <f>IF(Source!BI67=4,H70+H71+H73+H74+H75, 0)</f>
        <v>0</v>
      </c>
    </row>
    <row r="78" spans="1:26" ht="42.75" x14ac:dyDescent="0.2">
      <c r="A78" s="51">
        <v>6</v>
      </c>
      <c r="B78" s="51" t="str">
        <f>Source!F68</f>
        <v>м40-01-002-24</v>
      </c>
      <c r="C78" s="51" t="str">
        <f>Source!G68</f>
        <v>Вертикальное перемещение свыше 25 м, добавлять на каждые следующие 5 м (перемещение с 33 до 42 м.)</v>
      </c>
      <c r="D78" s="43" t="str">
        <f>Source!H68</f>
        <v>10 т</v>
      </c>
      <c r="E78" s="10">
        <f>Source!I68</f>
        <v>0.09</v>
      </c>
      <c r="F78" s="44">
        <f>Source!AL68+Source!AM68+Source!AO68</f>
        <v>249.01999999999998</v>
      </c>
      <c r="G78" s="45"/>
      <c r="H78" s="44"/>
      <c r="I78" s="45" t="str">
        <f>Source!BO68</f>
        <v/>
      </c>
      <c r="J78" s="45"/>
      <c r="K78" s="44"/>
      <c r="L78" s="46"/>
      <c r="S78">
        <f>ROUND((Source!FX68/100)*((ROUND(Source!AF68*Source!I68, 2)+ROUND(Source!AE68*Source!I68, 2))), 2)</f>
        <v>35.07</v>
      </c>
      <c r="T78">
        <f>Source!X68</f>
        <v>1481.97</v>
      </c>
      <c r="U78">
        <f>ROUND((Source!FY68/100)*((ROUND(Source!AF68*Source!I68, 2)+ROUND(Source!AE68*Source!I68, 2))), 2)</f>
        <v>17.34</v>
      </c>
      <c r="V78">
        <f>Source!Y68</f>
        <v>732.66</v>
      </c>
    </row>
    <row r="79" spans="1:26" ht="14.25" x14ac:dyDescent="0.2">
      <c r="A79" s="51"/>
      <c r="B79" s="51"/>
      <c r="C79" s="51" t="s">
        <v>386</v>
      </c>
      <c r="D79" s="43"/>
      <c r="E79" s="10"/>
      <c r="F79" s="44">
        <f>Source!AO68</f>
        <v>181.44</v>
      </c>
      <c r="G79" s="45" t="str">
        <f>Source!DG68</f>
        <v>*2)*1,15</v>
      </c>
      <c r="H79" s="44">
        <f>ROUND(Source!AF68*Source!I68, 2)</f>
        <v>37.56</v>
      </c>
      <c r="I79" s="45"/>
      <c r="J79" s="45">
        <f>IF(Source!BA68&lt;&gt; 0, Source!BA68, 1)</f>
        <v>42.26</v>
      </c>
      <c r="K79" s="44">
        <f>Source!S68</f>
        <v>1587.2</v>
      </c>
      <c r="L79" s="46"/>
      <c r="R79">
        <f>H79</f>
        <v>37.56</v>
      </c>
    </row>
    <row r="80" spans="1:26" ht="14.25" x14ac:dyDescent="0.2">
      <c r="A80" s="51"/>
      <c r="B80" s="51"/>
      <c r="C80" s="51" t="s">
        <v>53</v>
      </c>
      <c r="D80" s="43"/>
      <c r="E80" s="10"/>
      <c r="F80" s="44">
        <f>Source!AM68</f>
        <v>63.95</v>
      </c>
      <c r="G80" s="45" t="str">
        <f>Source!DE68</f>
        <v>*2)*1,15</v>
      </c>
      <c r="H80" s="44">
        <f>ROUND((((((Source!ET68*2)*1.15))-(((Source!EU68*2)*1.15)))+Source!AE68)*Source!I68, 2)</f>
        <v>13.24</v>
      </c>
      <c r="I80" s="45"/>
      <c r="J80" s="45">
        <f>IF(Source!BB68&lt;&gt; 0, Source!BB68, 1)</f>
        <v>13.15</v>
      </c>
      <c r="K80" s="44">
        <f>Source!Q68</f>
        <v>174.06</v>
      </c>
      <c r="L80" s="46"/>
    </row>
    <row r="81" spans="1:26" ht="14.25" x14ac:dyDescent="0.2">
      <c r="A81" s="51"/>
      <c r="B81" s="51"/>
      <c r="C81" s="51" t="s">
        <v>387</v>
      </c>
      <c r="D81" s="43"/>
      <c r="E81" s="10"/>
      <c r="F81" s="44">
        <f>Source!AN68</f>
        <v>8.91</v>
      </c>
      <c r="G81" s="45" t="str">
        <f>Source!DF68</f>
        <v>*2)*1,15</v>
      </c>
      <c r="H81" s="47">
        <f>ROUND(Source!AE68*Source!I68, 2)</f>
        <v>1.84</v>
      </c>
      <c r="I81" s="45"/>
      <c r="J81" s="45">
        <f>IF(Source!BS68&lt;&gt; 0, Source!BS68, 1)</f>
        <v>42.26</v>
      </c>
      <c r="K81" s="47">
        <f>Source!R68</f>
        <v>77.930000000000007</v>
      </c>
      <c r="L81" s="46"/>
      <c r="R81">
        <f>H81</f>
        <v>1.84</v>
      </c>
    </row>
    <row r="82" spans="1:26" ht="14.25" x14ac:dyDescent="0.2">
      <c r="A82" s="51"/>
      <c r="B82" s="51"/>
      <c r="C82" s="51" t="s">
        <v>388</v>
      </c>
      <c r="D82" s="43"/>
      <c r="E82" s="10"/>
      <c r="F82" s="44">
        <f>Source!AL68</f>
        <v>3.63</v>
      </c>
      <c r="G82" s="45" t="str">
        <f>Source!DD68</f>
        <v>*2</v>
      </c>
      <c r="H82" s="44">
        <f>ROUND(Source!AC68*Source!I68, 2)</f>
        <v>0.65</v>
      </c>
      <c r="I82" s="45"/>
      <c r="J82" s="45">
        <f>IF(Source!BC68&lt;&gt; 0, Source!BC68, 1)</f>
        <v>8.3800000000000008</v>
      </c>
      <c r="K82" s="44">
        <f>Source!P68</f>
        <v>5.48</v>
      </c>
      <c r="L82" s="46"/>
    </row>
    <row r="83" spans="1:26" ht="14.25" x14ac:dyDescent="0.2">
      <c r="A83" s="51"/>
      <c r="B83" s="51"/>
      <c r="C83" s="51" t="s">
        <v>389</v>
      </c>
      <c r="D83" s="43" t="s">
        <v>390</v>
      </c>
      <c r="E83" s="10">
        <f>Source!BZ68</f>
        <v>89</v>
      </c>
      <c r="F83" s="52"/>
      <c r="G83" s="45"/>
      <c r="H83" s="44">
        <f>SUM(S78:S85)</f>
        <v>35.07</v>
      </c>
      <c r="I83" s="48"/>
      <c r="J83" s="36">
        <f>Source!AT68</f>
        <v>89</v>
      </c>
      <c r="K83" s="44">
        <f>SUM(T78:T85)</f>
        <v>1481.97</v>
      </c>
      <c r="L83" s="46"/>
    </row>
    <row r="84" spans="1:26" ht="14.25" x14ac:dyDescent="0.2">
      <c r="A84" s="51"/>
      <c r="B84" s="51"/>
      <c r="C84" s="51" t="s">
        <v>391</v>
      </c>
      <c r="D84" s="43" t="s">
        <v>390</v>
      </c>
      <c r="E84" s="10">
        <f>Source!CA68</f>
        <v>44</v>
      </c>
      <c r="F84" s="52"/>
      <c r="G84" s="45"/>
      <c r="H84" s="44">
        <f>SUM(U78:U85)</f>
        <v>17.34</v>
      </c>
      <c r="I84" s="48"/>
      <c r="J84" s="36">
        <f>Source!AU68</f>
        <v>44</v>
      </c>
      <c r="K84" s="44">
        <f>SUM(V78:V85)</f>
        <v>732.66</v>
      </c>
      <c r="L84" s="46"/>
    </row>
    <row r="85" spans="1:26" ht="14.25" x14ac:dyDescent="0.2">
      <c r="A85" s="50"/>
      <c r="B85" s="50"/>
      <c r="C85" s="50" t="s">
        <v>392</v>
      </c>
      <c r="D85" s="37" t="s">
        <v>393</v>
      </c>
      <c r="E85" s="38">
        <f>Source!AQ68</f>
        <v>21</v>
      </c>
      <c r="F85" s="39"/>
      <c r="G85" s="40" t="str">
        <f>Source!DI68</f>
        <v>*2)*1,15</v>
      </c>
      <c r="H85" s="39"/>
      <c r="I85" s="40"/>
      <c r="J85" s="40"/>
      <c r="K85" s="39"/>
      <c r="L85" s="49">
        <f>Source!U68</f>
        <v>4.3469999999999995</v>
      </c>
    </row>
    <row r="86" spans="1:26" ht="15" x14ac:dyDescent="0.25">
      <c r="G86" s="70">
        <f>H79+H80+H82+H83+H84</f>
        <v>103.86000000000001</v>
      </c>
      <c r="H86" s="70"/>
      <c r="J86" s="70">
        <f>K79+K80+K82+K83+K84</f>
        <v>3981.37</v>
      </c>
      <c r="K86" s="70"/>
      <c r="L86" s="42">
        <f>Source!U68</f>
        <v>4.3469999999999995</v>
      </c>
      <c r="O86" s="31">
        <f>G86</f>
        <v>103.86000000000001</v>
      </c>
      <c r="P86" s="31">
        <f>J86</f>
        <v>3981.37</v>
      </c>
      <c r="Q86" s="31">
        <f>L86</f>
        <v>4.3469999999999995</v>
      </c>
      <c r="W86">
        <f>IF(Source!BI68&lt;=1,H79+H80+H82+H83+H84, 0)</f>
        <v>0</v>
      </c>
      <c r="X86">
        <f>IF(Source!BI68=2,H79+H80+H82+H83+H84, 0)</f>
        <v>103.86000000000001</v>
      </c>
      <c r="Y86">
        <f>IF(Source!BI68=3,H79+H80+H82+H83+H84, 0)</f>
        <v>0</v>
      </c>
      <c r="Z86">
        <f>IF(Source!BI68=4,H79+H80+H82+H83+H84, 0)</f>
        <v>0</v>
      </c>
    </row>
    <row r="87" spans="1:26" ht="42.75" x14ac:dyDescent="0.2">
      <c r="A87" s="51">
        <v>7</v>
      </c>
      <c r="B87" s="51" t="str">
        <f>Source!F69</f>
        <v>13-03-002-04</v>
      </c>
      <c r="C87" s="51" t="str">
        <f>Source!G69</f>
        <v>Огрунтовка металлических поверхностей за один раз: грунтовкой ГФ-021</v>
      </c>
      <c r="D87" s="43" t="str">
        <f>Source!H69</f>
        <v>100 м2</v>
      </c>
      <c r="E87" s="10">
        <f>Source!I69</f>
        <v>0.26</v>
      </c>
      <c r="F87" s="44">
        <f>Source!AL69+Source!AM69+Source!AO69</f>
        <v>217.81</v>
      </c>
      <c r="G87" s="45"/>
      <c r="H87" s="44"/>
      <c r="I87" s="45" t="str">
        <f>Source!BO69</f>
        <v/>
      </c>
      <c r="J87" s="45"/>
      <c r="K87" s="44"/>
      <c r="L87" s="46"/>
      <c r="S87">
        <f>ROUND((Source!FX69/100)*((ROUND(Source!AF69*Source!I69, 2)+ROUND(Source!AE69*Source!I69, 2))), 2)</f>
        <v>18.36</v>
      </c>
      <c r="T87">
        <f>Source!X69</f>
        <v>775.76</v>
      </c>
      <c r="U87">
        <f>ROUND((Source!FY69/100)*((ROUND(Source!AF69*Source!I69, 2)+ROUND(Source!AE69*Source!I69, 2))), 2)</f>
        <v>8.4700000000000006</v>
      </c>
      <c r="V87">
        <f>Source!Y69</f>
        <v>357.76</v>
      </c>
    </row>
    <row r="88" spans="1:26" x14ac:dyDescent="0.2">
      <c r="C88" s="33" t="str">
        <f>"Объем: "&amp;Source!I69&amp;"=26/"&amp;"100"</f>
        <v>Объем: 0,26=26/100</v>
      </c>
    </row>
    <row r="89" spans="1:26" ht="14.25" x14ac:dyDescent="0.2">
      <c r="A89" s="51"/>
      <c r="B89" s="51"/>
      <c r="C89" s="51" t="s">
        <v>386</v>
      </c>
      <c r="D89" s="43"/>
      <c r="E89" s="10"/>
      <c r="F89" s="44">
        <f>Source!AO69</f>
        <v>56.55</v>
      </c>
      <c r="G89" s="45" t="str">
        <f>Source!DG69</f>
        <v>)*1,15)*1,15</v>
      </c>
      <c r="H89" s="44">
        <f>ROUND(Source!AF69*Source!I69, 2)</f>
        <v>19.45</v>
      </c>
      <c r="I89" s="45"/>
      <c r="J89" s="45">
        <f>IF(Source!BA69&lt;&gt; 0, Source!BA69, 1)</f>
        <v>42.26</v>
      </c>
      <c r="K89" s="44">
        <f>Source!S69</f>
        <v>821.76</v>
      </c>
      <c r="L89" s="46"/>
      <c r="R89">
        <f>H89</f>
        <v>19.45</v>
      </c>
    </row>
    <row r="90" spans="1:26" ht="14.25" x14ac:dyDescent="0.2">
      <c r="A90" s="51"/>
      <c r="B90" s="51"/>
      <c r="C90" s="51" t="s">
        <v>53</v>
      </c>
      <c r="D90" s="43"/>
      <c r="E90" s="10"/>
      <c r="F90" s="44">
        <f>Source!AM69</f>
        <v>9.2200000000000006</v>
      </c>
      <c r="G90" s="45" t="str">
        <f>Source!DE69</f>
        <v>)*1,25)*1,15</v>
      </c>
      <c r="H90" s="44">
        <f>ROUND((((((Source!ET69*1.25)*1.15))-(((Source!EU69*1.25)*1.15)))+Source!AE69)*Source!I69, 2)</f>
        <v>3.45</v>
      </c>
      <c r="I90" s="45"/>
      <c r="J90" s="45">
        <f>IF(Source!BB69&lt;&gt; 0, Source!BB69, 1)</f>
        <v>13.15</v>
      </c>
      <c r="K90" s="44">
        <f>Source!Q69</f>
        <v>45.36</v>
      </c>
      <c r="L90" s="46"/>
    </row>
    <row r="91" spans="1:26" ht="14.25" x14ac:dyDescent="0.2">
      <c r="A91" s="51"/>
      <c r="B91" s="51"/>
      <c r="C91" s="51" t="s">
        <v>387</v>
      </c>
      <c r="D91" s="43"/>
      <c r="E91" s="10"/>
      <c r="F91" s="44">
        <f>Source!AN69</f>
        <v>0.22</v>
      </c>
      <c r="G91" s="45" t="str">
        <f>Source!DF69</f>
        <v>)*1,25)*1,15</v>
      </c>
      <c r="H91" s="47">
        <f>ROUND(Source!AE69*Source!I69, 2)</f>
        <v>0.08</v>
      </c>
      <c r="I91" s="45"/>
      <c r="J91" s="45">
        <f>IF(Source!BS69&lt;&gt; 0, Source!BS69, 1)</f>
        <v>42.26</v>
      </c>
      <c r="K91" s="47">
        <f>Source!R69</f>
        <v>3.52</v>
      </c>
      <c r="L91" s="46"/>
      <c r="R91">
        <f>H91</f>
        <v>0.08</v>
      </c>
    </row>
    <row r="92" spans="1:26" ht="14.25" x14ac:dyDescent="0.2">
      <c r="A92" s="51"/>
      <c r="B92" s="51"/>
      <c r="C92" s="51" t="s">
        <v>388</v>
      </c>
      <c r="D92" s="43"/>
      <c r="E92" s="10"/>
      <c r="F92" s="44">
        <f>Source!AL69</f>
        <v>152.04</v>
      </c>
      <c r="G92" s="45" t="str">
        <f>Source!DD69</f>
        <v/>
      </c>
      <c r="H92" s="44">
        <f>ROUND(Source!AC69*Source!I69, 2)</f>
        <v>39.53</v>
      </c>
      <c r="I92" s="45"/>
      <c r="J92" s="45">
        <f>IF(Source!BC69&lt;&gt; 0, Source!BC69, 1)</f>
        <v>8.3800000000000008</v>
      </c>
      <c r="K92" s="44">
        <f>Source!P69</f>
        <v>331.26</v>
      </c>
      <c r="L92" s="46"/>
    </row>
    <row r="93" spans="1:26" ht="14.25" x14ac:dyDescent="0.2">
      <c r="A93" s="51"/>
      <c r="B93" s="51"/>
      <c r="C93" s="51" t="s">
        <v>389</v>
      </c>
      <c r="D93" s="43" t="s">
        <v>390</v>
      </c>
      <c r="E93" s="10">
        <f>Source!BZ69</f>
        <v>94</v>
      </c>
      <c r="F93" s="52"/>
      <c r="G93" s="45"/>
      <c r="H93" s="44">
        <f>SUM(S87:S95)</f>
        <v>18.36</v>
      </c>
      <c r="I93" s="48"/>
      <c r="J93" s="36">
        <f>Source!AT69</f>
        <v>94</v>
      </c>
      <c r="K93" s="44">
        <f>SUM(T87:T95)</f>
        <v>775.76</v>
      </c>
      <c r="L93" s="46"/>
    </row>
    <row r="94" spans="1:26" ht="14.25" x14ac:dyDescent="0.2">
      <c r="A94" s="51"/>
      <c r="B94" s="51"/>
      <c r="C94" s="51" t="s">
        <v>391</v>
      </c>
      <c r="D94" s="43" t="s">
        <v>390</v>
      </c>
      <c r="E94" s="10">
        <f>Source!CA69</f>
        <v>51</v>
      </c>
      <c r="F94" s="55" t="str">
        <f>CONCATENATE(" )", Source!DM69, Source!FU69, "=", Source!FY69)</f>
        <v xml:space="preserve"> ))*0,85=43,35</v>
      </c>
      <c r="G94" s="64"/>
      <c r="H94" s="44">
        <f>SUM(U87:U95)</f>
        <v>8.4700000000000006</v>
      </c>
      <c r="I94" s="48"/>
      <c r="J94" s="36">
        <f>Source!AU69</f>
        <v>43.35</v>
      </c>
      <c r="K94" s="44">
        <f>SUM(V87:V95)</f>
        <v>357.76</v>
      </c>
      <c r="L94" s="46"/>
    </row>
    <row r="95" spans="1:26" ht="14.25" x14ac:dyDescent="0.2">
      <c r="A95" s="50"/>
      <c r="B95" s="50"/>
      <c r="C95" s="50" t="s">
        <v>392</v>
      </c>
      <c r="D95" s="37" t="s">
        <v>393</v>
      </c>
      <c r="E95" s="38">
        <f>Source!AQ69</f>
        <v>5.31</v>
      </c>
      <c r="F95" s="39"/>
      <c r="G95" s="40" t="str">
        <f>Source!DI69</f>
        <v>)*1,15)*1,15</v>
      </c>
      <c r="H95" s="39"/>
      <c r="I95" s="40"/>
      <c r="J95" s="40"/>
      <c r="K95" s="39"/>
      <c r="L95" s="49">
        <f>Source!U69</f>
        <v>1.8258434999999995</v>
      </c>
    </row>
    <row r="96" spans="1:26" ht="15" x14ac:dyDescent="0.25">
      <c r="G96" s="70">
        <f>H89+H90+H92+H93+H94</f>
        <v>89.259999999999991</v>
      </c>
      <c r="H96" s="70"/>
      <c r="J96" s="70">
        <f>K89+K90+K92+K93+K94</f>
        <v>2331.9</v>
      </c>
      <c r="K96" s="70"/>
      <c r="L96" s="42">
        <f>Source!U69</f>
        <v>1.8258434999999995</v>
      </c>
      <c r="O96" s="31">
        <f>G96</f>
        <v>89.259999999999991</v>
      </c>
      <c r="P96" s="31">
        <f>J96</f>
        <v>2331.9</v>
      </c>
      <c r="Q96" s="31">
        <f>L96</f>
        <v>1.8258434999999995</v>
      </c>
      <c r="W96">
        <f>IF(Source!BI69&lt;=1,H89+H90+H92+H93+H94, 0)</f>
        <v>89.259999999999991</v>
      </c>
      <c r="X96">
        <f>IF(Source!BI69=2,H89+H90+H92+H93+H94, 0)</f>
        <v>0</v>
      </c>
      <c r="Y96">
        <f>IF(Source!BI69=3,H89+H90+H92+H93+H94, 0)</f>
        <v>0</v>
      </c>
      <c r="Z96">
        <f>IF(Source!BI69=4,H89+H90+H92+H93+H94, 0)</f>
        <v>0</v>
      </c>
    </row>
    <row r="97" spans="1:26" ht="28.5" x14ac:dyDescent="0.2">
      <c r="A97" s="51">
        <v>8</v>
      </c>
      <c r="B97" s="51" t="str">
        <f>Source!F70</f>
        <v>13-03-004-26</v>
      </c>
      <c r="C97" s="51" t="str">
        <f>Source!G70</f>
        <v>Окраска металлических огрунтованных поверхностей: эмалью ПФ-115</v>
      </c>
      <c r="D97" s="43" t="str">
        <f>Source!H70</f>
        <v>100 м2</v>
      </c>
      <c r="E97" s="10">
        <f>Source!I70</f>
        <v>0.26</v>
      </c>
      <c r="F97" s="44">
        <f>Source!AL70+Source!AM70+Source!AO70</f>
        <v>163.48999999999998</v>
      </c>
      <c r="G97" s="45"/>
      <c r="H97" s="44"/>
      <c r="I97" s="45" t="str">
        <f>Source!BO70</f>
        <v/>
      </c>
      <c r="J97" s="45"/>
      <c r="K97" s="44"/>
      <c r="L97" s="46"/>
      <c r="S97">
        <f>ROUND((Source!FX70/100)*((ROUND(Source!AF70*Source!I70, 2)+ROUND(Source!AE70*Source!I70, 2))), 2)</f>
        <v>6.32</v>
      </c>
      <c r="T97">
        <f>Source!X70</f>
        <v>267.2</v>
      </c>
      <c r="U97">
        <f>ROUND((Source!FY70/100)*((ROUND(Source!AF70*Source!I70, 2)+ROUND(Source!AE70*Source!I70, 2))), 2)</f>
        <v>2.91</v>
      </c>
      <c r="V97">
        <f>Source!Y70</f>
        <v>123.22</v>
      </c>
    </row>
    <row r="98" spans="1:26" x14ac:dyDescent="0.2">
      <c r="C98" s="33" t="str">
        <f>"Объем: "&amp;Source!I70&amp;"=26/"&amp;"100"</f>
        <v>Объем: 0,26=26/100</v>
      </c>
    </row>
    <row r="99" spans="1:26" ht="14.25" x14ac:dyDescent="0.2">
      <c r="A99" s="51"/>
      <c r="B99" s="51"/>
      <c r="C99" s="51" t="s">
        <v>386</v>
      </c>
      <c r="D99" s="43"/>
      <c r="E99" s="10"/>
      <c r="F99" s="44">
        <f>Source!AO70</f>
        <v>19.32</v>
      </c>
      <c r="G99" s="45" t="str">
        <f>Source!DG70</f>
        <v>)*1,15)*1,15</v>
      </c>
      <c r="H99" s="44">
        <f>ROUND(Source!AF70*Source!I70, 2)</f>
        <v>6.64</v>
      </c>
      <c r="I99" s="45"/>
      <c r="J99" s="45">
        <f>IF(Source!BA70&lt;&gt; 0, Source!BA70, 1)</f>
        <v>42.26</v>
      </c>
      <c r="K99" s="44">
        <f>Source!S70</f>
        <v>280.73</v>
      </c>
      <c r="L99" s="46"/>
      <c r="R99">
        <f>H99</f>
        <v>6.64</v>
      </c>
    </row>
    <row r="100" spans="1:26" ht="14.25" x14ac:dyDescent="0.2">
      <c r="A100" s="51"/>
      <c r="B100" s="51"/>
      <c r="C100" s="51" t="s">
        <v>53</v>
      </c>
      <c r="D100" s="43"/>
      <c r="E100" s="10"/>
      <c r="F100" s="44">
        <f>Source!AM70</f>
        <v>6.01</v>
      </c>
      <c r="G100" s="45" t="str">
        <f>Source!DE70</f>
        <v>)*1,25)*1,15</v>
      </c>
      <c r="H100" s="44">
        <f>ROUND((((((Source!ET70*1.25)*1.15))-(((Source!EU70*1.25)*1.15)))+Source!AE70)*Source!I70, 2)</f>
        <v>2.25</v>
      </c>
      <c r="I100" s="45"/>
      <c r="J100" s="45">
        <f>IF(Source!BB70&lt;&gt; 0, Source!BB70, 1)</f>
        <v>13.15</v>
      </c>
      <c r="K100" s="44">
        <f>Source!Q70</f>
        <v>29.58</v>
      </c>
      <c r="L100" s="46"/>
    </row>
    <row r="101" spans="1:26" ht="14.25" x14ac:dyDescent="0.2">
      <c r="A101" s="51"/>
      <c r="B101" s="51"/>
      <c r="C101" s="51" t="s">
        <v>387</v>
      </c>
      <c r="D101" s="43"/>
      <c r="E101" s="10"/>
      <c r="F101" s="44">
        <f>Source!AN70</f>
        <v>0.22</v>
      </c>
      <c r="G101" s="45" t="str">
        <f>Source!DF70</f>
        <v>)*1,25)*1,15</v>
      </c>
      <c r="H101" s="47">
        <f>ROUND(Source!AE70*Source!I70, 2)</f>
        <v>0.08</v>
      </c>
      <c r="I101" s="45"/>
      <c r="J101" s="45">
        <f>IF(Source!BS70&lt;&gt; 0, Source!BS70, 1)</f>
        <v>42.26</v>
      </c>
      <c r="K101" s="47">
        <f>Source!R70</f>
        <v>3.52</v>
      </c>
      <c r="L101" s="46"/>
      <c r="R101">
        <f>H101</f>
        <v>0.08</v>
      </c>
    </row>
    <row r="102" spans="1:26" ht="14.25" x14ac:dyDescent="0.2">
      <c r="A102" s="51"/>
      <c r="B102" s="51"/>
      <c r="C102" s="51" t="s">
        <v>388</v>
      </c>
      <c r="D102" s="43"/>
      <c r="E102" s="10"/>
      <c r="F102" s="44">
        <f>Source!AL70</f>
        <v>138.16</v>
      </c>
      <c r="G102" s="45" t="str">
        <f>Source!DD70</f>
        <v/>
      </c>
      <c r="H102" s="44">
        <f>ROUND(Source!AC70*Source!I70, 2)</f>
        <v>35.92</v>
      </c>
      <c r="I102" s="45"/>
      <c r="J102" s="45">
        <f>IF(Source!BC70&lt;&gt; 0, Source!BC70, 1)</f>
        <v>8.3800000000000008</v>
      </c>
      <c r="K102" s="44">
        <f>Source!P70</f>
        <v>301.02</v>
      </c>
      <c r="L102" s="46"/>
    </row>
    <row r="103" spans="1:26" ht="14.25" x14ac:dyDescent="0.2">
      <c r="A103" s="51"/>
      <c r="B103" s="51"/>
      <c r="C103" s="51" t="s">
        <v>389</v>
      </c>
      <c r="D103" s="43" t="s">
        <v>390</v>
      </c>
      <c r="E103" s="10">
        <f>Source!BZ70</f>
        <v>94</v>
      </c>
      <c r="F103" s="52"/>
      <c r="G103" s="45"/>
      <c r="H103" s="44">
        <f>SUM(S97:S105)</f>
        <v>6.32</v>
      </c>
      <c r="I103" s="48"/>
      <c r="J103" s="36">
        <f>Source!AT70</f>
        <v>94</v>
      </c>
      <c r="K103" s="44">
        <f>SUM(T97:T105)</f>
        <v>267.2</v>
      </c>
      <c r="L103" s="46"/>
    </row>
    <row r="104" spans="1:26" ht="14.25" x14ac:dyDescent="0.2">
      <c r="A104" s="51"/>
      <c r="B104" s="51"/>
      <c r="C104" s="51" t="s">
        <v>391</v>
      </c>
      <c r="D104" s="43" t="s">
        <v>390</v>
      </c>
      <c r="E104" s="10">
        <f>Source!CA70</f>
        <v>51</v>
      </c>
      <c r="F104" s="55" t="str">
        <f>CONCATENATE(" )", Source!DM70, Source!FU70, "=", Source!FY70)</f>
        <v xml:space="preserve"> ))*0,85=43,35</v>
      </c>
      <c r="G104" s="64"/>
      <c r="H104" s="44">
        <f>SUM(U97:U105)</f>
        <v>2.91</v>
      </c>
      <c r="I104" s="48"/>
      <c r="J104" s="36">
        <f>Source!AU70</f>
        <v>43.35</v>
      </c>
      <c r="K104" s="44">
        <f>SUM(V97:V105)</f>
        <v>123.22</v>
      </c>
      <c r="L104" s="46"/>
    </row>
    <row r="105" spans="1:26" ht="14.25" x14ac:dyDescent="0.2">
      <c r="A105" s="50"/>
      <c r="B105" s="50"/>
      <c r="C105" s="50" t="s">
        <v>392</v>
      </c>
      <c r="D105" s="37" t="s">
        <v>393</v>
      </c>
      <c r="E105" s="38">
        <f>Source!AQ70</f>
        <v>2.13</v>
      </c>
      <c r="F105" s="39"/>
      <c r="G105" s="40" t="str">
        <f>Source!DI70</f>
        <v>)*1,15)*1,15</v>
      </c>
      <c r="H105" s="39"/>
      <c r="I105" s="40"/>
      <c r="J105" s="40"/>
      <c r="K105" s="39"/>
      <c r="L105" s="49">
        <f>Source!U70</f>
        <v>0.7324004999999999</v>
      </c>
    </row>
    <row r="106" spans="1:26" ht="15" x14ac:dyDescent="0.25">
      <c r="G106" s="70">
        <f>H99+H100+H102+H103+H104</f>
        <v>54.040000000000006</v>
      </c>
      <c r="H106" s="70"/>
      <c r="J106" s="70">
        <f>K99+K100+K102+K103+K104</f>
        <v>1001.75</v>
      </c>
      <c r="K106" s="70"/>
      <c r="L106" s="42">
        <f>Source!U70</f>
        <v>0.7324004999999999</v>
      </c>
      <c r="O106" s="31">
        <f>G106</f>
        <v>54.040000000000006</v>
      </c>
      <c r="P106" s="31">
        <f>J106</f>
        <v>1001.75</v>
      </c>
      <c r="Q106" s="31">
        <f>L106</f>
        <v>0.7324004999999999</v>
      </c>
      <c r="W106">
        <f>IF(Source!BI70&lt;=1,H99+H100+H102+H103+H104, 0)</f>
        <v>54.040000000000006</v>
      </c>
      <c r="X106">
        <f>IF(Source!BI70=2,H99+H100+H102+H103+H104, 0)</f>
        <v>0</v>
      </c>
      <c r="Y106">
        <f>IF(Source!BI70=3,H99+H100+H102+H103+H104, 0)</f>
        <v>0</v>
      </c>
      <c r="Z106">
        <f>IF(Source!BI70=4,H99+H100+H102+H103+H104, 0)</f>
        <v>0</v>
      </c>
    </row>
    <row r="107" spans="1:26" ht="57" x14ac:dyDescent="0.2">
      <c r="A107" s="51">
        <v>9</v>
      </c>
      <c r="B107" s="51" t="str">
        <f>Source!F71</f>
        <v>08-07-002-01</v>
      </c>
      <c r="C107" s="51" t="str">
        <f>Source!G71</f>
        <v>Установка и разборка внутренних трубчатых инвентарных лесов: при высоте помещений до 6 м/прим.вышка тура</v>
      </c>
      <c r="D107" s="43" t="str">
        <f>Source!H71</f>
        <v>100 м2 горизонтальной проекции</v>
      </c>
      <c r="E107" s="10">
        <f>Source!I71</f>
        <v>0.18</v>
      </c>
      <c r="F107" s="44">
        <f>Source!AL71+Source!AM71+Source!AO71</f>
        <v>997.82999999999993</v>
      </c>
      <c r="G107" s="45"/>
      <c r="H107" s="44"/>
      <c r="I107" s="45" t="str">
        <f>Source!BO71</f>
        <v/>
      </c>
      <c r="J107" s="45"/>
      <c r="K107" s="44"/>
      <c r="L107" s="46"/>
      <c r="S107">
        <f>ROUND((Source!FX71/100)*((ROUND(Source!AF71*Source!I71, 2)+ROUND(Source!AE71*Source!I71, 2))), 2)</f>
        <v>159.41999999999999</v>
      </c>
      <c r="T107">
        <f>Source!X71</f>
        <v>6736.99</v>
      </c>
      <c r="U107">
        <f>ROUND((Source!FY71/100)*((ROUND(Source!AF71*Source!I71, 2)+ROUND(Source!AE71*Source!I71, 2))), 2)</f>
        <v>85</v>
      </c>
      <c r="V107">
        <f>Source!Y71</f>
        <v>3592.04</v>
      </c>
    </row>
    <row r="108" spans="1:26" x14ac:dyDescent="0.2">
      <c r="C108" s="33" t="str">
        <f>"Объем: "&amp;Source!I71&amp;"=(6*"&amp;"1*"&amp;"3)/"&amp;"100"</f>
        <v>Объем: 0,18=(6*1*3)/100</v>
      </c>
    </row>
    <row r="109" spans="1:26" ht="14.25" x14ac:dyDescent="0.2">
      <c r="A109" s="51"/>
      <c r="B109" s="51"/>
      <c r="C109" s="51" t="s">
        <v>386</v>
      </c>
      <c r="D109" s="43"/>
      <c r="E109" s="10"/>
      <c r="F109" s="44">
        <f>Source!AO71</f>
        <v>606.53</v>
      </c>
      <c r="G109" s="45" t="str">
        <f>Source!DG71</f>
        <v>)*1,15)*1,15</v>
      </c>
      <c r="H109" s="44">
        <f>ROUND(Source!AF71*Source!I71, 2)</f>
        <v>144.38999999999999</v>
      </c>
      <c r="I109" s="45"/>
      <c r="J109" s="45">
        <f>IF(Source!BA71&lt;&gt; 0, Source!BA71, 1)</f>
        <v>42.26</v>
      </c>
      <c r="K109" s="44">
        <f>Source!S71</f>
        <v>6101.72</v>
      </c>
      <c r="L109" s="46"/>
      <c r="R109">
        <f>H109</f>
        <v>144.38999999999999</v>
      </c>
    </row>
    <row r="110" spans="1:26" ht="14.25" x14ac:dyDescent="0.2">
      <c r="A110" s="51"/>
      <c r="B110" s="51"/>
      <c r="C110" s="51" t="s">
        <v>53</v>
      </c>
      <c r="D110" s="43"/>
      <c r="E110" s="10"/>
      <c r="F110" s="44">
        <f>Source!AM71</f>
        <v>11.83</v>
      </c>
      <c r="G110" s="45" t="str">
        <f>Source!DE71</f>
        <v>)*1,25)*1,15</v>
      </c>
      <c r="H110" s="44">
        <f>ROUND((((((Source!ET71*1.25)*1.15))-(((Source!EU71*1.25)*1.15)))+Source!AE71)*Source!I71, 2)</f>
        <v>3.06</v>
      </c>
      <c r="I110" s="45"/>
      <c r="J110" s="45">
        <f>IF(Source!BB71&lt;&gt; 0, Source!BB71, 1)</f>
        <v>13.15</v>
      </c>
      <c r="K110" s="44">
        <f>Source!Q71</f>
        <v>40.22</v>
      </c>
      <c r="L110" s="46"/>
    </row>
    <row r="111" spans="1:26" ht="14.25" x14ac:dyDescent="0.2">
      <c r="A111" s="51"/>
      <c r="B111" s="51"/>
      <c r="C111" s="51" t="s">
        <v>387</v>
      </c>
      <c r="D111" s="43"/>
      <c r="E111" s="10"/>
      <c r="F111" s="44">
        <f>Source!AN71</f>
        <v>2.09</v>
      </c>
      <c r="G111" s="45" t="str">
        <f>Source!DF71</f>
        <v>)*1,25)*1,15</v>
      </c>
      <c r="H111" s="47">
        <f>ROUND(Source!AE71*Source!I71, 2)</f>
        <v>0.54</v>
      </c>
      <c r="I111" s="45"/>
      <c r="J111" s="45">
        <f>IF(Source!BS71&lt;&gt; 0, Source!BS71, 1)</f>
        <v>42.26</v>
      </c>
      <c r="K111" s="47">
        <f>Source!R71</f>
        <v>22.82</v>
      </c>
      <c r="L111" s="46"/>
      <c r="R111">
        <f>H111</f>
        <v>0.54</v>
      </c>
    </row>
    <row r="112" spans="1:26" ht="14.25" x14ac:dyDescent="0.2">
      <c r="A112" s="51"/>
      <c r="B112" s="51"/>
      <c r="C112" s="51" t="s">
        <v>389</v>
      </c>
      <c r="D112" s="43" t="s">
        <v>390</v>
      </c>
      <c r="E112" s="10">
        <f>Source!BZ71</f>
        <v>110</v>
      </c>
      <c r="F112" s="52"/>
      <c r="G112" s="45"/>
      <c r="H112" s="44">
        <f>SUM(S107:S114)</f>
        <v>159.41999999999999</v>
      </c>
      <c r="I112" s="48"/>
      <c r="J112" s="36">
        <f>Source!AT71</f>
        <v>110</v>
      </c>
      <c r="K112" s="44">
        <f>SUM(T107:T114)</f>
        <v>6736.99</v>
      </c>
      <c r="L112" s="46"/>
    </row>
    <row r="113" spans="1:26" ht="14.25" x14ac:dyDescent="0.2">
      <c r="A113" s="51"/>
      <c r="B113" s="51"/>
      <c r="C113" s="51" t="s">
        <v>391</v>
      </c>
      <c r="D113" s="43" t="s">
        <v>390</v>
      </c>
      <c r="E113" s="10">
        <f>Source!CA71</f>
        <v>69</v>
      </c>
      <c r="F113" s="55" t="str">
        <f>CONCATENATE(" )", Source!DM71, Source!FU71, "=", Source!FY71)</f>
        <v xml:space="preserve"> ))*0,85=58,65</v>
      </c>
      <c r="G113" s="64"/>
      <c r="H113" s="44">
        <f>SUM(U107:U114)</f>
        <v>85</v>
      </c>
      <c r="I113" s="48"/>
      <c r="J113" s="36">
        <f>Source!AU71</f>
        <v>58.65</v>
      </c>
      <c r="K113" s="44">
        <f>SUM(V107:V114)</f>
        <v>3592.04</v>
      </c>
      <c r="L113" s="46"/>
    </row>
    <row r="114" spans="1:26" ht="14.25" x14ac:dyDescent="0.2">
      <c r="A114" s="50"/>
      <c r="B114" s="50"/>
      <c r="C114" s="50" t="s">
        <v>392</v>
      </c>
      <c r="D114" s="37" t="s">
        <v>393</v>
      </c>
      <c r="E114" s="38">
        <f>Source!AQ71</f>
        <v>70.2</v>
      </c>
      <c r="F114" s="39"/>
      <c r="G114" s="40" t="str">
        <f>Source!DI71</f>
        <v>)*1,15)*1,15</v>
      </c>
      <c r="H114" s="39"/>
      <c r="I114" s="40"/>
      <c r="J114" s="40"/>
      <c r="K114" s="39"/>
      <c r="L114" s="49">
        <f>Source!U71</f>
        <v>16.711109999999998</v>
      </c>
    </row>
    <row r="115" spans="1:26" ht="15" x14ac:dyDescent="0.25">
      <c r="G115" s="70">
        <f>H109+H110+H112+H113</f>
        <v>391.87</v>
      </c>
      <c r="H115" s="70"/>
      <c r="J115" s="70">
        <f>K109+K110+K112+K113</f>
        <v>16470.97</v>
      </c>
      <c r="K115" s="70"/>
      <c r="L115" s="42">
        <f>Source!U71</f>
        <v>16.711109999999998</v>
      </c>
      <c r="O115" s="31">
        <f>G115</f>
        <v>391.87</v>
      </c>
      <c r="P115" s="31">
        <f>J115</f>
        <v>16470.97</v>
      </c>
      <c r="Q115" s="31">
        <f>L115</f>
        <v>16.711109999999998</v>
      </c>
      <c r="W115">
        <f>IF(Source!BI71&lt;=1,H109+H110+H112+H113, 0)</f>
        <v>391.87</v>
      </c>
      <c r="X115">
        <f>IF(Source!BI71=2,H109+H110+H112+H113, 0)</f>
        <v>0</v>
      </c>
      <c r="Y115">
        <f>IF(Source!BI71=3,H109+H110+H112+H113, 0)</f>
        <v>0</v>
      </c>
      <c r="Z115">
        <f>IF(Source!BI71=4,H109+H110+H112+H113, 0)</f>
        <v>0</v>
      </c>
    </row>
    <row r="116" spans="1:26" ht="57" x14ac:dyDescent="0.2">
      <c r="A116" s="51">
        <v>10</v>
      </c>
      <c r="B116" s="51" t="str">
        <f>Source!F72</f>
        <v>08-07-001-04</v>
      </c>
      <c r="C116" s="51" t="str">
        <f>Source!G72</f>
        <v>На каждые последующие 4 м высоты наружных инвентарных лесов добавлять: к расценкам 08-07-001-01, 08-07-001-02/ прим.вышка-тура</v>
      </c>
      <c r="D116" s="43" t="str">
        <f>Source!H72</f>
        <v>100 м2</v>
      </c>
      <c r="E116" s="10">
        <f>Source!I72</f>
        <v>0.18</v>
      </c>
      <c r="F116" s="44">
        <f>Source!AL72+Source!AM72+Source!AO72</f>
        <v>57.02</v>
      </c>
      <c r="G116" s="45"/>
      <c r="H116" s="44"/>
      <c r="I116" s="45" t="str">
        <f>Source!BO72</f>
        <v/>
      </c>
      <c r="J116" s="45"/>
      <c r="K116" s="44"/>
      <c r="L116" s="46"/>
      <c r="S116">
        <f>ROUND((Source!FX72/100)*((ROUND(Source!AF72*Source!I72, 2)+ROUND(Source!AE72*Source!I72, 2))), 2)</f>
        <v>14.93</v>
      </c>
      <c r="T116">
        <f>Source!X72</f>
        <v>630.99</v>
      </c>
      <c r="U116">
        <f>ROUND((Source!FY72/100)*((ROUND(Source!AF72*Source!I72, 2)+ROUND(Source!AE72*Source!I72, 2))), 2)</f>
        <v>7.96</v>
      </c>
      <c r="V116">
        <f>Source!Y72</f>
        <v>336.43</v>
      </c>
    </row>
    <row r="117" spans="1:26" x14ac:dyDescent="0.2">
      <c r="C117" s="33" t="str">
        <f>"Объем: "&amp;Source!I72&amp;"=18/"&amp;"100"</f>
        <v>Объем: 0,18=18/100</v>
      </c>
    </row>
    <row r="118" spans="1:26" ht="14.25" x14ac:dyDescent="0.2">
      <c r="A118" s="51"/>
      <c r="B118" s="51"/>
      <c r="C118" s="51" t="s">
        <v>386</v>
      </c>
      <c r="D118" s="43"/>
      <c r="E118" s="10"/>
      <c r="F118" s="44">
        <f>Source!AO72</f>
        <v>57.02</v>
      </c>
      <c r="G118" s="45" t="str">
        <f>Source!DG72</f>
        <v>)*1,15)*1,15</v>
      </c>
      <c r="H118" s="44">
        <f>ROUND(Source!AF72*Source!I72, 2)</f>
        <v>13.57</v>
      </c>
      <c r="I118" s="45"/>
      <c r="J118" s="45">
        <f>IF(Source!BA72&lt;&gt; 0, Source!BA72, 1)</f>
        <v>42.26</v>
      </c>
      <c r="K118" s="44">
        <f>Source!S72</f>
        <v>573.63</v>
      </c>
      <c r="L118" s="46"/>
      <c r="R118">
        <f>H118</f>
        <v>13.57</v>
      </c>
    </row>
    <row r="119" spans="1:26" ht="14.25" x14ac:dyDescent="0.2">
      <c r="A119" s="51"/>
      <c r="B119" s="51"/>
      <c r="C119" s="51" t="s">
        <v>389</v>
      </c>
      <c r="D119" s="43" t="s">
        <v>390</v>
      </c>
      <c r="E119" s="10">
        <f>Source!BZ72</f>
        <v>110</v>
      </c>
      <c r="F119" s="52"/>
      <c r="G119" s="45"/>
      <c r="H119" s="44">
        <f>SUM(S116:S121)</f>
        <v>14.93</v>
      </c>
      <c r="I119" s="48"/>
      <c r="J119" s="36">
        <f>Source!AT72</f>
        <v>110</v>
      </c>
      <c r="K119" s="44">
        <f>SUM(T116:T121)</f>
        <v>630.99</v>
      </c>
      <c r="L119" s="46"/>
    </row>
    <row r="120" spans="1:26" ht="14.25" x14ac:dyDescent="0.2">
      <c r="A120" s="51"/>
      <c r="B120" s="51"/>
      <c r="C120" s="51" t="s">
        <v>391</v>
      </c>
      <c r="D120" s="43" t="s">
        <v>390</v>
      </c>
      <c r="E120" s="10">
        <f>Source!CA72</f>
        <v>69</v>
      </c>
      <c r="F120" s="55" t="str">
        <f>CONCATENATE(" )", Source!DM72, Source!FU72, "=", Source!FY72)</f>
        <v xml:space="preserve"> ))*0,85=58,65</v>
      </c>
      <c r="G120" s="64"/>
      <c r="H120" s="44">
        <f>SUM(U116:U121)</f>
        <v>7.96</v>
      </c>
      <c r="I120" s="48"/>
      <c r="J120" s="36">
        <f>Source!AU72</f>
        <v>58.65</v>
      </c>
      <c r="K120" s="44">
        <f>SUM(V116:V121)</f>
        <v>336.43</v>
      </c>
      <c r="L120" s="46"/>
    </row>
    <row r="121" spans="1:26" ht="14.25" x14ac:dyDescent="0.2">
      <c r="A121" s="50"/>
      <c r="B121" s="50"/>
      <c r="C121" s="50" t="s">
        <v>392</v>
      </c>
      <c r="D121" s="37" t="s">
        <v>393</v>
      </c>
      <c r="E121" s="38">
        <f>Source!AQ72</f>
        <v>6.6</v>
      </c>
      <c r="F121" s="39"/>
      <c r="G121" s="40" t="str">
        <f>Source!DI72</f>
        <v>)*1,15)*1,15</v>
      </c>
      <c r="H121" s="39"/>
      <c r="I121" s="40"/>
      <c r="J121" s="40"/>
      <c r="K121" s="39"/>
      <c r="L121" s="49">
        <f>Source!U72</f>
        <v>1.5711299999999997</v>
      </c>
    </row>
    <row r="122" spans="1:26" ht="15" x14ac:dyDescent="0.25">
      <c r="G122" s="70">
        <f>H118+H119+H120</f>
        <v>36.46</v>
      </c>
      <c r="H122" s="70"/>
      <c r="J122" s="70">
        <f>K118+K119+K120</f>
        <v>1541.05</v>
      </c>
      <c r="K122" s="70"/>
      <c r="L122" s="42">
        <f>Source!U72</f>
        <v>1.5711299999999997</v>
      </c>
      <c r="O122" s="31">
        <f>G122</f>
        <v>36.46</v>
      </c>
      <c r="P122" s="31">
        <f>J122</f>
        <v>1541.05</v>
      </c>
      <c r="Q122" s="31">
        <f>L122</f>
        <v>1.5711299999999997</v>
      </c>
      <c r="W122">
        <f>IF(Source!BI72&lt;=1,H118+H119+H120, 0)</f>
        <v>36.46</v>
      </c>
      <c r="X122">
        <f>IF(Source!BI72=2,H118+H119+H120, 0)</f>
        <v>0</v>
      </c>
      <c r="Y122">
        <f>IF(Source!BI72=3,H118+H119+H120, 0)</f>
        <v>0</v>
      </c>
      <c r="Z122">
        <f>IF(Source!BI72=4,H118+H119+H120, 0)</f>
        <v>0</v>
      </c>
    </row>
    <row r="124" spans="1:26" ht="15" x14ac:dyDescent="0.25">
      <c r="A124" s="72" t="str">
        <f>CONCATENATE("Итого по разделу: ",IF(Source!G74&lt;&gt;"Новый раздел", Source!G74, ""))</f>
        <v>Итого по разделу: Усиление плит перекрытия</v>
      </c>
      <c r="B124" s="72"/>
      <c r="C124" s="72"/>
      <c r="D124" s="72"/>
      <c r="E124" s="72"/>
      <c r="F124" s="72"/>
      <c r="G124" s="71">
        <f>SUM(O57:O123)</f>
        <v>2845.7</v>
      </c>
      <c r="H124" s="71"/>
      <c r="I124" s="35"/>
      <c r="J124" s="71">
        <f>SUM(P57:P123)</f>
        <v>87178.26</v>
      </c>
      <c r="K124" s="71"/>
      <c r="L124" s="42">
        <f>SUM(Q57:Q123)</f>
        <v>69.608559</v>
      </c>
    </row>
    <row r="128" spans="1:26" ht="15" x14ac:dyDescent="0.25">
      <c r="A128" s="72" t="str">
        <f>CONCATENATE("Итого по локальной смете: ",IF(Source!G104&lt;&gt;"Новая локальная смета", Source!G104, ""))</f>
        <v xml:space="preserve">Итого по локальной смете: </v>
      </c>
      <c r="B128" s="72"/>
      <c r="C128" s="72"/>
      <c r="D128" s="72"/>
      <c r="E128" s="72"/>
      <c r="F128" s="72"/>
      <c r="G128" s="71">
        <f>SUM(O45:O127)</f>
        <v>13154.000000000002</v>
      </c>
      <c r="H128" s="71"/>
      <c r="I128" s="35"/>
      <c r="J128" s="71">
        <f>SUM(P45:P127)</f>
        <v>173561.80999999997</v>
      </c>
      <c r="K128" s="71"/>
      <c r="L128" s="42">
        <f>SUM(Q45:Q127)</f>
        <v>69.608559</v>
      </c>
    </row>
    <row r="131" spans="3:11" ht="14.25" x14ac:dyDescent="0.2">
      <c r="C131" s="60" t="str">
        <f>Source!H106</f>
        <v>Прямые затраты</v>
      </c>
      <c r="D131" s="60"/>
      <c r="E131" s="60"/>
      <c r="F131" s="60"/>
      <c r="G131" s="60"/>
      <c r="H131" s="60"/>
      <c r="I131" s="60"/>
      <c r="J131" s="66">
        <f>IF(Source!F106=0, "", Source!F106)</f>
        <v>127579.11</v>
      </c>
      <c r="K131" s="66"/>
    </row>
    <row r="132" spans="3:11" ht="14.25" x14ac:dyDescent="0.2">
      <c r="C132" s="60" t="str">
        <f>Source!H107</f>
        <v>Стоимость материальных ресурсов (всего)</v>
      </c>
      <c r="D132" s="60"/>
      <c r="E132" s="60"/>
      <c r="F132" s="60"/>
      <c r="G132" s="60"/>
      <c r="H132" s="60"/>
      <c r="I132" s="60"/>
      <c r="J132" s="66">
        <f>IF(Source!F107=0, "", Source!F107)</f>
        <v>88099.82</v>
      </c>
      <c r="K132" s="66"/>
    </row>
    <row r="133" spans="3:11" ht="14.25" x14ac:dyDescent="0.2">
      <c r="C133" s="60" t="str">
        <f>Source!H109</f>
        <v>Стоимость материалов и оборудования подрядчика</v>
      </c>
      <c r="D133" s="60"/>
      <c r="E133" s="60"/>
      <c r="F133" s="60"/>
      <c r="G133" s="60"/>
      <c r="H133" s="60"/>
      <c r="I133" s="60"/>
      <c r="J133" s="66">
        <f>IF(Source!F109=0, "", Source!F109)</f>
        <v>88099.82</v>
      </c>
      <c r="K133" s="66"/>
    </row>
    <row r="134" spans="3:11" ht="14.25" x14ac:dyDescent="0.2">
      <c r="C134" s="60" t="str">
        <f>Source!H110</f>
        <v>Стоимость материалов (всего)</v>
      </c>
      <c r="D134" s="60"/>
      <c r="E134" s="60"/>
      <c r="F134" s="60"/>
      <c r="G134" s="60"/>
      <c r="H134" s="60"/>
      <c r="I134" s="60"/>
      <c r="J134" s="66">
        <f>IF(Source!F110=0, "", Source!F110)</f>
        <v>88099.82</v>
      </c>
      <c r="K134" s="66"/>
    </row>
    <row r="135" spans="3:11" ht="14.25" x14ac:dyDescent="0.2">
      <c r="C135" s="60" t="str">
        <f>Source!H112</f>
        <v>Стоимость материалов подрядчика</v>
      </c>
      <c r="D135" s="60"/>
      <c r="E135" s="60"/>
      <c r="F135" s="60"/>
      <c r="G135" s="60"/>
      <c r="H135" s="60"/>
      <c r="I135" s="60"/>
      <c r="J135" s="66">
        <f>IF(Source!F112=0, "", Source!F112)</f>
        <v>88099.82</v>
      </c>
      <c r="K135" s="66"/>
    </row>
    <row r="136" spans="3:11" ht="14.25" x14ac:dyDescent="0.2">
      <c r="C136" s="60" t="str">
        <f>Source!H116</f>
        <v>Эксплуатация машин</v>
      </c>
      <c r="D136" s="60"/>
      <c r="E136" s="60"/>
      <c r="F136" s="60"/>
      <c r="G136" s="60"/>
      <c r="H136" s="60"/>
      <c r="I136" s="60"/>
      <c r="J136" s="66">
        <f>IF(Source!F116=0, "", Source!F116)</f>
        <v>11808.87</v>
      </c>
      <c r="K136" s="66"/>
    </row>
    <row r="137" spans="3:11" ht="14.25" x14ac:dyDescent="0.2">
      <c r="C137" s="60" t="str">
        <f>Source!H118</f>
        <v>ЗП машинистов</v>
      </c>
      <c r="D137" s="60"/>
      <c r="E137" s="60"/>
      <c r="F137" s="60"/>
      <c r="G137" s="60"/>
      <c r="H137" s="60"/>
      <c r="I137" s="60"/>
      <c r="J137" s="66">
        <f>IF(Source!F118=0, "", Source!F118)</f>
        <v>3881.91</v>
      </c>
      <c r="K137" s="66"/>
    </row>
    <row r="138" spans="3:11" ht="14.25" x14ac:dyDescent="0.2">
      <c r="C138" s="60" t="str">
        <f>Source!H119</f>
        <v>Основная ЗП рабочих</v>
      </c>
      <c r="D138" s="60"/>
      <c r="E138" s="60"/>
      <c r="F138" s="60"/>
      <c r="G138" s="60"/>
      <c r="H138" s="60"/>
      <c r="I138" s="60"/>
      <c r="J138" s="66">
        <f>IF(Source!F119=0, "", Source!F119)</f>
        <v>27670.42</v>
      </c>
      <c r="K138" s="66"/>
    </row>
    <row r="139" spans="3:11" ht="14.25" x14ac:dyDescent="0.2">
      <c r="C139" s="60" t="str">
        <f>Source!H121</f>
        <v>Строительные работы с НР и СП</v>
      </c>
      <c r="D139" s="60"/>
      <c r="E139" s="60"/>
      <c r="F139" s="60"/>
      <c r="G139" s="60"/>
      <c r="H139" s="60"/>
      <c r="I139" s="60"/>
      <c r="J139" s="66">
        <f>IF(Source!F121=0, "", Source!F121)</f>
        <v>140952.93</v>
      </c>
      <c r="K139" s="66"/>
    </row>
    <row r="140" spans="3:11" ht="14.25" x14ac:dyDescent="0.2">
      <c r="C140" s="60" t="str">
        <f>Source!H122</f>
        <v>Монтажные работы с НР и СП</v>
      </c>
      <c r="D140" s="60"/>
      <c r="E140" s="60"/>
      <c r="F140" s="60"/>
      <c r="G140" s="60"/>
      <c r="H140" s="60"/>
      <c r="I140" s="60"/>
      <c r="J140" s="66">
        <f>IF(Source!F122=0, "", Source!F122)</f>
        <v>32608.880000000001</v>
      </c>
      <c r="K140" s="66"/>
    </row>
    <row r="141" spans="3:11" ht="14.25" x14ac:dyDescent="0.2">
      <c r="C141" s="60" t="str">
        <f>Source!H126</f>
        <v>Трудозатраты строителей</v>
      </c>
      <c r="D141" s="60"/>
      <c r="E141" s="60"/>
      <c r="F141" s="60"/>
      <c r="G141" s="60"/>
      <c r="H141" s="60"/>
      <c r="I141" s="60"/>
      <c r="J141" s="75">
        <f>IF(Source!F126=0, "", Source!F126)</f>
        <v>69.608559</v>
      </c>
      <c r="K141" s="75"/>
    </row>
    <row r="142" spans="3:11" ht="14.25" x14ac:dyDescent="0.2">
      <c r="C142" s="60" t="str">
        <f>Source!H127</f>
        <v>Трудозатраты машинистов</v>
      </c>
      <c r="D142" s="60"/>
      <c r="E142" s="60"/>
      <c r="F142" s="60"/>
      <c r="G142" s="60"/>
      <c r="H142" s="60"/>
      <c r="I142" s="60"/>
      <c r="J142" s="75">
        <f>IF(Source!F127=0, "", Source!F127)</f>
        <v>6.9267700000000003</v>
      </c>
      <c r="K142" s="75"/>
    </row>
    <row r="143" spans="3:11" ht="14.25" x14ac:dyDescent="0.2">
      <c r="C143" s="60" t="str">
        <f>Source!H130</f>
        <v>Накладные расходы</v>
      </c>
      <c r="D143" s="60"/>
      <c r="E143" s="60"/>
      <c r="F143" s="60"/>
      <c r="G143" s="60"/>
      <c r="H143" s="60"/>
      <c r="I143" s="60"/>
      <c r="J143" s="66">
        <f>IF(Source!F130=0, "", Source!F130)</f>
        <v>30084.18</v>
      </c>
      <c r="K143" s="66"/>
    </row>
    <row r="144" spans="3:11" ht="14.25" x14ac:dyDescent="0.2">
      <c r="C144" s="60" t="str">
        <f>Source!H131</f>
        <v>Сметная прибыль</v>
      </c>
      <c r="D144" s="60"/>
      <c r="E144" s="60"/>
      <c r="F144" s="60"/>
      <c r="G144" s="60"/>
      <c r="H144" s="60"/>
      <c r="I144" s="60"/>
      <c r="J144" s="66">
        <f>IF(Source!F131=0, "", Source!F131)</f>
        <v>15898.52</v>
      </c>
      <c r="K144" s="66"/>
    </row>
    <row r="145" spans="1:12" ht="14.25" x14ac:dyDescent="0.2">
      <c r="C145" s="60" t="str">
        <f>Source!H132</f>
        <v>Всего с НР и СП</v>
      </c>
      <c r="D145" s="60"/>
      <c r="E145" s="60"/>
      <c r="F145" s="60"/>
      <c r="G145" s="60"/>
      <c r="H145" s="60"/>
      <c r="I145" s="60"/>
      <c r="J145" s="66">
        <f>IF(Source!F132=0, "", Source!F132)</f>
        <v>173561.81</v>
      </c>
      <c r="K145" s="66"/>
    </row>
    <row r="146" spans="1:12" ht="14.25" x14ac:dyDescent="0.2">
      <c r="C146" s="60" t="str">
        <f>Source!H133</f>
        <v>НДС 20%</v>
      </c>
      <c r="D146" s="60"/>
      <c r="E146" s="60"/>
      <c r="F146" s="60"/>
      <c r="G146" s="60"/>
      <c r="H146" s="60"/>
      <c r="I146" s="60"/>
      <c r="J146" s="66">
        <f>IF(Source!F133=0, "", Source!F133)</f>
        <v>34712.36</v>
      </c>
      <c r="K146" s="66"/>
    </row>
    <row r="147" spans="1:12" ht="15" x14ac:dyDescent="0.25">
      <c r="C147" s="72" t="str">
        <f>Source!H134</f>
        <v>Всего с НДС</v>
      </c>
      <c r="D147" s="72"/>
      <c r="E147" s="72"/>
      <c r="F147" s="72"/>
      <c r="G147" s="72"/>
      <c r="H147" s="72"/>
      <c r="I147" s="72"/>
      <c r="J147" s="71">
        <f>IF(Source!F134=0, "", Source!F134)</f>
        <v>208274.17</v>
      </c>
      <c r="K147" s="71"/>
    </row>
    <row r="150" spans="1:12" ht="14.25" hidden="1" x14ac:dyDescent="0.2">
      <c r="A150" s="34" t="s">
        <v>394</v>
      </c>
      <c r="B150" s="34"/>
      <c r="C150" s="10" t="s">
        <v>395</v>
      </c>
      <c r="D150" s="32"/>
      <c r="E150" s="32"/>
      <c r="F150" s="32"/>
      <c r="G150" s="32"/>
      <c r="H150" s="32"/>
      <c r="I150" s="11"/>
      <c r="J150" s="10"/>
      <c r="K150" s="11"/>
      <c r="L150" s="11"/>
    </row>
    <row r="151" spans="1:12" ht="14.25" hidden="1" x14ac:dyDescent="0.2">
      <c r="A151" s="11"/>
      <c r="B151" s="11"/>
      <c r="C151" s="10"/>
      <c r="D151" s="74" t="s">
        <v>396</v>
      </c>
      <c r="E151" s="74"/>
      <c r="F151" s="74"/>
      <c r="G151" s="74"/>
      <c r="H151" s="74"/>
      <c r="I151" s="11"/>
      <c r="J151" s="10"/>
      <c r="K151" s="11"/>
      <c r="L151" s="11"/>
    </row>
    <row r="152" spans="1:12" ht="14.25" hidden="1" x14ac:dyDescent="0.2">
      <c r="A152" s="11"/>
      <c r="B152" s="11"/>
      <c r="C152" s="10"/>
      <c r="D152" s="11"/>
      <c r="E152" s="11"/>
      <c r="F152" s="11"/>
      <c r="G152" s="11"/>
      <c r="H152" s="11"/>
      <c r="I152" s="11"/>
      <c r="J152" s="10"/>
      <c r="K152" s="11"/>
      <c r="L152" s="11"/>
    </row>
    <row r="153" spans="1:12" ht="14.25" x14ac:dyDescent="0.2">
      <c r="A153" s="34" t="s">
        <v>394</v>
      </c>
      <c r="B153" s="34"/>
      <c r="C153" s="10" t="s">
        <v>397</v>
      </c>
      <c r="D153" s="32" t="str">
        <f>IF(Source!AC12&lt;&gt;"", Source!AC12," ")</f>
        <v xml:space="preserve"> </v>
      </c>
      <c r="E153" s="32"/>
      <c r="F153" s="32"/>
      <c r="G153" s="32"/>
      <c r="H153" s="32"/>
      <c r="I153" s="11" t="str">
        <f>IF(Source!AB12&lt;&gt;"", Source!AB12," ")</f>
        <v>Соломонова Н.В.</v>
      </c>
      <c r="J153" s="10"/>
      <c r="K153" s="11"/>
      <c r="L153" s="11"/>
    </row>
    <row r="154" spans="1:12" ht="14.25" x14ac:dyDescent="0.2">
      <c r="A154" s="11"/>
      <c r="B154" s="11"/>
      <c r="C154" s="11"/>
      <c r="D154" s="74" t="s">
        <v>396</v>
      </c>
      <c r="E154" s="74"/>
      <c r="F154" s="74"/>
      <c r="G154" s="74"/>
      <c r="H154" s="74"/>
      <c r="I154" s="11"/>
      <c r="J154" s="11"/>
      <c r="K154" s="11"/>
      <c r="L154" s="11"/>
    </row>
    <row r="155" spans="1:12" ht="14.25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</row>
    <row r="156" spans="1:12" ht="14.25" x14ac:dyDescent="0.2">
      <c r="A156" s="11"/>
      <c r="B156" s="11"/>
      <c r="C156" s="10" t="s">
        <v>398</v>
      </c>
      <c r="D156" s="32" t="str">
        <f>IF(Source!AE12&lt;&gt;"", Source!AE12," ")</f>
        <v xml:space="preserve"> </v>
      </c>
      <c r="E156" s="32"/>
      <c r="F156" s="32"/>
      <c r="G156" s="32"/>
      <c r="H156" s="32"/>
      <c r="I156" s="11" t="str">
        <f>IF(Source!AD12&lt;&gt;"", Source!AD12," ")</f>
        <v xml:space="preserve"> </v>
      </c>
      <c r="J156" s="10"/>
      <c r="K156" s="11"/>
      <c r="L156" s="11"/>
    </row>
    <row r="157" spans="1:12" ht="14.25" x14ac:dyDescent="0.2">
      <c r="A157" s="11"/>
      <c r="B157" s="11"/>
      <c r="C157" s="11"/>
      <c r="D157" s="74" t="s">
        <v>396</v>
      </c>
      <c r="E157" s="74"/>
      <c r="F157" s="74"/>
      <c r="G157" s="74"/>
      <c r="H157" s="74"/>
      <c r="I157" s="11"/>
      <c r="J157" s="11"/>
      <c r="K157" s="11"/>
      <c r="L157" s="11"/>
    </row>
  </sheetData>
  <mergeCells count="127">
    <mergeCell ref="J1:L1"/>
    <mergeCell ref="J2:L2"/>
    <mergeCell ref="J115:K115"/>
    <mergeCell ref="G115:H115"/>
    <mergeCell ref="F113:G113"/>
    <mergeCell ref="J49:K49"/>
    <mergeCell ref="G49:H49"/>
    <mergeCell ref="A47:L47"/>
    <mergeCell ref="A45:L45"/>
    <mergeCell ref="J51:K51"/>
    <mergeCell ref="G51:H51"/>
    <mergeCell ref="C141:I141"/>
    <mergeCell ref="J141:K141"/>
    <mergeCell ref="C142:I142"/>
    <mergeCell ref="J142:K142"/>
    <mergeCell ref="C137:I137"/>
    <mergeCell ref="J137:K137"/>
    <mergeCell ref="C138:I138"/>
    <mergeCell ref="G122:H122"/>
    <mergeCell ref="F120:G120"/>
    <mergeCell ref="J138:K138"/>
    <mergeCell ref="C139:I139"/>
    <mergeCell ref="J139:K139"/>
    <mergeCell ref="C134:I134"/>
    <mergeCell ref="J134:K134"/>
    <mergeCell ref="C135:I135"/>
    <mergeCell ref="J135:K135"/>
    <mergeCell ref="C136:I136"/>
    <mergeCell ref="J136:K136"/>
    <mergeCell ref="D157:H157"/>
    <mergeCell ref="J106:K106"/>
    <mergeCell ref="G106:H106"/>
    <mergeCell ref="F104:G104"/>
    <mergeCell ref="J96:K96"/>
    <mergeCell ref="G96:H96"/>
    <mergeCell ref="G124:H124"/>
    <mergeCell ref="J124:K124"/>
    <mergeCell ref="A124:F124"/>
    <mergeCell ref="J122:K122"/>
    <mergeCell ref="C146:I146"/>
    <mergeCell ref="J146:K146"/>
    <mergeCell ref="C147:I147"/>
    <mergeCell ref="J147:K147"/>
    <mergeCell ref="D151:H151"/>
    <mergeCell ref="D154:H154"/>
    <mergeCell ref="C143:I143"/>
    <mergeCell ref="J143:K143"/>
    <mergeCell ref="C144:I144"/>
    <mergeCell ref="J144:K144"/>
    <mergeCell ref="C145:I145"/>
    <mergeCell ref="J145:K145"/>
    <mergeCell ref="C140:I140"/>
    <mergeCell ref="J140:K140"/>
    <mergeCell ref="A41:L41"/>
    <mergeCell ref="C131:I131"/>
    <mergeCell ref="J131:K131"/>
    <mergeCell ref="C132:I132"/>
    <mergeCell ref="J132:K132"/>
    <mergeCell ref="C133:I133"/>
    <mergeCell ref="J133:K133"/>
    <mergeCell ref="F94:G94"/>
    <mergeCell ref="J86:K86"/>
    <mergeCell ref="G86:H86"/>
    <mergeCell ref="G128:H128"/>
    <mergeCell ref="J128:K128"/>
    <mergeCell ref="A128:F128"/>
    <mergeCell ref="A57:L57"/>
    <mergeCell ref="G53:H53"/>
    <mergeCell ref="J53:K53"/>
    <mergeCell ref="A53:F53"/>
    <mergeCell ref="J77:K77"/>
    <mergeCell ref="G77:H77"/>
    <mergeCell ref="F75:G75"/>
    <mergeCell ref="J68:K68"/>
    <mergeCell ref="G68:H68"/>
    <mergeCell ref="J66:K66"/>
    <mergeCell ref="G66:H66"/>
    <mergeCell ref="C35:F35"/>
    <mergeCell ref="G35:H35"/>
    <mergeCell ref="I35:J35"/>
    <mergeCell ref="K35:L35"/>
    <mergeCell ref="C36:F36"/>
    <mergeCell ref="G36:H36"/>
    <mergeCell ref="I36:J36"/>
    <mergeCell ref="C33:F33"/>
    <mergeCell ref="G33:H33"/>
    <mergeCell ref="I33:J33"/>
    <mergeCell ref="K33:L33"/>
    <mergeCell ref="C34:F34"/>
    <mergeCell ref="G34:H34"/>
    <mergeCell ref="I34:J34"/>
    <mergeCell ref="K34:L34"/>
    <mergeCell ref="C31:F31"/>
    <mergeCell ref="G31:H31"/>
    <mergeCell ref="I31:J31"/>
    <mergeCell ref="K31:L31"/>
    <mergeCell ref="C32:F32"/>
    <mergeCell ref="G32:H32"/>
    <mergeCell ref="I32:J32"/>
    <mergeCell ref="K32:L32"/>
    <mergeCell ref="C29:F29"/>
    <mergeCell ref="G29:H29"/>
    <mergeCell ref="I29:J29"/>
    <mergeCell ref="K29:L29"/>
    <mergeCell ref="C30:F30"/>
    <mergeCell ref="G30:H30"/>
    <mergeCell ref="I30:J30"/>
    <mergeCell ref="K30:L30"/>
    <mergeCell ref="B23:K23"/>
    <mergeCell ref="A25:L25"/>
    <mergeCell ref="G28:H28"/>
    <mergeCell ref="I28:J28"/>
    <mergeCell ref="B10:E10"/>
    <mergeCell ref="H10:L10"/>
    <mergeCell ref="B13:K13"/>
    <mergeCell ref="B14:K14"/>
    <mergeCell ref="F16:G16"/>
    <mergeCell ref="H16:K16"/>
    <mergeCell ref="B6:E6"/>
    <mergeCell ref="H6:L6"/>
    <mergeCell ref="B7:E7"/>
    <mergeCell ref="H7:L7"/>
    <mergeCell ref="B9:E9"/>
    <mergeCell ref="H9:L9"/>
    <mergeCell ref="B18:K18"/>
    <mergeCell ref="B20:K20"/>
    <mergeCell ref="B22:K22"/>
  </mergeCells>
  <pageMargins left="0.4" right="0.2" top="0.2" bottom="0.4" header="0.2" footer="0.2"/>
  <pageSetup paperSize="9" scale="60" fitToHeight="0" orientation="portrait" horizontalDpi="4294967292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203"/>
  <sheetViews>
    <sheetView workbookViewId="0">
      <selection activeCell="G12" sqref="G12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31883</v>
      </c>
      <c r="M1">
        <v>146472648</v>
      </c>
      <c r="N1">
        <v>11</v>
      </c>
      <c r="O1">
        <v>6</v>
      </c>
      <c r="P1">
        <v>5</v>
      </c>
      <c r="Q1">
        <v>6</v>
      </c>
    </row>
    <row r="4" spans="1:133" x14ac:dyDescent="0.2">
      <c r="A4" s="1">
        <v>8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198</v>
      </c>
      <c r="C12" s="1">
        <v>0</v>
      </c>
      <c r="D12" s="1">
        <f>ROW(A136)</f>
        <v>136</v>
      </c>
      <c r="E12" s="1">
        <v>0</v>
      </c>
      <c r="F12" s="1">
        <v>1</v>
      </c>
      <c r="G12" s="1" t="s">
        <v>6</v>
      </c>
      <c r="H12" s="1" t="s">
        <v>3</v>
      </c>
      <c r="I12" s="1">
        <v>0</v>
      </c>
      <c r="J12" s="1" t="s">
        <v>7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8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9</v>
      </c>
      <c r="BI12" s="1" t="s">
        <v>10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11</v>
      </c>
      <c r="BZ12" s="1" t="s">
        <v>12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14</v>
      </c>
      <c r="CF12" s="1">
        <v>0</v>
      </c>
      <c r="CG12" s="1">
        <v>0</v>
      </c>
      <c r="CH12" s="1">
        <v>17301512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353</v>
      </c>
      <c r="CR12" s="1" t="s">
        <v>15</v>
      </c>
      <c r="CS12" s="1">
        <v>44551</v>
      </c>
      <c r="CT12" s="1">
        <v>395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B136</f>
        <v>198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>
        <f t="shared" si="0"/>
        <v>1</v>
      </c>
      <c r="G18" s="2" t="str">
        <f t="shared" si="0"/>
        <v>Усиление плит перекрытия и очистка кровли от технологических отложений здания  сырьевых мельниц, лит.13 на АО «Невьянский цементник».</v>
      </c>
      <c r="H18" s="2"/>
      <c r="I18" s="2"/>
      <c r="J18" s="2"/>
      <c r="K18" s="2"/>
      <c r="L18" s="2"/>
      <c r="M18" s="2"/>
      <c r="N18" s="2"/>
      <c r="O18" s="2">
        <f t="shared" ref="O18:AT18" si="1">O136</f>
        <v>127579.11</v>
      </c>
      <c r="P18" s="2">
        <f t="shared" si="1"/>
        <v>88099.82</v>
      </c>
      <c r="Q18" s="2">
        <f t="shared" si="1"/>
        <v>11808.87</v>
      </c>
      <c r="R18" s="2">
        <f t="shared" si="1"/>
        <v>3881.91</v>
      </c>
      <c r="S18" s="2">
        <f t="shared" si="1"/>
        <v>27670.42</v>
      </c>
      <c r="T18" s="2">
        <f t="shared" si="1"/>
        <v>0</v>
      </c>
      <c r="U18" s="2">
        <f t="shared" si="1"/>
        <v>69.608559</v>
      </c>
      <c r="V18" s="2">
        <f t="shared" si="1"/>
        <v>6.9267700000000003</v>
      </c>
      <c r="W18" s="2">
        <f t="shared" si="1"/>
        <v>0</v>
      </c>
      <c r="X18" s="2">
        <f t="shared" si="1"/>
        <v>30084.18</v>
      </c>
      <c r="Y18" s="2">
        <f t="shared" si="1"/>
        <v>15898.52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173561.81</v>
      </c>
      <c r="AS18" s="2">
        <f t="shared" si="1"/>
        <v>140952.93</v>
      </c>
      <c r="AT18" s="2">
        <f t="shared" si="1"/>
        <v>32608.880000000001</v>
      </c>
      <c r="AU18" s="2">
        <f t="shared" ref="AU18:BZ18" si="2">AU136</f>
        <v>0</v>
      </c>
      <c r="AV18" s="2">
        <f t="shared" si="2"/>
        <v>88099.82</v>
      </c>
      <c r="AW18" s="2">
        <f t="shared" si="2"/>
        <v>88099.82</v>
      </c>
      <c r="AX18" s="2">
        <f t="shared" si="2"/>
        <v>0</v>
      </c>
      <c r="AY18" s="2">
        <f t="shared" si="2"/>
        <v>88099.82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CA136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DG136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EM136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FS136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ROW(A104)</f>
        <v>104</v>
      </c>
      <c r="E20" s="1"/>
      <c r="F20" s="1" t="s">
        <v>16</v>
      </c>
      <c r="G20" s="1" t="s">
        <v>3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B104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№1</v>
      </c>
      <c r="G22" s="2" t="str">
        <f t="shared" si="7"/>
        <v/>
      </c>
      <c r="H22" s="2"/>
      <c r="I22" s="2"/>
      <c r="J22" s="2"/>
      <c r="K22" s="2"/>
      <c r="L22" s="2"/>
      <c r="M22" s="2"/>
      <c r="N22" s="2"/>
      <c r="O22" s="2">
        <f t="shared" ref="O22:AT22" si="8">O104</f>
        <v>127579.11</v>
      </c>
      <c r="P22" s="2">
        <f t="shared" si="8"/>
        <v>88099.82</v>
      </c>
      <c r="Q22" s="2">
        <f t="shared" si="8"/>
        <v>11808.87</v>
      </c>
      <c r="R22" s="2">
        <f t="shared" si="8"/>
        <v>3881.91</v>
      </c>
      <c r="S22" s="2">
        <f t="shared" si="8"/>
        <v>27670.42</v>
      </c>
      <c r="T22" s="2">
        <f t="shared" si="8"/>
        <v>0</v>
      </c>
      <c r="U22" s="2">
        <f t="shared" si="8"/>
        <v>69.608559</v>
      </c>
      <c r="V22" s="2">
        <f t="shared" si="8"/>
        <v>6.9267700000000003</v>
      </c>
      <c r="W22" s="2">
        <f t="shared" si="8"/>
        <v>0</v>
      </c>
      <c r="X22" s="2">
        <f t="shared" si="8"/>
        <v>30084.18</v>
      </c>
      <c r="Y22" s="2">
        <f t="shared" si="8"/>
        <v>15898.52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173561.81</v>
      </c>
      <c r="AS22" s="2">
        <f t="shared" si="8"/>
        <v>140952.93</v>
      </c>
      <c r="AT22" s="2">
        <f t="shared" si="8"/>
        <v>32608.880000000001</v>
      </c>
      <c r="AU22" s="2">
        <f t="shared" ref="AU22:BZ22" si="9">AU104</f>
        <v>0</v>
      </c>
      <c r="AV22" s="2">
        <f t="shared" si="9"/>
        <v>88099.82</v>
      </c>
      <c r="AW22" s="2">
        <f t="shared" si="9"/>
        <v>88099.82</v>
      </c>
      <c r="AX22" s="2">
        <f t="shared" si="9"/>
        <v>0</v>
      </c>
      <c r="AY22" s="2">
        <f t="shared" si="9"/>
        <v>88099.82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CA104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DG104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EM104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FS104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ROW(A31)</f>
        <v>31</v>
      </c>
      <c r="E24" s="1"/>
      <c r="F24" s="1" t="s">
        <v>17</v>
      </c>
      <c r="G24" s="1" t="s">
        <v>18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B31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Очистка кровли от технологических отложений на отм. + 42,150</v>
      </c>
      <c r="H26" s="2"/>
      <c r="I26" s="2"/>
      <c r="J26" s="2"/>
      <c r="K26" s="2"/>
      <c r="L26" s="2"/>
      <c r="M26" s="2"/>
      <c r="N26" s="2"/>
      <c r="O26" s="2">
        <f t="shared" ref="O26:AT26" si="15">O31</f>
        <v>86383.55</v>
      </c>
      <c r="P26" s="2">
        <f t="shared" si="15"/>
        <v>86383.55</v>
      </c>
      <c r="Q26" s="2">
        <f t="shared" si="15"/>
        <v>0</v>
      </c>
      <c r="R26" s="2">
        <f t="shared" si="15"/>
        <v>0</v>
      </c>
      <c r="S26" s="2">
        <f t="shared" si="15"/>
        <v>0</v>
      </c>
      <c r="T26" s="2">
        <f t="shared" si="15"/>
        <v>0</v>
      </c>
      <c r="U26" s="2">
        <f t="shared" si="15"/>
        <v>0</v>
      </c>
      <c r="V26" s="2">
        <f t="shared" si="15"/>
        <v>0</v>
      </c>
      <c r="W26" s="2">
        <f t="shared" si="15"/>
        <v>0</v>
      </c>
      <c r="X26" s="2">
        <f t="shared" si="15"/>
        <v>0</v>
      </c>
      <c r="Y26" s="2">
        <f t="shared" si="15"/>
        <v>0</v>
      </c>
      <c r="Z26" s="2">
        <f t="shared" si="15"/>
        <v>0</v>
      </c>
      <c r="AA26" s="2">
        <f t="shared" si="15"/>
        <v>0</v>
      </c>
      <c r="AB26" s="2">
        <f t="shared" si="15"/>
        <v>86383.55</v>
      </c>
      <c r="AC26" s="2">
        <f t="shared" si="15"/>
        <v>86383.55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86383.55</v>
      </c>
      <c r="AS26" s="2">
        <f t="shared" si="15"/>
        <v>86383.55</v>
      </c>
      <c r="AT26" s="2">
        <f t="shared" si="15"/>
        <v>0</v>
      </c>
      <c r="AU26" s="2">
        <f t="shared" ref="AU26:BZ26" si="16">AU31</f>
        <v>0</v>
      </c>
      <c r="AV26" s="2">
        <f t="shared" si="16"/>
        <v>86383.55</v>
      </c>
      <c r="AW26" s="2">
        <f t="shared" si="16"/>
        <v>86383.55</v>
      </c>
      <c r="AX26" s="2">
        <f t="shared" si="16"/>
        <v>0</v>
      </c>
      <c r="AY26" s="2">
        <f t="shared" si="16"/>
        <v>86383.55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CA31</f>
        <v>86383.55</v>
      </c>
      <c r="CB26" s="2">
        <f t="shared" si="17"/>
        <v>86383.55</v>
      </c>
      <c r="CC26" s="2">
        <f t="shared" si="17"/>
        <v>0</v>
      </c>
      <c r="CD26" s="2">
        <f t="shared" si="17"/>
        <v>0</v>
      </c>
      <c r="CE26" s="2">
        <f t="shared" si="17"/>
        <v>86383.55</v>
      </c>
      <c r="CF26" s="2">
        <f t="shared" si="17"/>
        <v>86383.55</v>
      </c>
      <c r="CG26" s="2">
        <f t="shared" si="17"/>
        <v>0</v>
      </c>
      <c r="CH26" s="2">
        <f t="shared" si="17"/>
        <v>86383.55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DG31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EM31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FS31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E28" t="s">
        <v>19</v>
      </c>
      <c r="F28" t="s">
        <v>20</v>
      </c>
      <c r="G28" t="s">
        <v>21</v>
      </c>
      <c r="H28" t="s">
        <v>22</v>
      </c>
      <c r="I28">
        <v>18</v>
      </c>
      <c r="J28">
        <v>0</v>
      </c>
      <c r="K28">
        <v>18</v>
      </c>
      <c r="O28">
        <f>ROUND(CP28,2)</f>
        <v>32634.23</v>
      </c>
      <c r="P28">
        <f>ROUND(CQ28*I28,2)</f>
        <v>32634.23</v>
      </c>
      <c r="Q28">
        <f>ROUND(CR28*I28,2)</f>
        <v>0</v>
      </c>
      <c r="R28">
        <f>ROUND(CS28*I28,2)</f>
        <v>0</v>
      </c>
      <c r="S28">
        <f>ROUND(CT28*I28,2)</f>
        <v>0</v>
      </c>
      <c r="T28">
        <f>ROUND(CU28*I28,2)</f>
        <v>0</v>
      </c>
      <c r="U28">
        <f>CV28*I28</f>
        <v>0</v>
      </c>
      <c r="V28">
        <f>CW28*I28</f>
        <v>0</v>
      </c>
      <c r="W28">
        <f>ROUND(CX28*I28,2)</f>
        <v>0</v>
      </c>
      <c r="X28">
        <f>ROUND(CY28,2)</f>
        <v>0</v>
      </c>
      <c r="Y28">
        <f>ROUND(CZ28,2)</f>
        <v>0</v>
      </c>
      <c r="AA28">
        <v>146437721</v>
      </c>
      <c r="AB28">
        <f>ROUND((AC28+AD28+AF28),2)</f>
        <v>216.35</v>
      </c>
      <c r="AC28">
        <f>ROUND((ES28),2)</f>
        <v>216.35</v>
      </c>
      <c r="AD28">
        <f>ROUND((((ET28)-(EU28))+AE28),2)</f>
        <v>0</v>
      </c>
      <c r="AE28">
        <f>ROUND((EU28),2)</f>
        <v>0</v>
      </c>
      <c r="AF28">
        <f>ROUND((EV28),2)</f>
        <v>0</v>
      </c>
      <c r="AG28">
        <f>ROUND((AP28),2)</f>
        <v>0</v>
      </c>
      <c r="AH28">
        <f>(EW28)</f>
        <v>0</v>
      </c>
      <c r="AI28">
        <f>(EX28)</f>
        <v>0</v>
      </c>
      <c r="AJ28">
        <f>(AS28)</f>
        <v>0</v>
      </c>
      <c r="AK28">
        <v>216.35</v>
      </c>
      <c r="AL28">
        <v>216.35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8.3800000000000008</v>
      </c>
      <c r="BD28" t="s">
        <v>3</v>
      </c>
      <c r="BE28" t="s">
        <v>3</v>
      </c>
      <c r="BF28" t="s">
        <v>3</v>
      </c>
      <c r="BG28" t="s">
        <v>3</v>
      </c>
      <c r="BH28">
        <v>3</v>
      </c>
      <c r="BI28">
        <v>1</v>
      </c>
      <c r="BJ28" t="s">
        <v>3</v>
      </c>
      <c r="BM28">
        <v>1100</v>
      </c>
      <c r="BN28">
        <v>0</v>
      </c>
      <c r="BO28" t="s">
        <v>3</v>
      </c>
      <c r="BP28">
        <v>0</v>
      </c>
      <c r="BQ28">
        <v>8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0</v>
      </c>
      <c r="CA28">
        <v>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32634.23</v>
      </c>
      <c r="CQ28">
        <f>AC28*BC28</f>
        <v>1813.0130000000001</v>
      </c>
      <c r="CR28">
        <f>(((ET28)*BB28-(EU28)*BS28)+AE28*BS28)</f>
        <v>0</v>
      </c>
      <c r="CS28">
        <f>AE28*BS28</f>
        <v>0</v>
      </c>
      <c r="CT28">
        <f>AF28*BA28</f>
        <v>0</v>
      </c>
      <c r="CU28">
        <f t="shared" ref="CU28:CX29" si="21">AG28</f>
        <v>0</v>
      </c>
      <c r="CV28">
        <f t="shared" si="21"/>
        <v>0</v>
      </c>
      <c r="CW28">
        <f t="shared" si="21"/>
        <v>0</v>
      </c>
      <c r="CX28">
        <f t="shared" si="21"/>
        <v>0</v>
      </c>
      <c r="CY28">
        <f>(((S28+R28)*AT28)/100)</f>
        <v>0</v>
      </c>
      <c r="CZ28">
        <f>(((S28+R28)*AU28)/100)</f>
        <v>0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1009</v>
      </c>
      <c r="DV28" t="s">
        <v>22</v>
      </c>
      <c r="DW28" t="s">
        <v>22</v>
      </c>
      <c r="DX28">
        <v>1000</v>
      </c>
      <c r="DZ28" t="s">
        <v>3</v>
      </c>
      <c r="EA28" t="s">
        <v>3</v>
      </c>
      <c r="EB28" t="s">
        <v>3</v>
      </c>
      <c r="EC28" t="s">
        <v>3</v>
      </c>
      <c r="EE28">
        <v>140625274</v>
      </c>
      <c r="EF28">
        <v>8</v>
      </c>
      <c r="EG28" t="s">
        <v>23</v>
      </c>
      <c r="EH28">
        <v>0</v>
      </c>
      <c r="EI28" t="s">
        <v>3</v>
      </c>
      <c r="EJ28">
        <v>1</v>
      </c>
      <c r="EK28">
        <v>1100</v>
      </c>
      <c r="EL28" t="s">
        <v>24</v>
      </c>
      <c r="EM28" t="s">
        <v>25</v>
      </c>
      <c r="EO28" t="s">
        <v>3</v>
      </c>
      <c r="EQ28">
        <v>0</v>
      </c>
      <c r="ER28">
        <v>218.17</v>
      </c>
      <c r="ES28">
        <v>216.35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5</v>
      </c>
      <c r="FC28">
        <v>0</v>
      </c>
      <c r="FD28">
        <v>18</v>
      </c>
      <c r="FF28">
        <v>1813</v>
      </c>
      <c r="FQ28">
        <v>0</v>
      </c>
      <c r="FR28">
        <f>ROUND(IF(BI28=3,GM28,0),2)</f>
        <v>0</v>
      </c>
      <c r="FS28">
        <v>0</v>
      </c>
      <c r="FX28">
        <v>0</v>
      </c>
      <c r="FY28">
        <v>0</v>
      </c>
      <c r="GA28" t="s">
        <v>26</v>
      </c>
      <c r="GD28">
        <v>1</v>
      </c>
      <c r="GF28">
        <v>469765175</v>
      </c>
      <c r="GG28">
        <v>2</v>
      </c>
      <c r="GH28">
        <v>3</v>
      </c>
      <c r="GI28">
        <v>4</v>
      </c>
      <c r="GJ28">
        <v>0</v>
      </c>
      <c r="GK28">
        <v>0</v>
      </c>
      <c r="GL28">
        <f>ROUND(IF(AND(BH28=3,BI28=3,FS28&lt;&gt;0),P28,0),2)</f>
        <v>0</v>
      </c>
      <c r="GM28">
        <f>ROUND(O28+X28+Y28,2)+GX28</f>
        <v>32634.23</v>
      </c>
      <c r="GN28">
        <f>IF(OR(BI28=0,BI28=1),ROUND(O28+X28+Y28,2),0)</f>
        <v>32634.23</v>
      </c>
      <c r="GO28">
        <f>IF(BI28=2,ROUND(O28+X28+Y28,2),0)</f>
        <v>0</v>
      </c>
      <c r="GP28">
        <f>IF(BI28=4,ROUND(O28+X28+Y28,2)+GX28,0)</f>
        <v>0</v>
      </c>
      <c r="GR28">
        <v>1</v>
      </c>
      <c r="GS28">
        <v>1</v>
      </c>
      <c r="GT28">
        <v>0</v>
      </c>
      <c r="GU28" t="s">
        <v>3</v>
      </c>
      <c r="GV28">
        <f>ROUND((GT28),2)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27</v>
      </c>
      <c r="HF28" t="s">
        <v>27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E29" t="s">
        <v>28</v>
      </c>
      <c r="F29" t="s">
        <v>20</v>
      </c>
      <c r="G29" t="s">
        <v>29</v>
      </c>
      <c r="H29" t="s">
        <v>30</v>
      </c>
      <c r="I29">
        <v>40</v>
      </c>
      <c r="J29">
        <v>0</v>
      </c>
      <c r="K29">
        <v>40</v>
      </c>
      <c r="O29">
        <f>ROUND(CP29,2)</f>
        <v>53749.32</v>
      </c>
      <c r="P29">
        <f>ROUND(CQ29*I29,2)</f>
        <v>53749.32</v>
      </c>
      <c r="Q29">
        <f>ROUND(CR29*I29,2)</f>
        <v>0</v>
      </c>
      <c r="R29">
        <f>ROUND(CS29*I29,2)</f>
        <v>0</v>
      </c>
      <c r="S29">
        <f>ROUND(CT29*I29,2)</f>
        <v>0</v>
      </c>
      <c r="T29">
        <f>ROUND(CU29*I29,2)</f>
        <v>0</v>
      </c>
      <c r="U29">
        <f>CV29*I29</f>
        <v>0</v>
      </c>
      <c r="V29">
        <f>CW29*I29</f>
        <v>0</v>
      </c>
      <c r="W29">
        <f>ROUND(CX29*I29,2)</f>
        <v>0</v>
      </c>
      <c r="X29">
        <f>ROUND(CY29,2)</f>
        <v>0</v>
      </c>
      <c r="Y29">
        <f>ROUND(CZ29,2)</f>
        <v>0</v>
      </c>
      <c r="AA29">
        <v>146437721</v>
      </c>
      <c r="AB29">
        <f>ROUND((AC29+AD29+AF29),2)</f>
        <v>160.35</v>
      </c>
      <c r="AC29">
        <f>ROUND((ES29),2)</f>
        <v>160.35</v>
      </c>
      <c r="AD29">
        <f>ROUND((((ET29)-(EU29))+AE29),2)</f>
        <v>0</v>
      </c>
      <c r="AE29">
        <f>ROUND((EU29),2)</f>
        <v>0</v>
      </c>
      <c r="AF29">
        <f>ROUND((EV29),2)</f>
        <v>0</v>
      </c>
      <c r="AG29">
        <f>ROUND((AP29),2)</f>
        <v>0</v>
      </c>
      <c r="AH29">
        <f>(EW29)</f>
        <v>0</v>
      </c>
      <c r="AI29">
        <f>(EX29)</f>
        <v>0</v>
      </c>
      <c r="AJ29">
        <f>(AS29)</f>
        <v>0</v>
      </c>
      <c r="AK29">
        <v>160.35</v>
      </c>
      <c r="AL29">
        <v>160.35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8.3800000000000008</v>
      </c>
      <c r="BD29" t="s">
        <v>3</v>
      </c>
      <c r="BE29" t="s">
        <v>3</v>
      </c>
      <c r="BF29" t="s">
        <v>3</v>
      </c>
      <c r="BG29" t="s">
        <v>3</v>
      </c>
      <c r="BH29">
        <v>3</v>
      </c>
      <c r="BI29">
        <v>1</v>
      </c>
      <c r="BJ29" t="s">
        <v>3</v>
      </c>
      <c r="BM29">
        <v>1100</v>
      </c>
      <c r="BN29">
        <v>0</v>
      </c>
      <c r="BO29" t="s">
        <v>3</v>
      </c>
      <c r="BP29">
        <v>0</v>
      </c>
      <c r="BQ29">
        <v>8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</v>
      </c>
      <c r="CA29">
        <v>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(P29+Q29+S29)</f>
        <v>53749.32</v>
      </c>
      <c r="CQ29">
        <f>AC29*BC29</f>
        <v>1343.7330000000002</v>
      </c>
      <c r="CR29">
        <f>(((ET29)*BB29-(EU29)*BS29)+AE29*BS29)</f>
        <v>0</v>
      </c>
      <c r="CS29">
        <f>AE29*BS29</f>
        <v>0</v>
      </c>
      <c r="CT29">
        <f>AF29*BA29</f>
        <v>0</v>
      </c>
      <c r="CU29">
        <f t="shared" si="21"/>
        <v>0</v>
      </c>
      <c r="CV29">
        <f t="shared" si="21"/>
        <v>0</v>
      </c>
      <c r="CW29">
        <f t="shared" si="21"/>
        <v>0</v>
      </c>
      <c r="CX29">
        <f t="shared" si="21"/>
        <v>0</v>
      </c>
      <c r="CY29">
        <f>(((S29+R29)*AT29)/100)</f>
        <v>0</v>
      </c>
      <c r="CZ29">
        <f>(((S29+R29)*AU29)/100)</f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30</v>
      </c>
      <c r="DW29" t="s">
        <v>30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140625274</v>
      </c>
      <c r="EF29">
        <v>8</v>
      </c>
      <c r="EG29" t="s">
        <v>23</v>
      </c>
      <c r="EH29">
        <v>0</v>
      </c>
      <c r="EI29" t="s">
        <v>3</v>
      </c>
      <c r="EJ29">
        <v>1</v>
      </c>
      <c r="EK29">
        <v>1100</v>
      </c>
      <c r="EL29" t="s">
        <v>24</v>
      </c>
      <c r="EM29" t="s">
        <v>25</v>
      </c>
      <c r="EO29" t="s">
        <v>3</v>
      </c>
      <c r="EQ29">
        <v>1310720</v>
      </c>
      <c r="ER29">
        <v>160.35</v>
      </c>
      <c r="ES29">
        <v>160.35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5</v>
      </c>
      <c r="FC29">
        <v>1</v>
      </c>
      <c r="FD29">
        <v>18</v>
      </c>
      <c r="FF29">
        <v>1612.5</v>
      </c>
      <c r="FQ29">
        <v>0</v>
      </c>
      <c r="FR29">
        <f>ROUND(IF(BI29=3,GM29,0),2)</f>
        <v>0</v>
      </c>
      <c r="FS29">
        <v>0</v>
      </c>
      <c r="FX29">
        <v>0</v>
      </c>
      <c r="FY29">
        <v>0</v>
      </c>
      <c r="GA29" t="s">
        <v>31</v>
      </c>
      <c r="GD29">
        <v>1</v>
      </c>
      <c r="GF29">
        <v>2023047676</v>
      </c>
      <c r="GG29">
        <v>2</v>
      </c>
      <c r="GH29">
        <v>3</v>
      </c>
      <c r="GI29">
        <v>4</v>
      </c>
      <c r="GJ29">
        <v>0</v>
      </c>
      <c r="GK29">
        <v>0</v>
      </c>
      <c r="GL29">
        <f>ROUND(IF(AND(BH29=3,BI29=3,FS29&lt;&gt;0),P29,0),2)</f>
        <v>0</v>
      </c>
      <c r="GM29">
        <f>ROUND(O29+X29+Y29,2)+GX29</f>
        <v>53749.32</v>
      </c>
      <c r="GN29">
        <f>IF(OR(BI29=0,BI29=1),ROUND(O29+X29+Y29,2),0)</f>
        <v>53749.32</v>
      </c>
      <c r="GO29">
        <f>IF(BI29=2,ROUND(O29+X29+Y29,2),0)</f>
        <v>0</v>
      </c>
      <c r="GP29">
        <f>IF(BI29=4,ROUND(O29+X29+Y29,2)+GX29,0)</f>
        <v>0</v>
      </c>
      <c r="GR29">
        <v>1</v>
      </c>
      <c r="GS29">
        <v>1</v>
      </c>
      <c r="GT29">
        <v>0</v>
      </c>
      <c r="GU29" t="s">
        <v>3</v>
      </c>
      <c r="GV29">
        <f>ROUND((GT29),2)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27</v>
      </c>
      <c r="HF29" t="s">
        <v>27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1" spans="1:245" x14ac:dyDescent="0.2">
      <c r="A31" s="2">
        <v>51</v>
      </c>
      <c r="B31" s="2">
        <f>B24</f>
        <v>1</v>
      </c>
      <c r="C31" s="2">
        <f>A24</f>
        <v>4</v>
      </c>
      <c r="D31" s="2">
        <f>ROW(A24)</f>
        <v>24</v>
      </c>
      <c r="E31" s="2"/>
      <c r="F31" s="2" t="str">
        <f>IF(F24&lt;&gt;"",F24,"")</f>
        <v>Новый раздел</v>
      </c>
      <c r="G31" s="2" t="str">
        <f>IF(G24&lt;&gt;"",G24,"")</f>
        <v>Очистка кровли от технологических отложений на отм. + 42,150</v>
      </c>
      <c r="H31" s="2">
        <v>0</v>
      </c>
      <c r="I31" s="2"/>
      <c r="J31" s="2"/>
      <c r="K31" s="2"/>
      <c r="L31" s="2"/>
      <c r="M31" s="2"/>
      <c r="N31" s="2"/>
      <c r="O31" s="2">
        <f t="shared" ref="O31:T31" si="22">ROUND(AB31,2)</f>
        <v>86383.55</v>
      </c>
      <c r="P31" s="2">
        <f t="shared" si="22"/>
        <v>86383.55</v>
      </c>
      <c r="Q31" s="2">
        <f t="shared" si="22"/>
        <v>0</v>
      </c>
      <c r="R31" s="2">
        <f t="shared" si="22"/>
        <v>0</v>
      </c>
      <c r="S31" s="2">
        <f t="shared" si="22"/>
        <v>0</v>
      </c>
      <c r="T31" s="2">
        <f t="shared" si="22"/>
        <v>0</v>
      </c>
      <c r="U31" s="2">
        <f>AH31</f>
        <v>0</v>
      </c>
      <c r="V31" s="2">
        <f>AI31</f>
        <v>0</v>
      </c>
      <c r="W31" s="2">
        <f>ROUND(AJ31,2)</f>
        <v>0</v>
      </c>
      <c r="X31" s="2">
        <f>ROUND(AK31,2)</f>
        <v>0</v>
      </c>
      <c r="Y31" s="2">
        <f>ROUND(AL31,2)</f>
        <v>0</v>
      </c>
      <c r="Z31" s="2"/>
      <c r="AA31" s="2"/>
      <c r="AB31" s="2">
        <f>ROUND(SUMIF(AA28:AA29,"=146437721",O28:O29),2)</f>
        <v>86383.55</v>
      </c>
      <c r="AC31" s="2">
        <f>ROUND(SUMIF(AA28:AA29,"=146437721",P28:P29),2)</f>
        <v>86383.55</v>
      </c>
      <c r="AD31" s="2">
        <f>ROUND(SUMIF(AA28:AA29,"=146437721",Q28:Q29),2)</f>
        <v>0</v>
      </c>
      <c r="AE31" s="2">
        <f>ROUND(SUMIF(AA28:AA29,"=146437721",R28:R29),2)</f>
        <v>0</v>
      </c>
      <c r="AF31" s="2">
        <f>ROUND(SUMIF(AA28:AA29,"=146437721",S28:S29),2)</f>
        <v>0</v>
      </c>
      <c r="AG31" s="2">
        <f>ROUND(SUMIF(AA28:AA29,"=146437721",T28:T29),2)</f>
        <v>0</v>
      </c>
      <c r="AH31" s="2">
        <f>SUMIF(AA28:AA29,"=146437721",U28:U29)</f>
        <v>0</v>
      </c>
      <c r="AI31" s="2">
        <f>SUMIF(AA28:AA29,"=146437721",V28:V29)</f>
        <v>0</v>
      </c>
      <c r="AJ31" s="2">
        <f>ROUND(SUMIF(AA28:AA29,"=146437721",W28:W29),2)</f>
        <v>0</v>
      </c>
      <c r="AK31" s="2">
        <f>ROUND(SUMIF(AA28:AA29,"=146437721",X28:X29),2)</f>
        <v>0</v>
      </c>
      <c r="AL31" s="2">
        <f>ROUND(SUMIF(AA28:AA29,"=146437721",Y28:Y29),2)</f>
        <v>0</v>
      </c>
      <c r="AM31" s="2"/>
      <c r="AN31" s="2"/>
      <c r="AO31" s="2">
        <f t="shared" ref="AO31:BD31" si="23">ROUND(BX31,2)</f>
        <v>0</v>
      </c>
      <c r="AP31" s="2">
        <f t="shared" si="23"/>
        <v>0</v>
      </c>
      <c r="AQ31" s="2">
        <f t="shared" si="23"/>
        <v>0</v>
      </c>
      <c r="AR31" s="2">
        <f t="shared" si="23"/>
        <v>86383.55</v>
      </c>
      <c r="AS31" s="2">
        <f t="shared" si="23"/>
        <v>86383.55</v>
      </c>
      <c r="AT31" s="2">
        <f t="shared" si="23"/>
        <v>0</v>
      </c>
      <c r="AU31" s="2">
        <f t="shared" si="23"/>
        <v>0</v>
      </c>
      <c r="AV31" s="2">
        <f t="shared" si="23"/>
        <v>86383.55</v>
      </c>
      <c r="AW31" s="2">
        <f t="shared" si="23"/>
        <v>86383.55</v>
      </c>
      <c r="AX31" s="2">
        <f t="shared" si="23"/>
        <v>0</v>
      </c>
      <c r="AY31" s="2">
        <f t="shared" si="23"/>
        <v>86383.55</v>
      </c>
      <c r="AZ31" s="2">
        <f t="shared" si="23"/>
        <v>0</v>
      </c>
      <c r="BA31" s="2">
        <f t="shared" si="23"/>
        <v>0</v>
      </c>
      <c r="BB31" s="2">
        <f t="shared" si="23"/>
        <v>0</v>
      </c>
      <c r="BC31" s="2">
        <f t="shared" si="23"/>
        <v>0</v>
      </c>
      <c r="BD31" s="2">
        <f t="shared" si="23"/>
        <v>0</v>
      </c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>
        <f>ROUND(SUMIF(AA28:AA29,"=146437721",FQ28:FQ29),2)</f>
        <v>0</v>
      </c>
      <c r="BY31" s="2">
        <f>ROUND(SUMIF(AA28:AA29,"=146437721",FR28:FR29),2)</f>
        <v>0</v>
      </c>
      <c r="BZ31" s="2">
        <f>ROUND(SUMIF(AA28:AA29,"=146437721",GL28:GL29),2)</f>
        <v>0</v>
      </c>
      <c r="CA31" s="2">
        <f>ROUND(SUMIF(AA28:AA29,"=146437721",GM28:GM29),2)</f>
        <v>86383.55</v>
      </c>
      <c r="CB31" s="2">
        <f>ROUND(SUMIF(AA28:AA29,"=146437721",GN28:GN29),2)</f>
        <v>86383.55</v>
      </c>
      <c r="CC31" s="2">
        <f>ROUND(SUMIF(AA28:AA29,"=146437721",GO28:GO29),2)</f>
        <v>0</v>
      </c>
      <c r="CD31" s="2">
        <f>ROUND(SUMIF(AA28:AA29,"=146437721",GP28:GP29),2)</f>
        <v>0</v>
      </c>
      <c r="CE31" s="2">
        <f>AC31-BX31</f>
        <v>86383.55</v>
      </c>
      <c r="CF31" s="2">
        <f>AC31-BY31</f>
        <v>86383.55</v>
      </c>
      <c r="CG31" s="2">
        <f>BX31-BZ31</f>
        <v>0</v>
      </c>
      <c r="CH31" s="2">
        <f>AC31-BX31-BY31+BZ31</f>
        <v>86383.55</v>
      </c>
      <c r="CI31" s="2">
        <f>BY31-BZ31</f>
        <v>0</v>
      </c>
      <c r="CJ31" s="2">
        <f>ROUND(SUMIF(AA28:AA29,"=146437721",GX28:GX29),2)</f>
        <v>0</v>
      </c>
      <c r="CK31" s="2">
        <f>ROUND(SUMIF(AA28:AA29,"=146437721",GY28:GY29),2)</f>
        <v>0</v>
      </c>
      <c r="CL31" s="2">
        <f>ROUND(SUMIF(AA28:AA29,"=146437721",GZ28:GZ29),2)</f>
        <v>0</v>
      </c>
      <c r="CM31" s="2">
        <f>ROUND(SUMIF(AA28:AA29,"=146437721",HD28:HD29),2)</f>
        <v>0</v>
      </c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>
        <v>0</v>
      </c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201</v>
      </c>
      <c r="F33" s="4">
        <f>ROUND(Source!O31,O33)</f>
        <v>86383.55</v>
      </c>
      <c r="G33" s="4" t="s">
        <v>32</v>
      </c>
      <c r="H33" s="4" t="s">
        <v>33</v>
      </c>
      <c r="I33" s="4"/>
      <c r="J33" s="4"/>
      <c r="K33" s="4">
        <v>201</v>
      </c>
      <c r="L33" s="4">
        <v>1</v>
      </c>
      <c r="M33" s="4">
        <v>3</v>
      </c>
      <c r="N33" s="4" t="s">
        <v>3</v>
      </c>
      <c r="O33" s="4">
        <v>2</v>
      </c>
      <c r="P33" s="4"/>
      <c r="Q33" s="4"/>
      <c r="R33" s="4"/>
      <c r="S33" s="4"/>
      <c r="T33" s="4"/>
      <c r="U33" s="4"/>
      <c r="V33" s="4"/>
      <c r="W33" s="4">
        <v>86383.55</v>
      </c>
      <c r="X33" s="4">
        <v>1</v>
      </c>
      <c r="Y33" s="4">
        <v>86383.55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202</v>
      </c>
      <c r="F34" s="4">
        <f>ROUND(Source!P31,O34)</f>
        <v>86383.55</v>
      </c>
      <c r="G34" s="4" t="s">
        <v>34</v>
      </c>
      <c r="H34" s="4" t="s">
        <v>35</v>
      </c>
      <c r="I34" s="4"/>
      <c r="J34" s="4"/>
      <c r="K34" s="4">
        <v>202</v>
      </c>
      <c r="L34" s="4">
        <v>2</v>
      </c>
      <c r="M34" s="4">
        <v>3</v>
      </c>
      <c r="N34" s="4" t="s">
        <v>3</v>
      </c>
      <c r="O34" s="4">
        <v>2</v>
      </c>
      <c r="P34" s="4"/>
      <c r="Q34" s="4"/>
      <c r="R34" s="4"/>
      <c r="S34" s="4"/>
      <c r="T34" s="4"/>
      <c r="U34" s="4"/>
      <c r="V34" s="4"/>
      <c r="W34" s="4">
        <v>86383.55</v>
      </c>
      <c r="X34" s="4">
        <v>1</v>
      </c>
      <c r="Y34" s="4">
        <v>86383.55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222</v>
      </c>
      <c r="F35" s="4">
        <f>ROUND(Source!AO31,O35)</f>
        <v>0</v>
      </c>
      <c r="G35" s="4" t="s">
        <v>36</v>
      </c>
      <c r="H35" s="4" t="s">
        <v>37</v>
      </c>
      <c r="I35" s="4"/>
      <c r="J35" s="4"/>
      <c r="K35" s="4">
        <v>222</v>
      </c>
      <c r="L35" s="4">
        <v>3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225</v>
      </c>
      <c r="F36" s="4">
        <f>ROUND(Source!AV31,O36)</f>
        <v>86383.55</v>
      </c>
      <c r="G36" s="4" t="s">
        <v>38</v>
      </c>
      <c r="H36" s="4" t="s">
        <v>39</v>
      </c>
      <c r="I36" s="4"/>
      <c r="J36" s="4"/>
      <c r="K36" s="4">
        <v>225</v>
      </c>
      <c r="L36" s="4">
        <v>4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86383.55</v>
      </c>
      <c r="X36" s="4">
        <v>1</v>
      </c>
      <c r="Y36" s="4">
        <v>86383.55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226</v>
      </c>
      <c r="F37" s="4">
        <f>ROUND(Source!AW31,O37)</f>
        <v>86383.55</v>
      </c>
      <c r="G37" s="4" t="s">
        <v>40</v>
      </c>
      <c r="H37" s="4" t="s">
        <v>41</v>
      </c>
      <c r="I37" s="4"/>
      <c r="J37" s="4"/>
      <c r="K37" s="4">
        <v>226</v>
      </c>
      <c r="L37" s="4">
        <v>5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86383.55</v>
      </c>
      <c r="X37" s="4">
        <v>1</v>
      </c>
      <c r="Y37" s="4">
        <v>86383.55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227</v>
      </c>
      <c r="F38" s="4">
        <f>ROUND(Source!AX31,O38)</f>
        <v>0</v>
      </c>
      <c r="G38" s="4" t="s">
        <v>42</v>
      </c>
      <c r="H38" s="4" t="s">
        <v>43</v>
      </c>
      <c r="I38" s="4"/>
      <c r="J38" s="4"/>
      <c r="K38" s="4">
        <v>227</v>
      </c>
      <c r="L38" s="4">
        <v>6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228</v>
      </c>
      <c r="F39" s="4">
        <f>ROUND(Source!AY31,O39)</f>
        <v>86383.55</v>
      </c>
      <c r="G39" s="4" t="s">
        <v>44</v>
      </c>
      <c r="H39" s="4" t="s">
        <v>45</v>
      </c>
      <c r="I39" s="4"/>
      <c r="J39" s="4"/>
      <c r="K39" s="4">
        <v>228</v>
      </c>
      <c r="L39" s="4">
        <v>7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86383.55</v>
      </c>
      <c r="X39" s="4">
        <v>1</v>
      </c>
      <c r="Y39" s="4">
        <v>86383.55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216</v>
      </c>
      <c r="F40" s="4">
        <f>ROUND(Source!AP31,O40)</f>
        <v>0</v>
      </c>
      <c r="G40" s="4" t="s">
        <v>46</v>
      </c>
      <c r="H40" s="4" t="s">
        <v>47</v>
      </c>
      <c r="I40" s="4"/>
      <c r="J40" s="4"/>
      <c r="K40" s="4">
        <v>216</v>
      </c>
      <c r="L40" s="4">
        <v>8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223</v>
      </c>
      <c r="F41" s="4">
        <f>ROUND(Source!AQ31,O41)</f>
        <v>0</v>
      </c>
      <c r="G41" s="4" t="s">
        <v>48</v>
      </c>
      <c r="H41" s="4" t="s">
        <v>49</v>
      </c>
      <c r="I41" s="4"/>
      <c r="J41" s="4"/>
      <c r="K41" s="4">
        <v>223</v>
      </c>
      <c r="L41" s="4">
        <v>9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229</v>
      </c>
      <c r="F42" s="4">
        <f>ROUND(Source!AZ31,O42)</f>
        <v>0</v>
      </c>
      <c r="G42" s="4" t="s">
        <v>50</v>
      </c>
      <c r="H42" s="4" t="s">
        <v>51</v>
      </c>
      <c r="I42" s="4"/>
      <c r="J42" s="4"/>
      <c r="K42" s="4">
        <v>229</v>
      </c>
      <c r="L42" s="4">
        <v>10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203</v>
      </c>
      <c r="F43" s="4">
        <f>ROUND(Source!Q31,O43)</f>
        <v>0</v>
      </c>
      <c r="G43" s="4" t="s">
        <v>52</v>
      </c>
      <c r="H43" s="4" t="s">
        <v>53</v>
      </c>
      <c r="I43" s="4"/>
      <c r="J43" s="4"/>
      <c r="K43" s="4">
        <v>203</v>
      </c>
      <c r="L43" s="4">
        <v>11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231</v>
      </c>
      <c r="F44" s="4">
        <f>ROUND(Source!BB31,O44)</f>
        <v>0</v>
      </c>
      <c r="G44" s="4" t="s">
        <v>54</v>
      </c>
      <c r="H44" s="4" t="s">
        <v>55</v>
      </c>
      <c r="I44" s="4"/>
      <c r="J44" s="4"/>
      <c r="K44" s="4">
        <v>231</v>
      </c>
      <c r="L44" s="4">
        <v>12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204</v>
      </c>
      <c r="F45" s="4">
        <f>ROUND(Source!R31,O45)</f>
        <v>0</v>
      </c>
      <c r="G45" s="4" t="s">
        <v>56</v>
      </c>
      <c r="H45" s="4" t="s">
        <v>57</v>
      </c>
      <c r="I45" s="4"/>
      <c r="J45" s="4"/>
      <c r="K45" s="4">
        <v>204</v>
      </c>
      <c r="L45" s="4">
        <v>13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205</v>
      </c>
      <c r="F46" s="4">
        <f>ROUND(Source!S31,O46)</f>
        <v>0</v>
      </c>
      <c r="G46" s="4" t="s">
        <v>58</v>
      </c>
      <c r="H46" s="4" t="s">
        <v>59</v>
      </c>
      <c r="I46" s="4"/>
      <c r="J46" s="4"/>
      <c r="K46" s="4">
        <v>205</v>
      </c>
      <c r="L46" s="4">
        <v>14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232</v>
      </c>
      <c r="F47" s="4">
        <f>ROUND(Source!BC31,O47)</f>
        <v>0</v>
      </c>
      <c r="G47" s="4" t="s">
        <v>60</v>
      </c>
      <c r="H47" s="4" t="s">
        <v>61</v>
      </c>
      <c r="I47" s="4"/>
      <c r="J47" s="4"/>
      <c r="K47" s="4">
        <v>232</v>
      </c>
      <c r="L47" s="4">
        <v>15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214</v>
      </c>
      <c r="F48" s="4">
        <f>ROUND(Source!AS31,O48)</f>
        <v>86383.55</v>
      </c>
      <c r="G48" s="4" t="s">
        <v>62</v>
      </c>
      <c r="H48" s="4" t="s">
        <v>63</v>
      </c>
      <c r="I48" s="4"/>
      <c r="J48" s="4"/>
      <c r="K48" s="4">
        <v>214</v>
      </c>
      <c r="L48" s="4">
        <v>16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86383.55</v>
      </c>
      <c r="X48" s="4">
        <v>1</v>
      </c>
      <c r="Y48" s="4">
        <v>86383.55</v>
      </c>
      <c r="Z48" s="4"/>
      <c r="AA48" s="4"/>
      <c r="AB48" s="4"/>
    </row>
    <row r="49" spans="1:206" x14ac:dyDescent="0.2">
      <c r="A49" s="4">
        <v>50</v>
      </c>
      <c r="B49" s="4">
        <v>0</v>
      </c>
      <c r="C49" s="4">
        <v>0</v>
      </c>
      <c r="D49" s="4">
        <v>1</v>
      </c>
      <c r="E49" s="4">
        <v>215</v>
      </c>
      <c r="F49" s="4">
        <f>ROUND(Source!AT31,O49)</f>
        <v>0</v>
      </c>
      <c r="G49" s="4" t="s">
        <v>64</v>
      </c>
      <c r="H49" s="4" t="s">
        <v>65</v>
      </c>
      <c r="I49" s="4"/>
      <c r="J49" s="4"/>
      <c r="K49" s="4">
        <v>215</v>
      </c>
      <c r="L49" s="4">
        <v>17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06" x14ac:dyDescent="0.2">
      <c r="A50" s="4">
        <v>50</v>
      </c>
      <c r="B50" s="4">
        <v>0</v>
      </c>
      <c r="C50" s="4">
        <v>0</v>
      </c>
      <c r="D50" s="4">
        <v>1</v>
      </c>
      <c r="E50" s="4">
        <v>217</v>
      </c>
      <c r="F50" s="4">
        <f>ROUND(Source!AU31,O50)</f>
        <v>0</v>
      </c>
      <c r="G50" s="4" t="s">
        <v>66</v>
      </c>
      <c r="H50" s="4" t="s">
        <v>67</v>
      </c>
      <c r="I50" s="4"/>
      <c r="J50" s="4"/>
      <c r="K50" s="4">
        <v>217</v>
      </c>
      <c r="L50" s="4">
        <v>18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06" x14ac:dyDescent="0.2">
      <c r="A51" s="4">
        <v>50</v>
      </c>
      <c r="B51" s="4">
        <v>0</v>
      </c>
      <c r="C51" s="4">
        <v>0</v>
      </c>
      <c r="D51" s="4">
        <v>1</v>
      </c>
      <c r="E51" s="4">
        <v>230</v>
      </c>
      <c r="F51" s="4">
        <f>ROUND(Source!BA31,O51)</f>
        <v>0</v>
      </c>
      <c r="G51" s="4" t="s">
        <v>68</v>
      </c>
      <c r="H51" s="4" t="s">
        <v>69</v>
      </c>
      <c r="I51" s="4"/>
      <c r="J51" s="4"/>
      <c r="K51" s="4">
        <v>230</v>
      </c>
      <c r="L51" s="4">
        <v>19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06" x14ac:dyDescent="0.2">
      <c r="A52" s="4">
        <v>50</v>
      </c>
      <c r="B52" s="4">
        <v>0</v>
      </c>
      <c r="C52" s="4">
        <v>0</v>
      </c>
      <c r="D52" s="4">
        <v>1</v>
      </c>
      <c r="E52" s="4">
        <v>206</v>
      </c>
      <c r="F52" s="4">
        <f>ROUND(Source!T31,O52)</f>
        <v>0</v>
      </c>
      <c r="G52" s="4" t="s">
        <v>70</v>
      </c>
      <c r="H52" s="4" t="s">
        <v>71</v>
      </c>
      <c r="I52" s="4"/>
      <c r="J52" s="4"/>
      <c r="K52" s="4">
        <v>206</v>
      </c>
      <c r="L52" s="4">
        <v>20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06" x14ac:dyDescent="0.2">
      <c r="A53" s="4">
        <v>50</v>
      </c>
      <c r="B53" s="4">
        <v>0</v>
      </c>
      <c r="C53" s="4">
        <v>0</v>
      </c>
      <c r="D53" s="4">
        <v>1</v>
      </c>
      <c r="E53" s="4">
        <v>207</v>
      </c>
      <c r="F53" s="4">
        <f>Source!U31</f>
        <v>0</v>
      </c>
      <c r="G53" s="4" t="s">
        <v>72</v>
      </c>
      <c r="H53" s="4" t="s">
        <v>73</v>
      </c>
      <c r="I53" s="4"/>
      <c r="J53" s="4"/>
      <c r="K53" s="4">
        <v>207</v>
      </c>
      <c r="L53" s="4">
        <v>21</v>
      </c>
      <c r="M53" s="4">
        <v>3</v>
      </c>
      <c r="N53" s="4" t="s">
        <v>3</v>
      </c>
      <c r="O53" s="4">
        <v>-1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06" x14ac:dyDescent="0.2">
      <c r="A54" s="4">
        <v>50</v>
      </c>
      <c r="B54" s="4">
        <v>0</v>
      </c>
      <c r="C54" s="4">
        <v>0</v>
      </c>
      <c r="D54" s="4">
        <v>1</v>
      </c>
      <c r="E54" s="4">
        <v>208</v>
      </c>
      <c r="F54" s="4">
        <f>Source!V31</f>
        <v>0</v>
      </c>
      <c r="G54" s="4" t="s">
        <v>74</v>
      </c>
      <c r="H54" s="4" t="s">
        <v>75</v>
      </c>
      <c r="I54" s="4"/>
      <c r="J54" s="4"/>
      <c r="K54" s="4">
        <v>208</v>
      </c>
      <c r="L54" s="4">
        <v>22</v>
      </c>
      <c r="M54" s="4">
        <v>3</v>
      </c>
      <c r="N54" s="4" t="s">
        <v>3</v>
      </c>
      <c r="O54" s="4">
        <v>-1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06" x14ac:dyDescent="0.2">
      <c r="A55" s="4">
        <v>50</v>
      </c>
      <c r="B55" s="4">
        <v>0</v>
      </c>
      <c r="C55" s="4">
        <v>0</v>
      </c>
      <c r="D55" s="4">
        <v>1</v>
      </c>
      <c r="E55" s="4">
        <v>209</v>
      </c>
      <c r="F55" s="4">
        <f>ROUND(Source!W31,O55)</f>
        <v>0</v>
      </c>
      <c r="G55" s="4" t="s">
        <v>76</v>
      </c>
      <c r="H55" s="4" t="s">
        <v>77</v>
      </c>
      <c r="I55" s="4"/>
      <c r="J55" s="4"/>
      <c r="K55" s="4">
        <v>209</v>
      </c>
      <c r="L55" s="4">
        <v>23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06" x14ac:dyDescent="0.2">
      <c r="A56" s="4">
        <v>50</v>
      </c>
      <c r="B56" s="4">
        <v>0</v>
      </c>
      <c r="C56" s="4">
        <v>0</v>
      </c>
      <c r="D56" s="4">
        <v>1</v>
      </c>
      <c r="E56" s="4">
        <v>233</v>
      </c>
      <c r="F56" s="4">
        <f>ROUND(Source!BD31,O56)</f>
        <v>0</v>
      </c>
      <c r="G56" s="4" t="s">
        <v>78</v>
      </c>
      <c r="H56" s="4" t="s">
        <v>79</v>
      </c>
      <c r="I56" s="4"/>
      <c r="J56" s="4"/>
      <c r="K56" s="4">
        <v>233</v>
      </c>
      <c r="L56" s="4">
        <v>24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06" x14ac:dyDescent="0.2">
      <c r="A57" s="4">
        <v>50</v>
      </c>
      <c r="B57" s="4">
        <v>0</v>
      </c>
      <c r="C57" s="4">
        <v>0</v>
      </c>
      <c r="D57" s="4">
        <v>1</v>
      </c>
      <c r="E57" s="4">
        <v>210</v>
      </c>
      <c r="F57" s="4">
        <f>ROUND(Source!X31,O57)</f>
        <v>0</v>
      </c>
      <c r="G57" s="4" t="s">
        <v>80</v>
      </c>
      <c r="H57" s="4" t="s">
        <v>81</v>
      </c>
      <c r="I57" s="4"/>
      <c r="J57" s="4"/>
      <c r="K57" s="4">
        <v>210</v>
      </c>
      <c r="L57" s="4">
        <v>25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06" x14ac:dyDescent="0.2">
      <c r="A58" s="4">
        <v>50</v>
      </c>
      <c r="B58" s="4">
        <v>0</v>
      </c>
      <c r="C58" s="4">
        <v>0</v>
      </c>
      <c r="D58" s="4">
        <v>1</v>
      </c>
      <c r="E58" s="4">
        <v>211</v>
      </c>
      <c r="F58" s="4">
        <f>ROUND(Source!Y31,O58)</f>
        <v>0</v>
      </c>
      <c r="G58" s="4" t="s">
        <v>82</v>
      </c>
      <c r="H58" s="4" t="s">
        <v>83</v>
      </c>
      <c r="I58" s="4"/>
      <c r="J58" s="4"/>
      <c r="K58" s="4">
        <v>211</v>
      </c>
      <c r="L58" s="4">
        <v>26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06" x14ac:dyDescent="0.2">
      <c r="A59" s="4">
        <v>50</v>
      </c>
      <c r="B59" s="4">
        <v>0</v>
      </c>
      <c r="C59" s="4">
        <v>0</v>
      </c>
      <c r="D59" s="4">
        <v>1</v>
      </c>
      <c r="E59" s="4">
        <v>224</v>
      </c>
      <c r="F59" s="4">
        <f>ROUND(Source!AR31,O59)</f>
        <v>86383.55</v>
      </c>
      <c r="G59" s="4" t="s">
        <v>84</v>
      </c>
      <c r="H59" s="4" t="s">
        <v>85</v>
      </c>
      <c r="I59" s="4"/>
      <c r="J59" s="4"/>
      <c r="K59" s="4">
        <v>224</v>
      </c>
      <c r="L59" s="4">
        <v>27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86383.55</v>
      </c>
      <c r="X59" s="4">
        <v>1</v>
      </c>
      <c r="Y59" s="4">
        <v>86383.55</v>
      </c>
      <c r="Z59" s="4"/>
      <c r="AA59" s="4"/>
      <c r="AB59" s="4"/>
    </row>
    <row r="61" spans="1:206" x14ac:dyDescent="0.2">
      <c r="A61" s="1">
        <v>4</v>
      </c>
      <c r="B61" s="1">
        <v>1</v>
      </c>
      <c r="C61" s="1"/>
      <c r="D61" s="1">
        <f>ROW(A74)</f>
        <v>74</v>
      </c>
      <c r="E61" s="1"/>
      <c r="F61" s="1" t="s">
        <v>17</v>
      </c>
      <c r="G61" s="1" t="s">
        <v>86</v>
      </c>
      <c r="H61" s="1" t="s">
        <v>3</v>
      </c>
      <c r="I61" s="1">
        <v>0</v>
      </c>
      <c r="J61" s="1"/>
      <c r="K61" s="1">
        <v>-1</v>
      </c>
      <c r="L61" s="1"/>
      <c r="M61" s="1" t="s">
        <v>3</v>
      </c>
      <c r="N61" s="1"/>
      <c r="O61" s="1"/>
      <c r="P61" s="1"/>
      <c r="Q61" s="1"/>
      <c r="R61" s="1"/>
      <c r="S61" s="1">
        <v>0</v>
      </c>
      <c r="T61" s="1"/>
      <c r="U61" s="1" t="s">
        <v>3</v>
      </c>
      <c r="V61" s="1">
        <v>0</v>
      </c>
      <c r="W61" s="1"/>
      <c r="X61" s="1"/>
      <c r="Y61" s="1"/>
      <c r="Z61" s="1"/>
      <c r="AA61" s="1"/>
      <c r="AB61" s="1" t="s">
        <v>3</v>
      </c>
      <c r="AC61" s="1" t="s">
        <v>3</v>
      </c>
      <c r="AD61" s="1" t="s">
        <v>3</v>
      </c>
      <c r="AE61" s="1" t="s">
        <v>3</v>
      </c>
      <c r="AF61" s="1" t="s">
        <v>3</v>
      </c>
      <c r="AG61" s="1" t="s">
        <v>3</v>
      </c>
      <c r="AH61" s="1"/>
      <c r="AI61" s="1"/>
      <c r="AJ61" s="1"/>
      <c r="AK61" s="1"/>
      <c r="AL61" s="1"/>
      <c r="AM61" s="1"/>
      <c r="AN61" s="1"/>
      <c r="AO61" s="1"/>
      <c r="AP61" s="1" t="s">
        <v>3</v>
      </c>
      <c r="AQ61" s="1" t="s">
        <v>3</v>
      </c>
      <c r="AR61" s="1" t="s">
        <v>3</v>
      </c>
      <c r="AS61" s="1"/>
      <c r="AT61" s="1"/>
      <c r="AU61" s="1"/>
      <c r="AV61" s="1"/>
      <c r="AW61" s="1"/>
      <c r="AX61" s="1"/>
      <c r="AY61" s="1"/>
      <c r="AZ61" s="1" t="s">
        <v>3</v>
      </c>
      <c r="BA61" s="1"/>
      <c r="BB61" s="1" t="s">
        <v>3</v>
      </c>
      <c r="BC61" s="1" t="s">
        <v>3</v>
      </c>
      <c r="BD61" s="1" t="s">
        <v>3</v>
      </c>
      <c r="BE61" s="1" t="s">
        <v>3</v>
      </c>
      <c r="BF61" s="1" t="s">
        <v>3</v>
      </c>
      <c r="BG61" s="1" t="s">
        <v>3</v>
      </c>
      <c r="BH61" s="1" t="s">
        <v>3</v>
      </c>
      <c r="BI61" s="1" t="s">
        <v>3</v>
      </c>
      <c r="BJ61" s="1" t="s">
        <v>3</v>
      </c>
      <c r="BK61" s="1" t="s">
        <v>3</v>
      </c>
      <c r="BL61" s="1" t="s">
        <v>3</v>
      </c>
      <c r="BM61" s="1" t="s">
        <v>3</v>
      </c>
      <c r="BN61" s="1" t="s">
        <v>3</v>
      </c>
      <c r="BO61" s="1" t="s">
        <v>3</v>
      </c>
      <c r="BP61" s="1" t="s">
        <v>3</v>
      </c>
      <c r="BQ61" s="1"/>
      <c r="BR61" s="1"/>
      <c r="BS61" s="1"/>
      <c r="BT61" s="1"/>
      <c r="BU61" s="1"/>
      <c r="BV61" s="1"/>
      <c r="BW61" s="1"/>
      <c r="BX61" s="1">
        <v>0</v>
      </c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>
        <v>0</v>
      </c>
    </row>
    <row r="63" spans="1:206" x14ac:dyDescent="0.2">
      <c r="A63" s="2">
        <v>52</v>
      </c>
      <c r="B63" s="2">
        <f t="shared" ref="B63:G63" si="24">B74</f>
        <v>1</v>
      </c>
      <c r="C63" s="2">
        <f t="shared" si="24"/>
        <v>4</v>
      </c>
      <c r="D63" s="2">
        <f t="shared" si="24"/>
        <v>61</v>
      </c>
      <c r="E63" s="2">
        <f t="shared" si="24"/>
        <v>0</v>
      </c>
      <c r="F63" s="2" t="str">
        <f t="shared" si="24"/>
        <v>Новый раздел</v>
      </c>
      <c r="G63" s="2" t="str">
        <f t="shared" si="24"/>
        <v>Усиление плит перекрытия</v>
      </c>
      <c r="H63" s="2"/>
      <c r="I63" s="2"/>
      <c r="J63" s="2"/>
      <c r="K63" s="2"/>
      <c r="L63" s="2"/>
      <c r="M63" s="2"/>
      <c r="N63" s="2"/>
      <c r="O63" s="2">
        <f t="shared" ref="O63:AT63" si="25">O74</f>
        <v>41195.56</v>
      </c>
      <c r="P63" s="2">
        <f t="shared" si="25"/>
        <v>1716.27</v>
      </c>
      <c r="Q63" s="2">
        <f t="shared" si="25"/>
        <v>11808.87</v>
      </c>
      <c r="R63" s="2">
        <f t="shared" si="25"/>
        <v>3881.91</v>
      </c>
      <c r="S63" s="2">
        <f t="shared" si="25"/>
        <v>27670.42</v>
      </c>
      <c r="T63" s="2">
        <f t="shared" si="25"/>
        <v>0</v>
      </c>
      <c r="U63" s="2">
        <f t="shared" si="25"/>
        <v>69.608559</v>
      </c>
      <c r="V63" s="2">
        <f t="shared" si="25"/>
        <v>6.9267700000000003</v>
      </c>
      <c r="W63" s="2">
        <f t="shared" si="25"/>
        <v>0</v>
      </c>
      <c r="X63" s="2">
        <f t="shared" si="25"/>
        <v>30084.18</v>
      </c>
      <c r="Y63" s="2">
        <f t="shared" si="25"/>
        <v>15898.52</v>
      </c>
      <c r="Z63" s="2">
        <f t="shared" si="25"/>
        <v>0</v>
      </c>
      <c r="AA63" s="2">
        <f t="shared" si="25"/>
        <v>0</v>
      </c>
      <c r="AB63" s="2">
        <f t="shared" si="25"/>
        <v>41195.56</v>
      </c>
      <c r="AC63" s="2">
        <f t="shared" si="25"/>
        <v>1716.27</v>
      </c>
      <c r="AD63" s="2">
        <f t="shared" si="25"/>
        <v>11808.87</v>
      </c>
      <c r="AE63" s="2">
        <f t="shared" si="25"/>
        <v>3881.91</v>
      </c>
      <c r="AF63" s="2">
        <f t="shared" si="25"/>
        <v>27670.42</v>
      </c>
      <c r="AG63" s="2">
        <f t="shared" si="25"/>
        <v>0</v>
      </c>
      <c r="AH63" s="2">
        <f t="shared" si="25"/>
        <v>69.608559</v>
      </c>
      <c r="AI63" s="2">
        <f t="shared" si="25"/>
        <v>6.9267700000000003</v>
      </c>
      <c r="AJ63" s="2">
        <f t="shared" si="25"/>
        <v>0</v>
      </c>
      <c r="AK63" s="2">
        <f t="shared" si="25"/>
        <v>30084.18</v>
      </c>
      <c r="AL63" s="2">
        <f t="shared" si="25"/>
        <v>15898.52</v>
      </c>
      <c r="AM63" s="2">
        <f t="shared" si="25"/>
        <v>0</v>
      </c>
      <c r="AN63" s="2">
        <f t="shared" si="25"/>
        <v>0</v>
      </c>
      <c r="AO63" s="2">
        <f t="shared" si="25"/>
        <v>0</v>
      </c>
      <c r="AP63" s="2">
        <f t="shared" si="25"/>
        <v>0</v>
      </c>
      <c r="AQ63" s="2">
        <f t="shared" si="25"/>
        <v>0</v>
      </c>
      <c r="AR63" s="2">
        <f t="shared" si="25"/>
        <v>87178.26</v>
      </c>
      <c r="AS63" s="2">
        <f t="shared" si="25"/>
        <v>54569.38</v>
      </c>
      <c r="AT63" s="2">
        <f t="shared" si="25"/>
        <v>32608.880000000001</v>
      </c>
      <c r="AU63" s="2">
        <f t="shared" ref="AU63:BZ63" si="26">AU74</f>
        <v>0</v>
      </c>
      <c r="AV63" s="2">
        <f t="shared" si="26"/>
        <v>1716.27</v>
      </c>
      <c r="AW63" s="2">
        <f t="shared" si="26"/>
        <v>1716.27</v>
      </c>
      <c r="AX63" s="2">
        <f t="shared" si="26"/>
        <v>0</v>
      </c>
      <c r="AY63" s="2">
        <f t="shared" si="26"/>
        <v>1716.27</v>
      </c>
      <c r="AZ63" s="2">
        <f t="shared" si="26"/>
        <v>0</v>
      </c>
      <c r="BA63" s="2">
        <f t="shared" si="26"/>
        <v>0</v>
      </c>
      <c r="BB63" s="2">
        <f t="shared" si="26"/>
        <v>0</v>
      </c>
      <c r="BC63" s="2">
        <f t="shared" si="26"/>
        <v>0</v>
      </c>
      <c r="BD63" s="2">
        <f t="shared" si="26"/>
        <v>0</v>
      </c>
      <c r="BE63" s="2">
        <f t="shared" si="26"/>
        <v>0</v>
      </c>
      <c r="BF63" s="2">
        <f t="shared" si="26"/>
        <v>0</v>
      </c>
      <c r="BG63" s="2">
        <f t="shared" si="26"/>
        <v>0</v>
      </c>
      <c r="BH63" s="2">
        <f t="shared" si="26"/>
        <v>0</v>
      </c>
      <c r="BI63" s="2">
        <f t="shared" si="26"/>
        <v>0</v>
      </c>
      <c r="BJ63" s="2">
        <f t="shared" si="26"/>
        <v>0</v>
      </c>
      <c r="BK63" s="2">
        <f t="shared" si="26"/>
        <v>0</v>
      </c>
      <c r="BL63" s="2">
        <f t="shared" si="26"/>
        <v>0</v>
      </c>
      <c r="BM63" s="2">
        <f t="shared" si="26"/>
        <v>0</v>
      </c>
      <c r="BN63" s="2">
        <f t="shared" si="26"/>
        <v>0</v>
      </c>
      <c r="BO63" s="2">
        <f t="shared" si="26"/>
        <v>0</v>
      </c>
      <c r="BP63" s="2">
        <f t="shared" si="26"/>
        <v>0</v>
      </c>
      <c r="BQ63" s="2">
        <f t="shared" si="26"/>
        <v>0</v>
      </c>
      <c r="BR63" s="2">
        <f t="shared" si="26"/>
        <v>0</v>
      </c>
      <c r="BS63" s="2">
        <f t="shared" si="26"/>
        <v>0</v>
      </c>
      <c r="BT63" s="2">
        <f t="shared" si="26"/>
        <v>0</v>
      </c>
      <c r="BU63" s="2">
        <f t="shared" si="26"/>
        <v>0</v>
      </c>
      <c r="BV63" s="2">
        <f t="shared" si="26"/>
        <v>0</v>
      </c>
      <c r="BW63" s="2">
        <f t="shared" si="26"/>
        <v>0</v>
      </c>
      <c r="BX63" s="2">
        <f t="shared" si="26"/>
        <v>0</v>
      </c>
      <c r="BY63" s="2">
        <f t="shared" si="26"/>
        <v>0</v>
      </c>
      <c r="BZ63" s="2">
        <f t="shared" si="26"/>
        <v>0</v>
      </c>
      <c r="CA63" s="2">
        <f t="shared" ref="CA63:DF63" si="27">CA74</f>
        <v>87178.26</v>
      </c>
      <c r="CB63" s="2">
        <f t="shared" si="27"/>
        <v>54569.38</v>
      </c>
      <c r="CC63" s="2">
        <f t="shared" si="27"/>
        <v>32608.880000000001</v>
      </c>
      <c r="CD63" s="2">
        <f t="shared" si="27"/>
        <v>0</v>
      </c>
      <c r="CE63" s="2">
        <f t="shared" si="27"/>
        <v>1716.27</v>
      </c>
      <c r="CF63" s="2">
        <f t="shared" si="27"/>
        <v>1716.27</v>
      </c>
      <c r="CG63" s="2">
        <f t="shared" si="27"/>
        <v>0</v>
      </c>
      <c r="CH63" s="2">
        <f t="shared" si="27"/>
        <v>1716.27</v>
      </c>
      <c r="CI63" s="2">
        <f t="shared" si="27"/>
        <v>0</v>
      </c>
      <c r="CJ63" s="2">
        <f t="shared" si="27"/>
        <v>0</v>
      </c>
      <c r="CK63" s="2">
        <f t="shared" si="27"/>
        <v>0</v>
      </c>
      <c r="CL63" s="2">
        <f t="shared" si="27"/>
        <v>0</v>
      </c>
      <c r="CM63" s="2">
        <f t="shared" si="27"/>
        <v>0</v>
      </c>
      <c r="CN63" s="2">
        <f t="shared" si="27"/>
        <v>0</v>
      </c>
      <c r="CO63" s="2">
        <f t="shared" si="27"/>
        <v>0</v>
      </c>
      <c r="CP63" s="2">
        <f t="shared" si="27"/>
        <v>0</v>
      </c>
      <c r="CQ63" s="2">
        <f t="shared" si="27"/>
        <v>0</v>
      </c>
      <c r="CR63" s="2">
        <f t="shared" si="27"/>
        <v>0</v>
      </c>
      <c r="CS63" s="2">
        <f t="shared" si="27"/>
        <v>0</v>
      </c>
      <c r="CT63" s="2">
        <f t="shared" si="27"/>
        <v>0</v>
      </c>
      <c r="CU63" s="2">
        <f t="shared" si="27"/>
        <v>0</v>
      </c>
      <c r="CV63" s="2">
        <f t="shared" si="27"/>
        <v>0</v>
      </c>
      <c r="CW63" s="2">
        <f t="shared" si="27"/>
        <v>0</v>
      </c>
      <c r="CX63" s="2">
        <f t="shared" si="27"/>
        <v>0</v>
      </c>
      <c r="CY63" s="2">
        <f t="shared" si="27"/>
        <v>0</v>
      </c>
      <c r="CZ63" s="2">
        <f t="shared" si="27"/>
        <v>0</v>
      </c>
      <c r="DA63" s="2">
        <f t="shared" si="27"/>
        <v>0</v>
      </c>
      <c r="DB63" s="2">
        <f t="shared" si="27"/>
        <v>0</v>
      </c>
      <c r="DC63" s="2">
        <f t="shared" si="27"/>
        <v>0</v>
      </c>
      <c r="DD63" s="2">
        <f t="shared" si="27"/>
        <v>0</v>
      </c>
      <c r="DE63" s="2">
        <f t="shared" si="27"/>
        <v>0</v>
      </c>
      <c r="DF63" s="2">
        <f t="shared" si="27"/>
        <v>0</v>
      </c>
      <c r="DG63" s="3">
        <f t="shared" ref="DG63:EL63" si="28">DG74</f>
        <v>0</v>
      </c>
      <c r="DH63" s="3">
        <f t="shared" si="28"/>
        <v>0</v>
      </c>
      <c r="DI63" s="3">
        <f t="shared" si="28"/>
        <v>0</v>
      </c>
      <c r="DJ63" s="3">
        <f t="shared" si="28"/>
        <v>0</v>
      </c>
      <c r="DK63" s="3">
        <f t="shared" si="28"/>
        <v>0</v>
      </c>
      <c r="DL63" s="3">
        <f t="shared" si="28"/>
        <v>0</v>
      </c>
      <c r="DM63" s="3">
        <f t="shared" si="28"/>
        <v>0</v>
      </c>
      <c r="DN63" s="3">
        <f t="shared" si="28"/>
        <v>0</v>
      </c>
      <c r="DO63" s="3">
        <f t="shared" si="28"/>
        <v>0</v>
      </c>
      <c r="DP63" s="3">
        <f t="shared" si="28"/>
        <v>0</v>
      </c>
      <c r="DQ63" s="3">
        <f t="shared" si="28"/>
        <v>0</v>
      </c>
      <c r="DR63" s="3">
        <f t="shared" si="28"/>
        <v>0</v>
      </c>
      <c r="DS63" s="3">
        <f t="shared" si="28"/>
        <v>0</v>
      </c>
      <c r="DT63" s="3">
        <f t="shared" si="28"/>
        <v>0</v>
      </c>
      <c r="DU63" s="3">
        <f t="shared" si="28"/>
        <v>0</v>
      </c>
      <c r="DV63" s="3">
        <f t="shared" si="28"/>
        <v>0</v>
      </c>
      <c r="DW63" s="3">
        <f t="shared" si="28"/>
        <v>0</v>
      </c>
      <c r="DX63" s="3">
        <f t="shared" si="28"/>
        <v>0</v>
      </c>
      <c r="DY63" s="3">
        <f t="shared" si="28"/>
        <v>0</v>
      </c>
      <c r="DZ63" s="3">
        <f t="shared" si="28"/>
        <v>0</v>
      </c>
      <c r="EA63" s="3">
        <f t="shared" si="28"/>
        <v>0</v>
      </c>
      <c r="EB63" s="3">
        <f t="shared" si="28"/>
        <v>0</v>
      </c>
      <c r="EC63" s="3">
        <f t="shared" si="28"/>
        <v>0</v>
      </c>
      <c r="ED63" s="3">
        <f t="shared" si="28"/>
        <v>0</v>
      </c>
      <c r="EE63" s="3">
        <f t="shared" si="28"/>
        <v>0</v>
      </c>
      <c r="EF63" s="3">
        <f t="shared" si="28"/>
        <v>0</v>
      </c>
      <c r="EG63" s="3">
        <f t="shared" si="28"/>
        <v>0</v>
      </c>
      <c r="EH63" s="3">
        <f t="shared" si="28"/>
        <v>0</v>
      </c>
      <c r="EI63" s="3">
        <f t="shared" si="28"/>
        <v>0</v>
      </c>
      <c r="EJ63" s="3">
        <f t="shared" si="28"/>
        <v>0</v>
      </c>
      <c r="EK63" s="3">
        <f t="shared" si="28"/>
        <v>0</v>
      </c>
      <c r="EL63" s="3">
        <f t="shared" si="28"/>
        <v>0</v>
      </c>
      <c r="EM63" s="3">
        <f t="shared" ref="EM63:FR63" si="29">EM74</f>
        <v>0</v>
      </c>
      <c r="EN63" s="3">
        <f t="shared" si="29"/>
        <v>0</v>
      </c>
      <c r="EO63" s="3">
        <f t="shared" si="29"/>
        <v>0</v>
      </c>
      <c r="EP63" s="3">
        <f t="shared" si="29"/>
        <v>0</v>
      </c>
      <c r="EQ63" s="3">
        <f t="shared" si="29"/>
        <v>0</v>
      </c>
      <c r="ER63" s="3">
        <f t="shared" si="29"/>
        <v>0</v>
      </c>
      <c r="ES63" s="3">
        <f t="shared" si="29"/>
        <v>0</v>
      </c>
      <c r="ET63" s="3">
        <f t="shared" si="29"/>
        <v>0</v>
      </c>
      <c r="EU63" s="3">
        <f t="shared" si="29"/>
        <v>0</v>
      </c>
      <c r="EV63" s="3">
        <f t="shared" si="29"/>
        <v>0</v>
      </c>
      <c r="EW63" s="3">
        <f t="shared" si="29"/>
        <v>0</v>
      </c>
      <c r="EX63" s="3">
        <f t="shared" si="29"/>
        <v>0</v>
      </c>
      <c r="EY63" s="3">
        <f t="shared" si="29"/>
        <v>0</v>
      </c>
      <c r="EZ63" s="3">
        <f t="shared" si="29"/>
        <v>0</v>
      </c>
      <c r="FA63" s="3">
        <f t="shared" si="29"/>
        <v>0</v>
      </c>
      <c r="FB63" s="3">
        <f t="shared" si="29"/>
        <v>0</v>
      </c>
      <c r="FC63" s="3">
        <f t="shared" si="29"/>
        <v>0</v>
      </c>
      <c r="FD63" s="3">
        <f t="shared" si="29"/>
        <v>0</v>
      </c>
      <c r="FE63" s="3">
        <f t="shared" si="29"/>
        <v>0</v>
      </c>
      <c r="FF63" s="3">
        <f t="shared" si="29"/>
        <v>0</v>
      </c>
      <c r="FG63" s="3">
        <f t="shared" si="29"/>
        <v>0</v>
      </c>
      <c r="FH63" s="3">
        <f t="shared" si="29"/>
        <v>0</v>
      </c>
      <c r="FI63" s="3">
        <f t="shared" si="29"/>
        <v>0</v>
      </c>
      <c r="FJ63" s="3">
        <f t="shared" si="29"/>
        <v>0</v>
      </c>
      <c r="FK63" s="3">
        <f t="shared" si="29"/>
        <v>0</v>
      </c>
      <c r="FL63" s="3">
        <f t="shared" si="29"/>
        <v>0</v>
      </c>
      <c r="FM63" s="3">
        <f t="shared" si="29"/>
        <v>0</v>
      </c>
      <c r="FN63" s="3">
        <f t="shared" si="29"/>
        <v>0</v>
      </c>
      <c r="FO63" s="3">
        <f t="shared" si="29"/>
        <v>0</v>
      </c>
      <c r="FP63" s="3">
        <f t="shared" si="29"/>
        <v>0</v>
      </c>
      <c r="FQ63" s="3">
        <f t="shared" si="29"/>
        <v>0</v>
      </c>
      <c r="FR63" s="3">
        <f t="shared" si="29"/>
        <v>0</v>
      </c>
      <c r="FS63" s="3">
        <f t="shared" ref="FS63:GX63" si="30">FS74</f>
        <v>0</v>
      </c>
      <c r="FT63" s="3">
        <f t="shared" si="30"/>
        <v>0</v>
      </c>
      <c r="FU63" s="3">
        <f t="shared" si="30"/>
        <v>0</v>
      </c>
      <c r="FV63" s="3">
        <f t="shared" si="30"/>
        <v>0</v>
      </c>
      <c r="FW63" s="3">
        <f t="shared" si="30"/>
        <v>0</v>
      </c>
      <c r="FX63" s="3">
        <f t="shared" si="30"/>
        <v>0</v>
      </c>
      <c r="FY63" s="3">
        <f t="shared" si="30"/>
        <v>0</v>
      </c>
      <c r="FZ63" s="3">
        <f t="shared" si="30"/>
        <v>0</v>
      </c>
      <c r="GA63" s="3">
        <f t="shared" si="30"/>
        <v>0</v>
      </c>
      <c r="GB63" s="3">
        <f t="shared" si="30"/>
        <v>0</v>
      </c>
      <c r="GC63" s="3">
        <f t="shared" si="30"/>
        <v>0</v>
      </c>
      <c r="GD63" s="3">
        <f t="shared" si="30"/>
        <v>0</v>
      </c>
      <c r="GE63" s="3">
        <f t="shared" si="30"/>
        <v>0</v>
      </c>
      <c r="GF63" s="3">
        <f t="shared" si="30"/>
        <v>0</v>
      </c>
      <c r="GG63" s="3">
        <f t="shared" si="30"/>
        <v>0</v>
      </c>
      <c r="GH63" s="3">
        <f t="shared" si="30"/>
        <v>0</v>
      </c>
      <c r="GI63" s="3">
        <f t="shared" si="30"/>
        <v>0</v>
      </c>
      <c r="GJ63" s="3">
        <f t="shared" si="30"/>
        <v>0</v>
      </c>
      <c r="GK63" s="3">
        <f t="shared" si="30"/>
        <v>0</v>
      </c>
      <c r="GL63" s="3">
        <f t="shared" si="30"/>
        <v>0</v>
      </c>
      <c r="GM63" s="3">
        <f t="shared" si="30"/>
        <v>0</v>
      </c>
      <c r="GN63" s="3">
        <f t="shared" si="30"/>
        <v>0</v>
      </c>
      <c r="GO63" s="3">
        <f t="shared" si="30"/>
        <v>0</v>
      </c>
      <c r="GP63" s="3">
        <f t="shared" si="30"/>
        <v>0</v>
      </c>
      <c r="GQ63" s="3">
        <f t="shared" si="30"/>
        <v>0</v>
      </c>
      <c r="GR63" s="3">
        <f t="shared" si="30"/>
        <v>0</v>
      </c>
      <c r="GS63" s="3">
        <f t="shared" si="30"/>
        <v>0</v>
      </c>
      <c r="GT63" s="3">
        <f t="shared" si="30"/>
        <v>0</v>
      </c>
      <c r="GU63" s="3">
        <f t="shared" si="30"/>
        <v>0</v>
      </c>
      <c r="GV63" s="3">
        <f t="shared" si="30"/>
        <v>0</v>
      </c>
      <c r="GW63" s="3">
        <f t="shared" si="30"/>
        <v>0</v>
      </c>
      <c r="GX63" s="3">
        <f t="shared" si="30"/>
        <v>0</v>
      </c>
    </row>
    <row r="65" spans="1:245" x14ac:dyDescent="0.2">
      <c r="A65">
        <v>17</v>
      </c>
      <c r="B65">
        <v>1</v>
      </c>
      <c r="C65">
        <f>ROW(SmtRes!A12)</f>
        <v>12</v>
      </c>
      <c r="D65">
        <f>ROW(EtalonRes!A12)</f>
        <v>12</v>
      </c>
      <c r="E65" t="s">
        <v>87</v>
      </c>
      <c r="F65" t="s">
        <v>88</v>
      </c>
      <c r="G65" t="s">
        <v>89</v>
      </c>
      <c r="H65" t="s">
        <v>22</v>
      </c>
      <c r="I65">
        <v>0.9</v>
      </c>
      <c r="J65">
        <v>0</v>
      </c>
      <c r="K65">
        <v>0.9</v>
      </c>
      <c r="O65">
        <f t="shared" ref="O65:O72" si="31">ROUND(CP65,2)</f>
        <v>13207.82</v>
      </c>
      <c r="P65">
        <f t="shared" ref="P65:P72" si="32">ROUND(CQ65*I65,2)</f>
        <v>313.37</v>
      </c>
      <c r="Q65">
        <f t="shared" ref="Q65:Q72" si="33">ROUND(CR65*I65,2)</f>
        <v>2722.64</v>
      </c>
      <c r="R65">
        <f t="shared" ref="R65:R72" si="34">ROUND(CS65*I65,2)</f>
        <v>1250.18</v>
      </c>
      <c r="S65">
        <f t="shared" ref="S65:S72" si="35">ROUND(CT65*I65,2)</f>
        <v>10171.81</v>
      </c>
      <c r="T65">
        <f t="shared" ref="T65:T72" si="36">ROUND(CU65*I65,2)</f>
        <v>0</v>
      </c>
      <c r="U65">
        <f t="shared" ref="U65:U72" si="37">CV65*I65</f>
        <v>25.02</v>
      </c>
      <c r="V65">
        <f t="shared" ref="V65:V72" si="38">CW65*I65</f>
        <v>2.718</v>
      </c>
      <c r="W65">
        <f t="shared" ref="W65:W72" si="39">ROUND(CX65*I65,2)</f>
        <v>0</v>
      </c>
      <c r="X65">
        <f t="shared" ref="X65:Y72" si="40">ROUND(CY65,2)</f>
        <v>10279.790000000001</v>
      </c>
      <c r="Y65">
        <f t="shared" si="40"/>
        <v>5139.8999999999996</v>
      </c>
      <c r="AA65">
        <v>146437721</v>
      </c>
      <c r="AB65">
        <f t="shared" ref="AB65:AB72" si="41">ROUND((AC65+AD65+AF65),2)</f>
        <v>539.04</v>
      </c>
      <c r="AC65">
        <f>ROUND((ES65),2)</f>
        <v>41.55</v>
      </c>
      <c r="AD65">
        <f>ROUND((((ET65)-(EU65))+AE65),2)</f>
        <v>230.05</v>
      </c>
      <c r="AE65">
        <f>ROUND((EU65),2)</f>
        <v>32.869999999999997</v>
      </c>
      <c r="AF65">
        <f>ROUND((EV65),2)</f>
        <v>267.44</v>
      </c>
      <c r="AG65">
        <f t="shared" ref="AG65:AG72" si="42">ROUND((AP65),2)</f>
        <v>0</v>
      </c>
      <c r="AH65">
        <f>(EW65)</f>
        <v>27.8</v>
      </c>
      <c r="AI65">
        <f>(EX65)</f>
        <v>3.02</v>
      </c>
      <c r="AJ65">
        <f t="shared" ref="AJ65:AJ72" si="43">(AS65)</f>
        <v>0</v>
      </c>
      <c r="AK65">
        <v>539.04</v>
      </c>
      <c r="AL65">
        <v>41.55</v>
      </c>
      <c r="AM65">
        <v>230.05</v>
      </c>
      <c r="AN65">
        <v>32.869999999999997</v>
      </c>
      <c r="AO65">
        <v>267.44</v>
      </c>
      <c r="AP65">
        <v>0</v>
      </c>
      <c r="AQ65">
        <v>27.8</v>
      </c>
      <c r="AR65">
        <v>3.02</v>
      </c>
      <c r="AS65">
        <v>0</v>
      </c>
      <c r="AT65">
        <v>90</v>
      </c>
      <c r="AU65">
        <v>45</v>
      </c>
      <c r="AV65">
        <v>1</v>
      </c>
      <c r="AW65">
        <v>1</v>
      </c>
      <c r="AZ65">
        <v>1</v>
      </c>
      <c r="BA65">
        <v>42.26</v>
      </c>
      <c r="BB65">
        <v>13.15</v>
      </c>
      <c r="BC65">
        <v>8.3800000000000008</v>
      </c>
      <c r="BD65" t="s">
        <v>3</v>
      </c>
      <c r="BE65" t="s">
        <v>3</v>
      </c>
      <c r="BF65" t="s">
        <v>3</v>
      </c>
      <c r="BG65" t="s">
        <v>3</v>
      </c>
      <c r="BH65">
        <v>0</v>
      </c>
      <c r="BI65">
        <v>2</v>
      </c>
      <c r="BJ65" t="s">
        <v>90</v>
      </c>
      <c r="BM65">
        <v>138001</v>
      </c>
      <c r="BN65">
        <v>0</v>
      </c>
      <c r="BO65" t="s">
        <v>3</v>
      </c>
      <c r="BP65">
        <v>0</v>
      </c>
      <c r="BQ65">
        <v>3</v>
      </c>
      <c r="BR65">
        <v>0</v>
      </c>
      <c r="BS65">
        <v>42.26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90</v>
      </c>
      <c r="CA65">
        <v>45</v>
      </c>
      <c r="CB65" t="s">
        <v>3</v>
      </c>
      <c r="CE65">
        <v>0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ref="CP65:CP72" si="44">(P65+Q65+S65)</f>
        <v>13207.82</v>
      </c>
      <c r="CQ65">
        <f t="shared" ref="CQ65:CQ72" si="45">AC65*BC65</f>
        <v>348.18900000000002</v>
      </c>
      <c r="CR65">
        <f>(((ET65)*BB65-(EU65)*BS65)+AE65*BS65)</f>
        <v>3025.1575000000003</v>
      </c>
      <c r="CS65">
        <f t="shared" ref="CS65:CS72" si="46">AE65*BS65</f>
        <v>1389.0861999999997</v>
      </c>
      <c r="CT65">
        <f t="shared" ref="CT65:CT72" si="47">AF65*BA65</f>
        <v>11302.0144</v>
      </c>
      <c r="CU65">
        <f t="shared" ref="CU65:CX72" si="48">AG65</f>
        <v>0</v>
      </c>
      <c r="CV65">
        <f t="shared" si="48"/>
        <v>27.8</v>
      </c>
      <c r="CW65">
        <f t="shared" si="48"/>
        <v>3.02</v>
      </c>
      <c r="CX65">
        <f t="shared" si="48"/>
        <v>0</v>
      </c>
      <c r="CY65">
        <f t="shared" ref="CY65:CY72" si="49">(((S65+R65)*AT65)/100)</f>
        <v>10279.790999999999</v>
      </c>
      <c r="CZ65">
        <f t="shared" ref="CZ65:CZ72" si="50">(((S65+R65)*AU65)/100)</f>
        <v>5139.8954999999996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1009</v>
      </c>
      <c r="DV65" t="s">
        <v>22</v>
      </c>
      <c r="DW65" t="s">
        <v>22</v>
      </c>
      <c r="DX65">
        <v>1000</v>
      </c>
      <c r="DZ65" t="s">
        <v>3</v>
      </c>
      <c r="EA65" t="s">
        <v>3</v>
      </c>
      <c r="EB65" t="s">
        <v>3</v>
      </c>
      <c r="EC65" t="s">
        <v>3</v>
      </c>
      <c r="EE65">
        <v>140624915</v>
      </c>
      <c r="EF65">
        <v>3</v>
      </c>
      <c r="EG65" t="s">
        <v>91</v>
      </c>
      <c r="EH65">
        <v>80</v>
      </c>
      <c r="EI65" t="s">
        <v>92</v>
      </c>
      <c r="EJ65">
        <v>2</v>
      </c>
      <c r="EK65">
        <v>138001</v>
      </c>
      <c r="EL65" t="s">
        <v>92</v>
      </c>
      <c r="EM65" t="s">
        <v>93</v>
      </c>
      <c r="EO65" t="s">
        <v>3</v>
      </c>
      <c r="EQ65">
        <v>0</v>
      </c>
      <c r="ER65">
        <v>539.04</v>
      </c>
      <c r="ES65">
        <v>41.55</v>
      </c>
      <c r="ET65">
        <v>230.05</v>
      </c>
      <c r="EU65">
        <v>32.869999999999997</v>
      </c>
      <c r="EV65">
        <v>267.44</v>
      </c>
      <c r="EW65">
        <v>27.8</v>
      </c>
      <c r="EX65">
        <v>3.02</v>
      </c>
      <c r="EY65">
        <v>0</v>
      </c>
      <c r="FQ65">
        <v>0</v>
      </c>
      <c r="FR65">
        <f t="shared" ref="FR65:FR72" si="51">ROUND(IF(BI65=3,GM65,0),2)</f>
        <v>0</v>
      </c>
      <c r="FS65">
        <v>0</v>
      </c>
      <c r="FX65">
        <v>90</v>
      </c>
      <c r="FY65">
        <v>45</v>
      </c>
      <c r="GA65" t="s">
        <v>3</v>
      </c>
      <c r="GD65">
        <v>1</v>
      </c>
      <c r="GF65">
        <v>1692945384</v>
      </c>
      <c r="GG65">
        <v>2</v>
      </c>
      <c r="GH65">
        <v>1</v>
      </c>
      <c r="GI65">
        <v>4</v>
      </c>
      <c r="GJ65">
        <v>0</v>
      </c>
      <c r="GK65">
        <v>0</v>
      </c>
      <c r="GL65">
        <f t="shared" ref="GL65:GL72" si="52">ROUND(IF(AND(BH65=3,BI65=3,FS65&lt;&gt;0),P65,0),2)</f>
        <v>0</v>
      </c>
      <c r="GM65">
        <f t="shared" ref="GM65:GM72" si="53">ROUND(O65+X65+Y65,2)+GX65</f>
        <v>28627.51</v>
      </c>
      <c r="GN65">
        <f t="shared" ref="GN65:GN72" si="54">IF(OR(BI65=0,BI65=1),ROUND(O65+X65+Y65,2),0)</f>
        <v>0</v>
      </c>
      <c r="GO65">
        <f t="shared" ref="GO65:GO72" si="55">IF(BI65=2,ROUND(O65+X65+Y65,2),0)</f>
        <v>28627.51</v>
      </c>
      <c r="GP65">
        <f t="shared" ref="GP65:GP72" si="56">IF(BI65=4,ROUND(O65+X65+Y65,2)+GX65,0)</f>
        <v>0</v>
      </c>
      <c r="GR65">
        <v>0</v>
      </c>
      <c r="GS65">
        <v>3</v>
      </c>
      <c r="GT65">
        <v>0</v>
      </c>
      <c r="GU65" t="s">
        <v>3</v>
      </c>
      <c r="GV65">
        <f t="shared" ref="GV65:GV72" si="57">ROUND((GT65),2)</f>
        <v>0</v>
      </c>
      <c r="GW65">
        <v>1</v>
      </c>
      <c r="GX65">
        <f t="shared" ref="GX65:GX72" si="58">ROUND(HC65*I65,2)</f>
        <v>0</v>
      </c>
      <c r="HA65">
        <v>0</v>
      </c>
      <c r="HB65">
        <v>0</v>
      </c>
      <c r="HC65">
        <f t="shared" ref="HC65:HC72" si="59">GV65*GW65</f>
        <v>0</v>
      </c>
      <c r="HE65" t="s">
        <v>3</v>
      </c>
      <c r="HF65" t="s">
        <v>3</v>
      </c>
      <c r="HM65" t="s">
        <v>3</v>
      </c>
      <c r="HN65" t="s">
        <v>94</v>
      </c>
      <c r="HO65" t="s">
        <v>95</v>
      </c>
      <c r="HP65" t="s">
        <v>92</v>
      </c>
      <c r="HQ65" t="s">
        <v>92</v>
      </c>
      <c r="IK65">
        <v>0</v>
      </c>
    </row>
    <row r="66" spans="1:245" x14ac:dyDescent="0.2">
      <c r="A66">
        <v>17</v>
      </c>
      <c r="B66">
        <v>1</v>
      </c>
      <c r="E66" t="s">
        <v>96</v>
      </c>
      <c r="F66" t="s">
        <v>97</v>
      </c>
      <c r="G66" t="s">
        <v>98</v>
      </c>
      <c r="H66" t="s">
        <v>22</v>
      </c>
      <c r="I66">
        <f>ROUND(0.9*1.02,9)</f>
        <v>0.91800000000000004</v>
      </c>
      <c r="J66">
        <v>0</v>
      </c>
      <c r="K66">
        <f>ROUND(0.9*1.02,9)</f>
        <v>0.91800000000000004</v>
      </c>
      <c r="O66">
        <f t="shared" si="31"/>
        <v>0</v>
      </c>
      <c r="P66">
        <f t="shared" si="32"/>
        <v>0</v>
      </c>
      <c r="Q66">
        <f t="shared" si="33"/>
        <v>0</v>
      </c>
      <c r="R66">
        <f t="shared" si="34"/>
        <v>0</v>
      </c>
      <c r="S66">
        <f t="shared" si="35"/>
        <v>0</v>
      </c>
      <c r="T66">
        <f t="shared" si="36"/>
        <v>0</v>
      </c>
      <c r="U66">
        <f t="shared" si="37"/>
        <v>0</v>
      </c>
      <c r="V66">
        <f t="shared" si="38"/>
        <v>0</v>
      </c>
      <c r="W66">
        <f t="shared" si="39"/>
        <v>0</v>
      </c>
      <c r="X66">
        <f t="shared" si="40"/>
        <v>0</v>
      </c>
      <c r="Y66">
        <f t="shared" si="40"/>
        <v>0</v>
      </c>
      <c r="AA66">
        <v>146437721</v>
      </c>
      <c r="AB66">
        <f t="shared" si="41"/>
        <v>0</v>
      </c>
      <c r="AC66">
        <f>ROUND((ES66),2)</f>
        <v>0</v>
      </c>
      <c r="AD66">
        <f>ROUND((((ET66)-(EU66))+AE66),2)</f>
        <v>0</v>
      </c>
      <c r="AE66">
        <f>ROUND((EU66),2)</f>
        <v>0</v>
      </c>
      <c r="AF66">
        <f>ROUND((EV66),2)</f>
        <v>0</v>
      </c>
      <c r="AG66">
        <f t="shared" si="42"/>
        <v>0</v>
      </c>
      <c r="AH66">
        <f>(EW66)</f>
        <v>0</v>
      </c>
      <c r="AI66">
        <f>(EX66)</f>
        <v>0</v>
      </c>
      <c r="AJ66">
        <f t="shared" si="43"/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8.3800000000000008</v>
      </c>
      <c r="BD66" t="s">
        <v>3</v>
      </c>
      <c r="BE66" t="s">
        <v>3</v>
      </c>
      <c r="BF66" t="s">
        <v>3</v>
      </c>
      <c r="BG66" t="s">
        <v>3</v>
      </c>
      <c r="BH66">
        <v>3</v>
      </c>
      <c r="BI66">
        <v>1</v>
      </c>
      <c r="BJ66" t="s">
        <v>3</v>
      </c>
      <c r="BM66">
        <v>1100</v>
      </c>
      <c r="BN66">
        <v>0</v>
      </c>
      <c r="BO66" t="s">
        <v>3</v>
      </c>
      <c r="BP66">
        <v>0</v>
      </c>
      <c r="BQ66">
        <v>8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0</v>
      </c>
      <c r="CA66">
        <v>0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si="44"/>
        <v>0</v>
      </c>
      <c r="CQ66">
        <f t="shared" si="45"/>
        <v>0</v>
      </c>
      <c r="CR66">
        <f>(((ET66)*BB66-(EU66)*BS66)+AE66*BS66)</f>
        <v>0</v>
      </c>
      <c r="CS66">
        <f t="shared" si="46"/>
        <v>0</v>
      </c>
      <c r="CT66">
        <f t="shared" si="47"/>
        <v>0</v>
      </c>
      <c r="CU66">
        <f t="shared" si="48"/>
        <v>0</v>
      </c>
      <c r="CV66">
        <f t="shared" si="48"/>
        <v>0</v>
      </c>
      <c r="CW66">
        <f t="shared" si="48"/>
        <v>0</v>
      </c>
      <c r="CX66">
        <f t="shared" si="48"/>
        <v>0</v>
      </c>
      <c r="CY66">
        <f t="shared" si="49"/>
        <v>0</v>
      </c>
      <c r="CZ66">
        <f t="shared" si="50"/>
        <v>0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1009</v>
      </c>
      <c r="DV66" t="s">
        <v>22</v>
      </c>
      <c r="DW66" t="s">
        <v>22</v>
      </c>
      <c r="DX66">
        <v>1000</v>
      </c>
      <c r="DZ66" t="s">
        <v>3</v>
      </c>
      <c r="EA66" t="s">
        <v>3</v>
      </c>
      <c r="EB66" t="s">
        <v>3</v>
      </c>
      <c r="EC66" t="s">
        <v>3</v>
      </c>
      <c r="EE66">
        <v>140625274</v>
      </c>
      <c r="EF66">
        <v>8</v>
      </c>
      <c r="EG66" t="s">
        <v>23</v>
      </c>
      <c r="EH66">
        <v>0</v>
      </c>
      <c r="EI66" t="s">
        <v>3</v>
      </c>
      <c r="EJ66">
        <v>1</v>
      </c>
      <c r="EK66">
        <v>1100</v>
      </c>
      <c r="EL66" t="s">
        <v>24</v>
      </c>
      <c r="EM66" t="s">
        <v>25</v>
      </c>
      <c r="EO66" t="s">
        <v>3</v>
      </c>
      <c r="EQ66">
        <v>1310720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FQ66">
        <v>0</v>
      </c>
      <c r="FR66">
        <f t="shared" si="51"/>
        <v>0</v>
      </c>
      <c r="FS66">
        <v>0</v>
      </c>
      <c r="FX66">
        <v>0</v>
      </c>
      <c r="FY66">
        <v>0</v>
      </c>
      <c r="GA66" t="s">
        <v>3</v>
      </c>
      <c r="GD66">
        <v>1</v>
      </c>
      <c r="GF66">
        <v>1619040049</v>
      </c>
      <c r="GG66">
        <v>2</v>
      </c>
      <c r="GH66">
        <v>0</v>
      </c>
      <c r="GI66">
        <v>4</v>
      </c>
      <c r="GJ66">
        <v>0</v>
      </c>
      <c r="GK66">
        <v>0</v>
      </c>
      <c r="GL66">
        <f t="shared" si="52"/>
        <v>0</v>
      </c>
      <c r="GM66">
        <f t="shared" si="53"/>
        <v>0</v>
      </c>
      <c r="GN66">
        <f t="shared" si="54"/>
        <v>0</v>
      </c>
      <c r="GO66">
        <f t="shared" si="55"/>
        <v>0</v>
      </c>
      <c r="GP66">
        <f t="shared" si="56"/>
        <v>0</v>
      </c>
      <c r="GR66">
        <v>0</v>
      </c>
      <c r="GS66">
        <v>3</v>
      </c>
      <c r="GT66">
        <v>0</v>
      </c>
      <c r="GU66" t="s">
        <v>3</v>
      </c>
      <c r="GV66">
        <f t="shared" si="57"/>
        <v>0</v>
      </c>
      <c r="GW66">
        <v>1</v>
      </c>
      <c r="GX66">
        <f t="shared" si="58"/>
        <v>0</v>
      </c>
      <c r="HA66">
        <v>0</v>
      </c>
      <c r="HB66">
        <v>0</v>
      </c>
      <c r="HC66">
        <f t="shared" si="59"/>
        <v>0</v>
      </c>
      <c r="HE66" t="s">
        <v>3</v>
      </c>
      <c r="HF66" t="s">
        <v>3</v>
      </c>
      <c r="HM66" t="s">
        <v>3</v>
      </c>
      <c r="HN66" t="s">
        <v>3</v>
      </c>
      <c r="HO66" t="s">
        <v>3</v>
      </c>
      <c r="HP66" t="s">
        <v>3</v>
      </c>
      <c r="HQ66" t="s">
        <v>3</v>
      </c>
      <c r="IK66">
        <v>0</v>
      </c>
    </row>
    <row r="67" spans="1:245" x14ac:dyDescent="0.2">
      <c r="A67">
        <v>17</v>
      </c>
      <c r="B67">
        <v>1</v>
      </c>
      <c r="C67">
        <f>ROW(SmtRes!A34)</f>
        <v>34</v>
      </c>
      <c r="D67">
        <f>ROW(EtalonRes!A34)</f>
        <v>34</v>
      </c>
      <c r="E67" t="s">
        <v>99</v>
      </c>
      <c r="F67" t="s">
        <v>100</v>
      </c>
      <c r="G67" t="s">
        <v>101</v>
      </c>
      <c r="H67" t="s">
        <v>22</v>
      </c>
      <c r="I67">
        <v>0.9</v>
      </c>
      <c r="J67">
        <v>0</v>
      </c>
      <c r="K67">
        <v>0.9</v>
      </c>
      <c r="O67">
        <f t="shared" si="31"/>
        <v>17695.72</v>
      </c>
      <c r="P67">
        <f t="shared" si="32"/>
        <v>765.14</v>
      </c>
      <c r="Q67">
        <f t="shared" si="33"/>
        <v>8797.01</v>
      </c>
      <c r="R67">
        <f t="shared" si="34"/>
        <v>2523.94</v>
      </c>
      <c r="S67">
        <f t="shared" si="35"/>
        <v>8133.57</v>
      </c>
      <c r="T67">
        <f t="shared" si="36"/>
        <v>0</v>
      </c>
      <c r="U67">
        <f t="shared" si="37"/>
        <v>19.401075000000002</v>
      </c>
      <c r="V67">
        <f t="shared" si="38"/>
        <v>4.0106250000000001</v>
      </c>
      <c r="W67">
        <f t="shared" si="39"/>
        <v>0</v>
      </c>
      <c r="X67">
        <f t="shared" si="40"/>
        <v>9911.48</v>
      </c>
      <c r="Y67">
        <f t="shared" si="40"/>
        <v>5616.51</v>
      </c>
      <c r="AA67">
        <v>146437721</v>
      </c>
      <c r="AB67">
        <f t="shared" si="41"/>
        <v>1058.5899999999999</v>
      </c>
      <c r="AC67">
        <f>ROUND((ES67),2)</f>
        <v>101.45</v>
      </c>
      <c r="AD67">
        <f>ROUND((((((ET67*1.25)*1.15))-(((EU67*1.25)*1.15)))+AE67),2)</f>
        <v>743.29</v>
      </c>
      <c r="AE67">
        <f>ROUND((((EU67*1.25)*1.15)),2)</f>
        <v>66.36</v>
      </c>
      <c r="AF67">
        <f>ROUND((((EV67*1.15)*1.15)),2)</f>
        <v>213.85</v>
      </c>
      <c r="AG67">
        <f t="shared" si="42"/>
        <v>0</v>
      </c>
      <c r="AH67">
        <f>(((EW67*1.15)*1.15))</f>
        <v>21.556750000000001</v>
      </c>
      <c r="AI67">
        <f>(((EX67*1.25)*1.15))</f>
        <v>4.4562499999999998</v>
      </c>
      <c r="AJ67">
        <f t="shared" si="43"/>
        <v>0</v>
      </c>
      <c r="AK67">
        <v>780.22</v>
      </c>
      <c r="AL67">
        <v>101.45</v>
      </c>
      <c r="AM67">
        <v>517.07000000000005</v>
      </c>
      <c r="AN67">
        <v>46.16</v>
      </c>
      <c r="AO67">
        <v>161.69999999999999</v>
      </c>
      <c r="AP67">
        <v>0</v>
      </c>
      <c r="AQ67">
        <v>16.3</v>
      </c>
      <c r="AR67">
        <v>3.1</v>
      </c>
      <c r="AS67">
        <v>0</v>
      </c>
      <c r="AT67">
        <v>93</v>
      </c>
      <c r="AU67">
        <v>52.7</v>
      </c>
      <c r="AV67">
        <v>1</v>
      </c>
      <c r="AW67">
        <v>1</v>
      </c>
      <c r="AZ67">
        <v>1</v>
      </c>
      <c r="BA67">
        <v>42.26</v>
      </c>
      <c r="BB67">
        <v>13.15</v>
      </c>
      <c r="BC67">
        <v>8.3800000000000008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1</v>
      </c>
      <c r="BJ67" t="s">
        <v>102</v>
      </c>
      <c r="BM67">
        <v>9001</v>
      </c>
      <c r="BN67">
        <v>0</v>
      </c>
      <c r="BO67" t="s">
        <v>3</v>
      </c>
      <c r="BP67">
        <v>0</v>
      </c>
      <c r="BQ67">
        <v>2</v>
      </c>
      <c r="BR67">
        <v>0</v>
      </c>
      <c r="BS67">
        <v>42.26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93</v>
      </c>
      <c r="CA67">
        <v>62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354</v>
      </c>
      <c r="CO67">
        <v>0</v>
      </c>
      <c r="CP67">
        <f t="shared" si="44"/>
        <v>17695.72</v>
      </c>
      <c r="CQ67">
        <f t="shared" si="45"/>
        <v>850.15100000000007</v>
      </c>
      <c r="CR67">
        <f>(((((ET67*1.25)*1.15))*BB67-(((EU67*1.25)*1.15))*BS67)+AE67*BS67)</f>
        <v>9774.4501437500003</v>
      </c>
      <c r="CS67">
        <f t="shared" si="46"/>
        <v>2804.3735999999999</v>
      </c>
      <c r="CT67">
        <f t="shared" si="47"/>
        <v>9037.3009999999995</v>
      </c>
      <c r="CU67">
        <f t="shared" si="48"/>
        <v>0</v>
      </c>
      <c r="CV67">
        <f t="shared" si="48"/>
        <v>21.556750000000001</v>
      </c>
      <c r="CW67">
        <f t="shared" si="48"/>
        <v>4.4562499999999998</v>
      </c>
      <c r="CX67">
        <f t="shared" si="48"/>
        <v>0</v>
      </c>
      <c r="CY67">
        <f t="shared" si="49"/>
        <v>9911.4843000000001</v>
      </c>
      <c r="CZ67">
        <f t="shared" si="50"/>
        <v>5616.5077700000002</v>
      </c>
      <c r="DC67" t="s">
        <v>3</v>
      </c>
      <c r="DD67" t="s">
        <v>3</v>
      </c>
      <c r="DE67" t="s">
        <v>103</v>
      </c>
      <c r="DF67" t="s">
        <v>103</v>
      </c>
      <c r="DG67" t="s">
        <v>104</v>
      </c>
      <c r="DH67" t="s">
        <v>3</v>
      </c>
      <c r="DI67" t="s">
        <v>104</v>
      </c>
      <c r="DJ67" t="s">
        <v>103</v>
      </c>
      <c r="DK67" t="s">
        <v>3</v>
      </c>
      <c r="DL67" t="s">
        <v>3</v>
      </c>
      <c r="DM67" t="s">
        <v>105</v>
      </c>
      <c r="DN67">
        <v>0</v>
      </c>
      <c r="DO67">
        <v>0</v>
      </c>
      <c r="DP67">
        <v>1</v>
      </c>
      <c r="DQ67">
        <v>1</v>
      </c>
      <c r="DU67">
        <v>1009</v>
      </c>
      <c r="DV67" t="s">
        <v>22</v>
      </c>
      <c r="DW67" t="s">
        <v>22</v>
      </c>
      <c r="DX67">
        <v>1000</v>
      </c>
      <c r="DZ67" t="s">
        <v>3</v>
      </c>
      <c r="EA67" t="s">
        <v>3</v>
      </c>
      <c r="EB67" t="s">
        <v>3</v>
      </c>
      <c r="EC67" t="s">
        <v>3</v>
      </c>
      <c r="EE67">
        <v>140625026</v>
      </c>
      <c r="EF67">
        <v>2</v>
      </c>
      <c r="EG67" t="s">
        <v>106</v>
      </c>
      <c r="EH67">
        <v>9</v>
      </c>
      <c r="EI67" t="s">
        <v>107</v>
      </c>
      <c r="EJ67">
        <v>1</v>
      </c>
      <c r="EK67">
        <v>9001</v>
      </c>
      <c r="EL67" t="s">
        <v>107</v>
      </c>
      <c r="EM67" t="s">
        <v>108</v>
      </c>
      <c r="EO67" t="s">
        <v>109</v>
      </c>
      <c r="EQ67">
        <v>0</v>
      </c>
      <c r="ER67">
        <v>780.22</v>
      </c>
      <c r="ES67">
        <v>101.45</v>
      </c>
      <c r="ET67">
        <v>517.07000000000005</v>
      </c>
      <c r="EU67">
        <v>46.16</v>
      </c>
      <c r="EV67">
        <v>161.69999999999999</v>
      </c>
      <c r="EW67">
        <v>16.3</v>
      </c>
      <c r="EX67">
        <v>3.1</v>
      </c>
      <c r="EY67">
        <v>0</v>
      </c>
      <c r="FQ67">
        <v>0</v>
      </c>
      <c r="FR67">
        <f t="shared" si="51"/>
        <v>0</v>
      </c>
      <c r="FS67">
        <v>0</v>
      </c>
      <c r="FX67">
        <v>93</v>
      </c>
      <c r="FY67">
        <v>52.7</v>
      </c>
      <c r="GA67" t="s">
        <v>3</v>
      </c>
      <c r="GD67">
        <v>1</v>
      </c>
      <c r="GF67">
        <v>-498705155</v>
      </c>
      <c r="GG67">
        <v>2</v>
      </c>
      <c r="GH67">
        <v>1</v>
      </c>
      <c r="GI67">
        <v>4</v>
      </c>
      <c r="GJ67">
        <v>0</v>
      </c>
      <c r="GK67">
        <v>0</v>
      </c>
      <c r="GL67">
        <f t="shared" si="52"/>
        <v>0</v>
      </c>
      <c r="GM67">
        <f t="shared" si="53"/>
        <v>33223.71</v>
      </c>
      <c r="GN67">
        <f t="shared" si="54"/>
        <v>33223.71</v>
      </c>
      <c r="GO67">
        <f t="shared" si="55"/>
        <v>0</v>
      </c>
      <c r="GP67">
        <f t="shared" si="56"/>
        <v>0</v>
      </c>
      <c r="GR67">
        <v>0</v>
      </c>
      <c r="GS67">
        <v>3</v>
      </c>
      <c r="GT67">
        <v>0</v>
      </c>
      <c r="GU67" t="s">
        <v>3</v>
      </c>
      <c r="GV67">
        <f t="shared" si="57"/>
        <v>0</v>
      </c>
      <c r="GW67">
        <v>1</v>
      </c>
      <c r="GX67">
        <f t="shared" si="58"/>
        <v>0</v>
      </c>
      <c r="HA67">
        <v>0</v>
      </c>
      <c r="HB67">
        <v>0</v>
      </c>
      <c r="HC67">
        <f t="shared" si="59"/>
        <v>0</v>
      </c>
      <c r="HE67" t="s">
        <v>3</v>
      </c>
      <c r="HF67" t="s">
        <v>3</v>
      </c>
      <c r="HM67" t="s">
        <v>3</v>
      </c>
      <c r="HN67" t="s">
        <v>110</v>
      </c>
      <c r="HO67" t="s">
        <v>111</v>
      </c>
      <c r="HP67" t="s">
        <v>107</v>
      </c>
      <c r="HQ67" t="s">
        <v>107</v>
      </c>
      <c r="IK67">
        <v>0</v>
      </c>
    </row>
    <row r="68" spans="1:245" x14ac:dyDescent="0.2">
      <c r="A68">
        <v>17</v>
      </c>
      <c r="B68">
        <v>1</v>
      </c>
      <c r="C68">
        <f>ROW(SmtRes!A38)</f>
        <v>38</v>
      </c>
      <c r="D68">
        <f>ROW(EtalonRes!A38)</f>
        <v>38</v>
      </c>
      <c r="E68" t="s">
        <v>112</v>
      </c>
      <c r="F68" t="s">
        <v>113</v>
      </c>
      <c r="G68" t="s">
        <v>114</v>
      </c>
      <c r="H68" t="s">
        <v>115</v>
      </c>
      <c r="I68">
        <f>ROUND(0.9/10,9)</f>
        <v>0.09</v>
      </c>
      <c r="J68">
        <v>0</v>
      </c>
      <c r="K68">
        <f>ROUND(0.9/10,9)</f>
        <v>0.09</v>
      </c>
      <c r="O68">
        <f t="shared" si="31"/>
        <v>1766.74</v>
      </c>
      <c r="P68">
        <f t="shared" si="32"/>
        <v>5.48</v>
      </c>
      <c r="Q68">
        <f t="shared" si="33"/>
        <v>174.06</v>
      </c>
      <c r="R68">
        <f t="shared" si="34"/>
        <v>77.930000000000007</v>
      </c>
      <c r="S68">
        <f t="shared" si="35"/>
        <v>1587.2</v>
      </c>
      <c r="T68">
        <f t="shared" si="36"/>
        <v>0</v>
      </c>
      <c r="U68">
        <f t="shared" si="37"/>
        <v>4.3469999999999995</v>
      </c>
      <c r="V68">
        <f t="shared" si="38"/>
        <v>0.13661999999999999</v>
      </c>
      <c r="W68">
        <f t="shared" si="39"/>
        <v>0</v>
      </c>
      <c r="X68">
        <f t="shared" si="40"/>
        <v>1481.97</v>
      </c>
      <c r="Y68">
        <f t="shared" si="40"/>
        <v>732.66</v>
      </c>
      <c r="AA68">
        <v>146437721</v>
      </c>
      <c r="AB68">
        <f t="shared" si="41"/>
        <v>571.65</v>
      </c>
      <c r="AC68">
        <f>ROUND(((ES68*2)),2)</f>
        <v>7.26</v>
      </c>
      <c r="AD68">
        <f>ROUND((((((ET68*2)*1.15))-(((EU68*2)*1.15)))+AE68),2)</f>
        <v>147.08000000000001</v>
      </c>
      <c r="AE68">
        <f>ROUND((((EU68*2)*1.15)),2)</f>
        <v>20.49</v>
      </c>
      <c r="AF68">
        <f>ROUND((((EV68*2)*1.15)),2)</f>
        <v>417.31</v>
      </c>
      <c r="AG68">
        <f t="shared" si="42"/>
        <v>0</v>
      </c>
      <c r="AH68">
        <f>(((EW68*2)*1.15))</f>
        <v>48.3</v>
      </c>
      <c r="AI68">
        <f>(((EX68*2)*1.15))</f>
        <v>1.518</v>
      </c>
      <c r="AJ68">
        <f t="shared" si="43"/>
        <v>0</v>
      </c>
      <c r="AK68">
        <v>249.02</v>
      </c>
      <c r="AL68">
        <v>3.63</v>
      </c>
      <c r="AM68">
        <v>63.95</v>
      </c>
      <c r="AN68">
        <v>8.91</v>
      </c>
      <c r="AO68">
        <v>181.44</v>
      </c>
      <c r="AP68">
        <v>0</v>
      </c>
      <c r="AQ68">
        <v>21</v>
      </c>
      <c r="AR68">
        <v>0.66</v>
      </c>
      <c r="AS68">
        <v>0</v>
      </c>
      <c r="AT68">
        <v>89</v>
      </c>
      <c r="AU68">
        <v>44</v>
      </c>
      <c r="AV68">
        <v>1</v>
      </c>
      <c r="AW68">
        <v>1</v>
      </c>
      <c r="AZ68">
        <v>1</v>
      </c>
      <c r="BA68">
        <v>42.26</v>
      </c>
      <c r="BB68">
        <v>13.15</v>
      </c>
      <c r="BC68">
        <v>8.3800000000000008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2</v>
      </c>
      <c r="BJ68" t="s">
        <v>116</v>
      </c>
      <c r="BM68">
        <v>140001</v>
      </c>
      <c r="BN68">
        <v>0</v>
      </c>
      <c r="BO68" t="s">
        <v>3</v>
      </c>
      <c r="BP68">
        <v>0</v>
      </c>
      <c r="BQ68">
        <v>3</v>
      </c>
      <c r="BR68">
        <v>0</v>
      </c>
      <c r="BS68">
        <v>42.26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89</v>
      </c>
      <c r="CA68">
        <v>44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355</v>
      </c>
      <c r="CO68">
        <v>0</v>
      </c>
      <c r="CP68">
        <f t="shared" si="44"/>
        <v>1766.74</v>
      </c>
      <c r="CQ68">
        <f t="shared" si="45"/>
        <v>60.838800000000006</v>
      </c>
      <c r="CR68">
        <f>(((((ET68*2)*1.15))*BB68-(((EU68*2)*1.15))*BS68)+AE68*BS68)</f>
        <v>1934.04097</v>
      </c>
      <c r="CS68">
        <f t="shared" si="46"/>
        <v>865.90739999999994</v>
      </c>
      <c r="CT68">
        <f t="shared" si="47"/>
        <v>17635.5206</v>
      </c>
      <c r="CU68">
        <f t="shared" si="48"/>
        <v>0</v>
      </c>
      <c r="CV68">
        <f t="shared" si="48"/>
        <v>48.3</v>
      </c>
      <c r="CW68">
        <f t="shared" si="48"/>
        <v>1.518</v>
      </c>
      <c r="CX68">
        <f t="shared" si="48"/>
        <v>0</v>
      </c>
      <c r="CY68">
        <f t="shared" si="49"/>
        <v>1481.9657</v>
      </c>
      <c r="CZ68">
        <f t="shared" si="50"/>
        <v>732.65719999999999</v>
      </c>
      <c r="DC68" t="s">
        <v>3</v>
      </c>
      <c r="DD68" t="s">
        <v>117</v>
      </c>
      <c r="DE68" t="s">
        <v>118</v>
      </c>
      <c r="DF68" t="s">
        <v>118</v>
      </c>
      <c r="DG68" t="s">
        <v>118</v>
      </c>
      <c r="DH68" t="s">
        <v>3</v>
      </c>
      <c r="DI68" t="s">
        <v>118</v>
      </c>
      <c r="DJ68" t="s">
        <v>118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1009</v>
      </c>
      <c r="DV68" t="s">
        <v>115</v>
      </c>
      <c r="DW68" t="s">
        <v>115</v>
      </c>
      <c r="DX68">
        <v>10000</v>
      </c>
      <c r="DZ68" t="s">
        <v>3</v>
      </c>
      <c r="EA68" t="s">
        <v>3</v>
      </c>
      <c r="EB68" t="s">
        <v>3</v>
      </c>
      <c r="EC68" t="s">
        <v>3</v>
      </c>
      <c r="EE68">
        <v>140624919</v>
      </c>
      <c r="EF68">
        <v>3</v>
      </c>
      <c r="EG68" t="s">
        <v>91</v>
      </c>
      <c r="EH68">
        <v>82</v>
      </c>
      <c r="EI68" t="s">
        <v>119</v>
      </c>
      <c r="EJ68">
        <v>2</v>
      </c>
      <c r="EK68">
        <v>140001</v>
      </c>
      <c r="EL68" t="s">
        <v>119</v>
      </c>
      <c r="EM68" t="s">
        <v>120</v>
      </c>
      <c r="EO68" t="s">
        <v>121</v>
      </c>
      <c r="EQ68">
        <v>0</v>
      </c>
      <c r="ER68">
        <v>249.02</v>
      </c>
      <c r="ES68">
        <v>3.63</v>
      </c>
      <c r="ET68">
        <v>63.95</v>
      </c>
      <c r="EU68">
        <v>8.91</v>
      </c>
      <c r="EV68">
        <v>181.44</v>
      </c>
      <c r="EW68">
        <v>21</v>
      </c>
      <c r="EX68">
        <v>0.66</v>
      </c>
      <c r="EY68">
        <v>0</v>
      </c>
      <c r="FQ68">
        <v>0</v>
      </c>
      <c r="FR68">
        <f t="shared" si="51"/>
        <v>0</v>
      </c>
      <c r="FS68">
        <v>0</v>
      </c>
      <c r="FX68">
        <v>89</v>
      </c>
      <c r="FY68">
        <v>44</v>
      </c>
      <c r="GA68" t="s">
        <v>3</v>
      </c>
      <c r="GD68">
        <v>1</v>
      </c>
      <c r="GF68">
        <v>-1303646331</v>
      </c>
      <c r="GG68">
        <v>2</v>
      </c>
      <c r="GH68">
        <v>1</v>
      </c>
      <c r="GI68">
        <v>4</v>
      </c>
      <c r="GJ68">
        <v>0</v>
      </c>
      <c r="GK68">
        <v>0</v>
      </c>
      <c r="GL68">
        <f t="shared" si="52"/>
        <v>0</v>
      </c>
      <c r="GM68">
        <f t="shared" si="53"/>
        <v>3981.37</v>
      </c>
      <c r="GN68">
        <f t="shared" si="54"/>
        <v>0</v>
      </c>
      <c r="GO68">
        <f t="shared" si="55"/>
        <v>3981.37</v>
      </c>
      <c r="GP68">
        <f t="shared" si="56"/>
        <v>0</v>
      </c>
      <c r="GR68">
        <v>0</v>
      </c>
      <c r="GS68">
        <v>3</v>
      </c>
      <c r="GT68">
        <v>0</v>
      </c>
      <c r="GU68" t="s">
        <v>3</v>
      </c>
      <c r="GV68">
        <f t="shared" si="57"/>
        <v>0</v>
      </c>
      <c r="GW68">
        <v>1</v>
      </c>
      <c r="GX68">
        <f t="shared" si="58"/>
        <v>0</v>
      </c>
      <c r="HA68">
        <v>0</v>
      </c>
      <c r="HB68">
        <v>0</v>
      </c>
      <c r="HC68">
        <f t="shared" si="59"/>
        <v>0</v>
      </c>
      <c r="HE68" t="s">
        <v>3</v>
      </c>
      <c r="HF68" t="s">
        <v>3</v>
      </c>
      <c r="HM68" t="s">
        <v>3</v>
      </c>
      <c r="HN68" t="s">
        <v>122</v>
      </c>
      <c r="HO68" t="s">
        <v>123</v>
      </c>
      <c r="HP68" t="s">
        <v>119</v>
      </c>
      <c r="HQ68" t="s">
        <v>119</v>
      </c>
      <c r="IK68">
        <v>0</v>
      </c>
    </row>
    <row r="69" spans="1:245" x14ac:dyDescent="0.2">
      <c r="A69">
        <v>17</v>
      </c>
      <c r="B69">
        <v>1</v>
      </c>
      <c r="C69">
        <f>ROW(SmtRes!A46)</f>
        <v>46</v>
      </c>
      <c r="D69">
        <f>ROW(EtalonRes!A46)</f>
        <v>46</v>
      </c>
      <c r="E69" t="s">
        <v>124</v>
      </c>
      <c r="F69" t="s">
        <v>125</v>
      </c>
      <c r="G69" t="s">
        <v>126</v>
      </c>
      <c r="H69" t="s">
        <v>127</v>
      </c>
      <c r="I69">
        <f>ROUND(26/100,9)</f>
        <v>0.26</v>
      </c>
      <c r="J69">
        <v>0</v>
      </c>
      <c r="K69">
        <f>ROUND(26/100,9)</f>
        <v>0.26</v>
      </c>
      <c r="O69">
        <f t="shared" si="31"/>
        <v>1198.3800000000001</v>
      </c>
      <c r="P69">
        <f t="shared" si="32"/>
        <v>331.26</v>
      </c>
      <c r="Q69">
        <f t="shared" si="33"/>
        <v>45.36</v>
      </c>
      <c r="R69">
        <f t="shared" si="34"/>
        <v>3.52</v>
      </c>
      <c r="S69">
        <f t="shared" si="35"/>
        <v>821.76</v>
      </c>
      <c r="T69">
        <f t="shared" si="36"/>
        <v>0</v>
      </c>
      <c r="U69">
        <f t="shared" si="37"/>
        <v>1.8258434999999995</v>
      </c>
      <c r="V69">
        <f t="shared" si="38"/>
        <v>7.4749999999999999E-3</v>
      </c>
      <c r="W69">
        <f t="shared" si="39"/>
        <v>0</v>
      </c>
      <c r="X69">
        <f t="shared" si="40"/>
        <v>775.76</v>
      </c>
      <c r="Y69">
        <f t="shared" si="40"/>
        <v>357.76</v>
      </c>
      <c r="AA69">
        <v>146437721</v>
      </c>
      <c r="AB69">
        <f t="shared" si="41"/>
        <v>240.09</v>
      </c>
      <c r="AC69">
        <f>ROUND((ES69),2)</f>
        <v>152.04</v>
      </c>
      <c r="AD69">
        <f>ROUND((((((ET69*1.25)*1.15))-(((EU69*1.25)*1.15)))+AE69),2)</f>
        <v>13.26</v>
      </c>
      <c r="AE69">
        <f>ROUND((((EU69*1.25)*1.15)),2)</f>
        <v>0.32</v>
      </c>
      <c r="AF69">
        <f>ROUND((((EV69*1.15)*1.15)),2)</f>
        <v>74.790000000000006</v>
      </c>
      <c r="AG69">
        <f t="shared" si="42"/>
        <v>0</v>
      </c>
      <c r="AH69">
        <f>(((EW69*1.15)*1.15))</f>
        <v>7.0224749999999982</v>
      </c>
      <c r="AI69">
        <f>(((EX69*1.25)*1.15))</f>
        <v>2.8749999999999998E-2</v>
      </c>
      <c r="AJ69">
        <f t="shared" si="43"/>
        <v>0</v>
      </c>
      <c r="AK69">
        <v>217.81</v>
      </c>
      <c r="AL69">
        <v>152.04</v>
      </c>
      <c r="AM69">
        <v>9.2200000000000006</v>
      </c>
      <c r="AN69">
        <v>0.22</v>
      </c>
      <c r="AO69">
        <v>56.55</v>
      </c>
      <c r="AP69">
        <v>0</v>
      </c>
      <c r="AQ69">
        <v>5.31</v>
      </c>
      <c r="AR69">
        <v>0.02</v>
      </c>
      <c r="AS69">
        <v>0</v>
      </c>
      <c r="AT69">
        <v>94</v>
      </c>
      <c r="AU69">
        <v>43.35</v>
      </c>
      <c r="AV69">
        <v>1</v>
      </c>
      <c r="AW69">
        <v>1</v>
      </c>
      <c r="AZ69">
        <v>1</v>
      </c>
      <c r="BA69">
        <v>42.26</v>
      </c>
      <c r="BB69">
        <v>13.15</v>
      </c>
      <c r="BC69">
        <v>8.3800000000000008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1</v>
      </c>
      <c r="BJ69" t="s">
        <v>128</v>
      </c>
      <c r="BM69">
        <v>13001</v>
      </c>
      <c r="BN69">
        <v>0</v>
      </c>
      <c r="BO69" t="s">
        <v>3</v>
      </c>
      <c r="BP69">
        <v>0</v>
      </c>
      <c r="BQ69">
        <v>2</v>
      </c>
      <c r="BR69">
        <v>0</v>
      </c>
      <c r="BS69">
        <v>42.26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94</v>
      </c>
      <c r="CA69">
        <v>51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354</v>
      </c>
      <c r="CO69">
        <v>0</v>
      </c>
      <c r="CP69">
        <f t="shared" si="44"/>
        <v>1198.3800000000001</v>
      </c>
      <c r="CQ69">
        <f t="shared" si="45"/>
        <v>1274.0952</v>
      </c>
      <c r="CR69">
        <f>(((((ET69*1.25)*1.15))*BB69-(((EU69*1.25)*1.15))*BS69)+AE69*BS69)</f>
        <v>174.44528750000001</v>
      </c>
      <c r="CS69">
        <f t="shared" si="46"/>
        <v>13.523199999999999</v>
      </c>
      <c r="CT69">
        <f t="shared" si="47"/>
        <v>3160.6253999999999</v>
      </c>
      <c r="CU69">
        <f t="shared" si="48"/>
        <v>0</v>
      </c>
      <c r="CV69">
        <f t="shared" si="48"/>
        <v>7.0224749999999982</v>
      </c>
      <c r="CW69">
        <f t="shared" si="48"/>
        <v>2.8749999999999998E-2</v>
      </c>
      <c r="CX69">
        <f t="shared" si="48"/>
        <v>0</v>
      </c>
      <c r="CY69">
        <f t="shared" si="49"/>
        <v>775.76319999999987</v>
      </c>
      <c r="CZ69">
        <f t="shared" si="50"/>
        <v>357.75887999999998</v>
      </c>
      <c r="DC69" t="s">
        <v>3</v>
      </c>
      <c r="DD69" t="s">
        <v>3</v>
      </c>
      <c r="DE69" t="s">
        <v>103</v>
      </c>
      <c r="DF69" t="s">
        <v>103</v>
      </c>
      <c r="DG69" t="s">
        <v>104</v>
      </c>
      <c r="DH69" t="s">
        <v>3</v>
      </c>
      <c r="DI69" t="s">
        <v>104</v>
      </c>
      <c r="DJ69" t="s">
        <v>103</v>
      </c>
      <c r="DK69" t="s">
        <v>3</v>
      </c>
      <c r="DL69" t="s">
        <v>3</v>
      </c>
      <c r="DM69" t="s">
        <v>105</v>
      </c>
      <c r="DN69">
        <v>0</v>
      </c>
      <c r="DO69">
        <v>0</v>
      </c>
      <c r="DP69">
        <v>1</v>
      </c>
      <c r="DQ69">
        <v>1</v>
      </c>
      <c r="DU69">
        <v>1005</v>
      </c>
      <c r="DV69" t="s">
        <v>127</v>
      </c>
      <c r="DW69" t="s">
        <v>127</v>
      </c>
      <c r="DX69">
        <v>100</v>
      </c>
      <c r="DZ69" t="s">
        <v>3</v>
      </c>
      <c r="EA69" t="s">
        <v>3</v>
      </c>
      <c r="EB69" t="s">
        <v>3</v>
      </c>
      <c r="EC69" t="s">
        <v>3</v>
      </c>
      <c r="EE69">
        <v>140625034</v>
      </c>
      <c r="EF69">
        <v>2</v>
      </c>
      <c r="EG69" t="s">
        <v>106</v>
      </c>
      <c r="EH69">
        <v>13</v>
      </c>
      <c r="EI69" t="s">
        <v>129</v>
      </c>
      <c r="EJ69">
        <v>1</v>
      </c>
      <c r="EK69">
        <v>13001</v>
      </c>
      <c r="EL69" t="s">
        <v>130</v>
      </c>
      <c r="EM69" t="s">
        <v>131</v>
      </c>
      <c r="EO69" t="s">
        <v>109</v>
      </c>
      <c r="EQ69">
        <v>0</v>
      </c>
      <c r="ER69">
        <v>217.81</v>
      </c>
      <c r="ES69">
        <v>152.04</v>
      </c>
      <c r="ET69">
        <v>9.2200000000000006</v>
      </c>
      <c r="EU69">
        <v>0.22</v>
      </c>
      <c r="EV69">
        <v>56.55</v>
      </c>
      <c r="EW69">
        <v>5.31</v>
      </c>
      <c r="EX69">
        <v>0.02</v>
      </c>
      <c r="EY69">
        <v>0</v>
      </c>
      <c r="FQ69">
        <v>0</v>
      </c>
      <c r="FR69">
        <f t="shared" si="51"/>
        <v>0</v>
      </c>
      <c r="FS69">
        <v>0</v>
      </c>
      <c r="FX69">
        <v>94</v>
      </c>
      <c r="FY69">
        <v>43.35</v>
      </c>
      <c r="GA69" t="s">
        <v>3</v>
      </c>
      <c r="GD69">
        <v>1</v>
      </c>
      <c r="GF69">
        <v>-736059163</v>
      </c>
      <c r="GG69">
        <v>2</v>
      </c>
      <c r="GH69">
        <v>1</v>
      </c>
      <c r="GI69">
        <v>4</v>
      </c>
      <c r="GJ69">
        <v>0</v>
      </c>
      <c r="GK69">
        <v>0</v>
      </c>
      <c r="GL69">
        <f t="shared" si="52"/>
        <v>0</v>
      </c>
      <c r="GM69">
        <f t="shared" si="53"/>
        <v>2331.9</v>
      </c>
      <c r="GN69">
        <f t="shared" si="54"/>
        <v>2331.9</v>
      </c>
      <c r="GO69">
        <f t="shared" si="55"/>
        <v>0</v>
      </c>
      <c r="GP69">
        <f t="shared" si="56"/>
        <v>0</v>
      </c>
      <c r="GR69">
        <v>0</v>
      </c>
      <c r="GS69">
        <v>3</v>
      </c>
      <c r="GT69">
        <v>0</v>
      </c>
      <c r="GU69" t="s">
        <v>3</v>
      </c>
      <c r="GV69">
        <f t="shared" si="57"/>
        <v>0</v>
      </c>
      <c r="GW69">
        <v>1</v>
      </c>
      <c r="GX69">
        <f t="shared" si="58"/>
        <v>0</v>
      </c>
      <c r="HA69">
        <v>0</v>
      </c>
      <c r="HB69">
        <v>0</v>
      </c>
      <c r="HC69">
        <f t="shared" si="59"/>
        <v>0</v>
      </c>
      <c r="HE69" t="s">
        <v>3</v>
      </c>
      <c r="HF69" t="s">
        <v>3</v>
      </c>
      <c r="HM69" t="s">
        <v>3</v>
      </c>
      <c r="HN69" t="s">
        <v>132</v>
      </c>
      <c r="HO69" t="s">
        <v>133</v>
      </c>
      <c r="HP69" t="s">
        <v>129</v>
      </c>
      <c r="HQ69" t="s">
        <v>129</v>
      </c>
      <c r="IK69">
        <v>0</v>
      </c>
    </row>
    <row r="70" spans="1:245" x14ac:dyDescent="0.2">
      <c r="A70">
        <v>17</v>
      </c>
      <c r="B70">
        <v>1</v>
      </c>
      <c r="C70">
        <f>ROW(SmtRes!A54)</f>
        <v>54</v>
      </c>
      <c r="D70">
        <f>ROW(EtalonRes!A54)</f>
        <v>54</v>
      </c>
      <c r="E70" t="s">
        <v>134</v>
      </c>
      <c r="F70" t="s">
        <v>135</v>
      </c>
      <c r="G70" t="s">
        <v>136</v>
      </c>
      <c r="H70" t="s">
        <v>127</v>
      </c>
      <c r="I70">
        <f>ROUND(26/100,9)</f>
        <v>0.26</v>
      </c>
      <c r="J70">
        <v>0</v>
      </c>
      <c r="K70">
        <f>ROUND(26/100,9)</f>
        <v>0.26</v>
      </c>
      <c r="O70">
        <f t="shared" si="31"/>
        <v>611.33000000000004</v>
      </c>
      <c r="P70">
        <f t="shared" si="32"/>
        <v>301.02</v>
      </c>
      <c r="Q70">
        <f t="shared" si="33"/>
        <v>29.58</v>
      </c>
      <c r="R70">
        <f t="shared" si="34"/>
        <v>3.52</v>
      </c>
      <c r="S70">
        <f t="shared" si="35"/>
        <v>280.73</v>
      </c>
      <c r="T70">
        <f t="shared" si="36"/>
        <v>0</v>
      </c>
      <c r="U70">
        <f t="shared" si="37"/>
        <v>0.7324004999999999</v>
      </c>
      <c r="V70">
        <f t="shared" si="38"/>
        <v>7.4749999999999999E-3</v>
      </c>
      <c r="W70">
        <f t="shared" si="39"/>
        <v>0</v>
      </c>
      <c r="X70">
        <f t="shared" si="40"/>
        <v>267.2</v>
      </c>
      <c r="Y70">
        <f t="shared" si="40"/>
        <v>123.22</v>
      </c>
      <c r="AA70">
        <v>146437721</v>
      </c>
      <c r="AB70">
        <f t="shared" si="41"/>
        <v>172.35</v>
      </c>
      <c r="AC70">
        <f>ROUND((ES70),2)</f>
        <v>138.16</v>
      </c>
      <c r="AD70">
        <f>ROUND((((((ET70*1.25)*1.15))-(((EU70*1.25)*1.15)))+AE70),2)</f>
        <v>8.64</v>
      </c>
      <c r="AE70">
        <f>ROUND((((EU70*1.25)*1.15)),2)</f>
        <v>0.32</v>
      </c>
      <c r="AF70">
        <f>ROUND((((EV70*1.15)*1.15)),2)</f>
        <v>25.55</v>
      </c>
      <c r="AG70">
        <f t="shared" si="42"/>
        <v>0</v>
      </c>
      <c r="AH70">
        <f>(((EW70*1.15)*1.15))</f>
        <v>2.8169249999999995</v>
      </c>
      <c r="AI70">
        <f>(((EX70*1.25)*1.15))</f>
        <v>2.8749999999999998E-2</v>
      </c>
      <c r="AJ70">
        <f t="shared" si="43"/>
        <v>0</v>
      </c>
      <c r="AK70">
        <v>163.49</v>
      </c>
      <c r="AL70">
        <v>138.16</v>
      </c>
      <c r="AM70">
        <v>6.01</v>
      </c>
      <c r="AN70">
        <v>0.22</v>
      </c>
      <c r="AO70">
        <v>19.32</v>
      </c>
      <c r="AP70">
        <v>0</v>
      </c>
      <c r="AQ70">
        <v>2.13</v>
      </c>
      <c r="AR70">
        <v>0.02</v>
      </c>
      <c r="AS70">
        <v>0</v>
      </c>
      <c r="AT70">
        <v>94</v>
      </c>
      <c r="AU70">
        <v>43.35</v>
      </c>
      <c r="AV70">
        <v>1</v>
      </c>
      <c r="AW70">
        <v>1</v>
      </c>
      <c r="AZ70">
        <v>1</v>
      </c>
      <c r="BA70">
        <v>42.26</v>
      </c>
      <c r="BB70">
        <v>13.15</v>
      </c>
      <c r="BC70">
        <v>8.3800000000000008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1</v>
      </c>
      <c r="BJ70" t="s">
        <v>137</v>
      </c>
      <c r="BM70">
        <v>13001</v>
      </c>
      <c r="BN70">
        <v>0</v>
      </c>
      <c r="BO70" t="s">
        <v>3</v>
      </c>
      <c r="BP70">
        <v>0</v>
      </c>
      <c r="BQ70">
        <v>2</v>
      </c>
      <c r="BR70">
        <v>0</v>
      </c>
      <c r="BS70">
        <v>42.26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94</v>
      </c>
      <c r="CA70">
        <v>51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354</v>
      </c>
      <c r="CO70">
        <v>0</v>
      </c>
      <c r="CP70">
        <f t="shared" si="44"/>
        <v>611.32999999999993</v>
      </c>
      <c r="CQ70">
        <f t="shared" si="45"/>
        <v>1157.7808</v>
      </c>
      <c r="CR70">
        <f>(((((ET70*1.25)*1.15))*BB70-(((EU70*1.25)*1.15))*BS70)+AE70*BS70)</f>
        <v>113.76625625</v>
      </c>
      <c r="CS70">
        <f t="shared" si="46"/>
        <v>13.523199999999999</v>
      </c>
      <c r="CT70">
        <f t="shared" si="47"/>
        <v>1079.7429999999999</v>
      </c>
      <c r="CU70">
        <f t="shared" si="48"/>
        <v>0</v>
      </c>
      <c r="CV70">
        <f t="shared" si="48"/>
        <v>2.8169249999999995</v>
      </c>
      <c r="CW70">
        <f t="shared" si="48"/>
        <v>2.8749999999999998E-2</v>
      </c>
      <c r="CX70">
        <f t="shared" si="48"/>
        <v>0</v>
      </c>
      <c r="CY70">
        <f t="shared" si="49"/>
        <v>267.19499999999999</v>
      </c>
      <c r="CZ70">
        <f t="shared" si="50"/>
        <v>123.22237500000001</v>
      </c>
      <c r="DC70" t="s">
        <v>3</v>
      </c>
      <c r="DD70" t="s">
        <v>3</v>
      </c>
      <c r="DE70" t="s">
        <v>103</v>
      </c>
      <c r="DF70" t="s">
        <v>103</v>
      </c>
      <c r="DG70" t="s">
        <v>104</v>
      </c>
      <c r="DH70" t="s">
        <v>3</v>
      </c>
      <c r="DI70" t="s">
        <v>104</v>
      </c>
      <c r="DJ70" t="s">
        <v>103</v>
      </c>
      <c r="DK70" t="s">
        <v>3</v>
      </c>
      <c r="DL70" t="s">
        <v>3</v>
      </c>
      <c r="DM70" t="s">
        <v>105</v>
      </c>
      <c r="DN70">
        <v>0</v>
      </c>
      <c r="DO70">
        <v>0</v>
      </c>
      <c r="DP70">
        <v>1</v>
      </c>
      <c r="DQ70">
        <v>1</v>
      </c>
      <c r="DU70">
        <v>1005</v>
      </c>
      <c r="DV70" t="s">
        <v>127</v>
      </c>
      <c r="DW70" t="s">
        <v>127</v>
      </c>
      <c r="DX70">
        <v>100</v>
      </c>
      <c r="DZ70" t="s">
        <v>3</v>
      </c>
      <c r="EA70" t="s">
        <v>3</v>
      </c>
      <c r="EB70" t="s">
        <v>3</v>
      </c>
      <c r="EC70" t="s">
        <v>3</v>
      </c>
      <c r="EE70">
        <v>140625034</v>
      </c>
      <c r="EF70">
        <v>2</v>
      </c>
      <c r="EG70" t="s">
        <v>106</v>
      </c>
      <c r="EH70">
        <v>13</v>
      </c>
      <c r="EI70" t="s">
        <v>129</v>
      </c>
      <c r="EJ70">
        <v>1</v>
      </c>
      <c r="EK70">
        <v>13001</v>
      </c>
      <c r="EL70" t="s">
        <v>130</v>
      </c>
      <c r="EM70" t="s">
        <v>131</v>
      </c>
      <c r="EO70" t="s">
        <v>109</v>
      </c>
      <c r="EQ70">
        <v>0</v>
      </c>
      <c r="ER70">
        <v>163.49</v>
      </c>
      <c r="ES70">
        <v>138.16</v>
      </c>
      <c r="ET70">
        <v>6.01</v>
      </c>
      <c r="EU70">
        <v>0.22</v>
      </c>
      <c r="EV70">
        <v>19.32</v>
      </c>
      <c r="EW70">
        <v>2.13</v>
      </c>
      <c r="EX70">
        <v>0.02</v>
      </c>
      <c r="EY70">
        <v>0</v>
      </c>
      <c r="FQ70">
        <v>0</v>
      </c>
      <c r="FR70">
        <f t="shared" si="51"/>
        <v>0</v>
      </c>
      <c r="FS70">
        <v>0</v>
      </c>
      <c r="FX70">
        <v>94</v>
      </c>
      <c r="FY70">
        <v>43.35</v>
      </c>
      <c r="GA70" t="s">
        <v>3</v>
      </c>
      <c r="GD70">
        <v>1</v>
      </c>
      <c r="GF70">
        <v>-1083810809</v>
      </c>
      <c r="GG70">
        <v>2</v>
      </c>
      <c r="GH70">
        <v>1</v>
      </c>
      <c r="GI70">
        <v>4</v>
      </c>
      <c r="GJ70">
        <v>0</v>
      </c>
      <c r="GK70">
        <v>0</v>
      </c>
      <c r="GL70">
        <f t="shared" si="52"/>
        <v>0</v>
      </c>
      <c r="GM70">
        <f t="shared" si="53"/>
        <v>1001.75</v>
      </c>
      <c r="GN70">
        <f t="shared" si="54"/>
        <v>1001.75</v>
      </c>
      <c r="GO70">
        <f t="shared" si="55"/>
        <v>0</v>
      </c>
      <c r="GP70">
        <f t="shared" si="56"/>
        <v>0</v>
      </c>
      <c r="GR70">
        <v>0</v>
      </c>
      <c r="GS70">
        <v>3</v>
      </c>
      <c r="GT70">
        <v>0</v>
      </c>
      <c r="GU70" t="s">
        <v>3</v>
      </c>
      <c r="GV70">
        <f t="shared" si="57"/>
        <v>0</v>
      </c>
      <c r="GW70">
        <v>1</v>
      </c>
      <c r="GX70">
        <f t="shared" si="58"/>
        <v>0</v>
      </c>
      <c r="HA70">
        <v>0</v>
      </c>
      <c r="HB70">
        <v>0</v>
      </c>
      <c r="HC70">
        <f t="shared" si="59"/>
        <v>0</v>
      </c>
      <c r="HE70" t="s">
        <v>3</v>
      </c>
      <c r="HF70" t="s">
        <v>3</v>
      </c>
      <c r="HM70" t="s">
        <v>3</v>
      </c>
      <c r="HN70" t="s">
        <v>132</v>
      </c>
      <c r="HO70" t="s">
        <v>133</v>
      </c>
      <c r="HP70" t="s">
        <v>129</v>
      </c>
      <c r="HQ70" t="s">
        <v>129</v>
      </c>
      <c r="IK70">
        <v>0</v>
      </c>
    </row>
    <row r="71" spans="1:245" x14ac:dyDescent="0.2">
      <c r="A71">
        <v>17</v>
      </c>
      <c r="B71">
        <v>1</v>
      </c>
      <c r="C71">
        <f>ROW(SmtRes!A60)</f>
        <v>60</v>
      </c>
      <c r="D71">
        <f>ROW(EtalonRes!A60)</f>
        <v>60</v>
      </c>
      <c r="E71" t="s">
        <v>138</v>
      </c>
      <c r="F71" t="s">
        <v>139</v>
      </c>
      <c r="G71" t="s">
        <v>140</v>
      </c>
      <c r="H71" t="s">
        <v>141</v>
      </c>
      <c r="I71">
        <f>ROUND((6*1*3)/100,9)</f>
        <v>0.18</v>
      </c>
      <c r="J71">
        <v>0</v>
      </c>
      <c r="K71">
        <f>ROUND((6*1*3)/100,9)</f>
        <v>0.18</v>
      </c>
      <c r="O71">
        <f t="shared" si="31"/>
        <v>6141.94</v>
      </c>
      <c r="P71">
        <f t="shared" si="32"/>
        <v>0</v>
      </c>
      <c r="Q71">
        <f t="shared" si="33"/>
        <v>40.22</v>
      </c>
      <c r="R71">
        <f t="shared" si="34"/>
        <v>22.82</v>
      </c>
      <c r="S71">
        <f t="shared" si="35"/>
        <v>6101.72</v>
      </c>
      <c r="T71">
        <f t="shared" si="36"/>
        <v>0</v>
      </c>
      <c r="U71">
        <f t="shared" si="37"/>
        <v>16.711109999999998</v>
      </c>
      <c r="V71">
        <f t="shared" si="38"/>
        <v>4.6574999999999991E-2</v>
      </c>
      <c r="W71">
        <f t="shared" si="39"/>
        <v>0</v>
      </c>
      <c r="X71">
        <f t="shared" si="40"/>
        <v>6736.99</v>
      </c>
      <c r="Y71">
        <f t="shared" si="40"/>
        <v>3592.04</v>
      </c>
      <c r="AA71">
        <v>146437721</v>
      </c>
      <c r="AB71">
        <f t="shared" si="41"/>
        <v>819.14</v>
      </c>
      <c r="AC71">
        <f>ROUND(((ES71*0)),2)</f>
        <v>0</v>
      </c>
      <c r="AD71">
        <f>ROUND((((((ET71*1.25)*1.15))-(((EU71*1.25)*1.15)))+AE71),2)</f>
        <v>17</v>
      </c>
      <c r="AE71">
        <f>ROUND((((EU71*1.25)*1.15)),2)</f>
        <v>3</v>
      </c>
      <c r="AF71">
        <f>ROUND((((EV71*1.15)*1.15)),2)</f>
        <v>802.14</v>
      </c>
      <c r="AG71">
        <f t="shared" si="42"/>
        <v>0</v>
      </c>
      <c r="AH71">
        <f>(((EW71*1.15)*1.15))</f>
        <v>92.839500000000001</v>
      </c>
      <c r="AI71">
        <f>(((EX71*1.25)*1.15))</f>
        <v>0.25874999999999998</v>
      </c>
      <c r="AJ71">
        <f t="shared" si="43"/>
        <v>0</v>
      </c>
      <c r="AK71">
        <v>997.83</v>
      </c>
      <c r="AL71">
        <v>379.47</v>
      </c>
      <c r="AM71">
        <v>11.83</v>
      </c>
      <c r="AN71">
        <v>2.09</v>
      </c>
      <c r="AO71">
        <v>606.53</v>
      </c>
      <c r="AP71">
        <v>0</v>
      </c>
      <c r="AQ71">
        <v>70.2</v>
      </c>
      <c r="AR71">
        <v>0.18</v>
      </c>
      <c r="AS71">
        <v>0</v>
      </c>
      <c r="AT71">
        <v>110</v>
      </c>
      <c r="AU71">
        <v>58.65</v>
      </c>
      <c r="AV71">
        <v>1</v>
      </c>
      <c r="AW71">
        <v>1</v>
      </c>
      <c r="AZ71">
        <v>1</v>
      </c>
      <c r="BA71">
        <v>42.26</v>
      </c>
      <c r="BB71">
        <v>13.15</v>
      </c>
      <c r="BC71">
        <v>8.3800000000000008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1</v>
      </c>
      <c r="BJ71" t="s">
        <v>142</v>
      </c>
      <c r="BM71">
        <v>8001</v>
      </c>
      <c r="BN71">
        <v>0</v>
      </c>
      <c r="BO71" t="s">
        <v>3</v>
      </c>
      <c r="BP71">
        <v>0</v>
      </c>
      <c r="BQ71">
        <v>2</v>
      </c>
      <c r="BR71">
        <v>0</v>
      </c>
      <c r="BS71">
        <v>42.26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110</v>
      </c>
      <c r="CA71">
        <v>69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354</v>
      </c>
      <c r="CO71">
        <v>0</v>
      </c>
      <c r="CP71">
        <f t="shared" si="44"/>
        <v>6141.9400000000005</v>
      </c>
      <c r="CQ71">
        <f t="shared" si="45"/>
        <v>0</v>
      </c>
      <c r="CR71">
        <f>(((((ET71*1.25)*1.15))*BB71-(((EU71*1.25)*1.15))*BS71)+AE71*BS71)</f>
        <v>223.43908125000002</v>
      </c>
      <c r="CS71">
        <f t="shared" si="46"/>
        <v>126.78</v>
      </c>
      <c r="CT71">
        <f t="shared" si="47"/>
        <v>33898.436399999999</v>
      </c>
      <c r="CU71">
        <f t="shared" si="48"/>
        <v>0</v>
      </c>
      <c r="CV71">
        <f t="shared" si="48"/>
        <v>92.839500000000001</v>
      </c>
      <c r="CW71">
        <f t="shared" si="48"/>
        <v>0.25874999999999998</v>
      </c>
      <c r="CX71">
        <f t="shared" si="48"/>
        <v>0</v>
      </c>
      <c r="CY71">
        <f t="shared" si="49"/>
        <v>6736.9940000000006</v>
      </c>
      <c r="CZ71">
        <f t="shared" si="50"/>
        <v>3592.0427100000002</v>
      </c>
      <c r="DC71" t="s">
        <v>3</v>
      </c>
      <c r="DD71" t="s">
        <v>143</v>
      </c>
      <c r="DE71" t="s">
        <v>103</v>
      </c>
      <c r="DF71" t="s">
        <v>103</v>
      </c>
      <c r="DG71" t="s">
        <v>104</v>
      </c>
      <c r="DH71" t="s">
        <v>3</v>
      </c>
      <c r="DI71" t="s">
        <v>104</v>
      </c>
      <c r="DJ71" t="s">
        <v>103</v>
      </c>
      <c r="DK71" t="s">
        <v>3</v>
      </c>
      <c r="DL71" t="s">
        <v>3</v>
      </c>
      <c r="DM71" t="s">
        <v>105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141</v>
      </c>
      <c r="DW71" t="s">
        <v>141</v>
      </c>
      <c r="DX71">
        <v>1</v>
      </c>
      <c r="DZ71" t="s">
        <v>3</v>
      </c>
      <c r="EA71" t="s">
        <v>3</v>
      </c>
      <c r="EB71" t="s">
        <v>3</v>
      </c>
      <c r="EC71" t="s">
        <v>3</v>
      </c>
      <c r="EE71">
        <v>140625024</v>
      </c>
      <c r="EF71">
        <v>2</v>
      </c>
      <c r="EG71" t="s">
        <v>106</v>
      </c>
      <c r="EH71">
        <v>8</v>
      </c>
      <c r="EI71" t="s">
        <v>144</v>
      </c>
      <c r="EJ71">
        <v>1</v>
      </c>
      <c r="EK71">
        <v>8001</v>
      </c>
      <c r="EL71" t="s">
        <v>144</v>
      </c>
      <c r="EM71" t="s">
        <v>145</v>
      </c>
      <c r="EO71" t="s">
        <v>109</v>
      </c>
      <c r="EQ71">
        <v>0</v>
      </c>
      <c r="ER71">
        <v>997.83</v>
      </c>
      <c r="ES71">
        <v>379.47</v>
      </c>
      <c r="ET71">
        <v>11.83</v>
      </c>
      <c r="EU71">
        <v>2.09</v>
      </c>
      <c r="EV71">
        <v>606.53</v>
      </c>
      <c r="EW71">
        <v>70.2</v>
      </c>
      <c r="EX71">
        <v>0.18</v>
      </c>
      <c r="EY71">
        <v>0</v>
      </c>
      <c r="FQ71">
        <v>0</v>
      </c>
      <c r="FR71">
        <f t="shared" si="51"/>
        <v>0</v>
      </c>
      <c r="FS71">
        <v>0</v>
      </c>
      <c r="FX71">
        <v>110</v>
      </c>
      <c r="FY71">
        <v>58.65</v>
      </c>
      <c r="GA71" t="s">
        <v>3</v>
      </c>
      <c r="GD71">
        <v>1</v>
      </c>
      <c r="GF71">
        <v>-78793539</v>
      </c>
      <c r="GG71">
        <v>2</v>
      </c>
      <c r="GH71">
        <v>1</v>
      </c>
      <c r="GI71">
        <v>4</v>
      </c>
      <c r="GJ71">
        <v>0</v>
      </c>
      <c r="GK71">
        <v>0</v>
      </c>
      <c r="GL71">
        <f t="shared" si="52"/>
        <v>0</v>
      </c>
      <c r="GM71">
        <f t="shared" si="53"/>
        <v>16470.97</v>
      </c>
      <c r="GN71">
        <f t="shared" si="54"/>
        <v>16470.97</v>
      </c>
      <c r="GO71">
        <f t="shared" si="55"/>
        <v>0</v>
      </c>
      <c r="GP71">
        <f t="shared" si="56"/>
        <v>0</v>
      </c>
      <c r="GR71">
        <v>0</v>
      </c>
      <c r="GS71">
        <v>3</v>
      </c>
      <c r="GT71">
        <v>0</v>
      </c>
      <c r="GU71" t="s">
        <v>3</v>
      </c>
      <c r="GV71">
        <f t="shared" si="57"/>
        <v>0</v>
      </c>
      <c r="GW71">
        <v>1</v>
      </c>
      <c r="GX71">
        <f t="shared" si="58"/>
        <v>0</v>
      </c>
      <c r="HA71">
        <v>0</v>
      </c>
      <c r="HB71">
        <v>0</v>
      </c>
      <c r="HC71">
        <f t="shared" si="59"/>
        <v>0</v>
      </c>
      <c r="HE71" t="s">
        <v>3</v>
      </c>
      <c r="HF71" t="s">
        <v>3</v>
      </c>
      <c r="HM71" t="s">
        <v>3</v>
      </c>
      <c r="HN71" t="s">
        <v>146</v>
      </c>
      <c r="HO71" t="s">
        <v>147</v>
      </c>
      <c r="HP71" t="s">
        <v>144</v>
      </c>
      <c r="HQ71" t="s">
        <v>144</v>
      </c>
      <c r="IK71">
        <v>0</v>
      </c>
    </row>
    <row r="72" spans="1:245" x14ac:dyDescent="0.2">
      <c r="A72">
        <v>17</v>
      </c>
      <c r="B72">
        <v>1</v>
      </c>
      <c r="C72">
        <f>ROW(SmtRes!A61)</f>
        <v>61</v>
      </c>
      <c r="D72">
        <f>ROW(EtalonRes!A61)</f>
        <v>61</v>
      </c>
      <c r="E72" t="s">
        <v>148</v>
      </c>
      <c r="F72" t="s">
        <v>149</v>
      </c>
      <c r="G72" t="s">
        <v>150</v>
      </c>
      <c r="H72" t="s">
        <v>127</v>
      </c>
      <c r="I72">
        <f>ROUND(18/100,9)</f>
        <v>0.18</v>
      </c>
      <c r="J72">
        <v>0</v>
      </c>
      <c r="K72">
        <f>ROUND(18/100,9)</f>
        <v>0.18</v>
      </c>
      <c r="O72">
        <f t="shared" si="31"/>
        <v>573.63</v>
      </c>
      <c r="P72">
        <f t="shared" si="32"/>
        <v>0</v>
      </c>
      <c r="Q72">
        <f t="shared" si="33"/>
        <v>0</v>
      </c>
      <c r="R72">
        <f t="shared" si="34"/>
        <v>0</v>
      </c>
      <c r="S72">
        <f t="shared" si="35"/>
        <v>573.63</v>
      </c>
      <c r="T72">
        <f t="shared" si="36"/>
        <v>0</v>
      </c>
      <c r="U72">
        <f t="shared" si="37"/>
        <v>1.5711299999999997</v>
      </c>
      <c r="V72">
        <f t="shared" si="38"/>
        <v>0</v>
      </c>
      <c r="W72">
        <f t="shared" si="39"/>
        <v>0</v>
      </c>
      <c r="X72">
        <f t="shared" si="40"/>
        <v>630.99</v>
      </c>
      <c r="Y72">
        <f t="shared" si="40"/>
        <v>336.43</v>
      </c>
      <c r="AA72">
        <v>146437721</v>
      </c>
      <c r="AB72">
        <f t="shared" si="41"/>
        <v>75.41</v>
      </c>
      <c r="AC72">
        <f>ROUND(((ES72*0)),2)</f>
        <v>0</v>
      </c>
      <c r="AD72">
        <f>ROUND((((((ET72*1.25)*1.15))-(((EU72*1.25)*1.15)))+AE72),2)</f>
        <v>0</v>
      </c>
      <c r="AE72">
        <f>ROUND((((EU72*1.25)*1.15)),2)</f>
        <v>0</v>
      </c>
      <c r="AF72">
        <f>ROUND((((EV72*1.15)*1.15)),2)</f>
        <v>75.41</v>
      </c>
      <c r="AG72">
        <f t="shared" si="42"/>
        <v>0</v>
      </c>
      <c r="AH72">
        <f>(((EW72*1.15)*1.15))</f>
        <v>8.7284999999999986</v>
      </c>
      <c r="AI72">
        <f>(((EX72*1.25)*1.15))</f>
        <v>0</v>
      </c>
      <c r="AJ72">
        <f t="shared" si="43"/>
        <v>0</v>
      </c>
      <c r="AK72">
        <v>57.02</v>
      </c>
      <c r="AL72">
        <v>0</v>
      </c>
      <c r="AM72">
        <v>0</v>
      </c>
      <c r="AN72">
        <v>0</v>
      </c>
      <c r="AO72">
        <v>57.02</v>
      </c>
      <c r="AP72">
        <v>0</v>
      </c>
      <c r="AQ72">
        <v>6.6</v>
      </c>
      <c r="AR72">
        <v>0</v>
      </c>
      <c r="AS72">
        <v>0</v>
      </c>
      <c r="AT72">
        <v>110</v>
      </c>
      <c r="AU72">
        <v>58.65</v>
      </c>
      <c r="AV72">
        <v>1</v>
      </c>
      <c r="AW72">
        <v>1</v>
      </c>
      <c r="AZ72">
        <v>1</v>
      </c>
      <c r="BA72">
        <v>42.26</v>
      </c>
      <c r="BB72">
        <v>13.15</v>
      </c>
      <c r="BC72">
        <v>8.3800000000000008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1</v>
      </c>
      <c r="BJ72" t="s">
        <v>151</v>
      </c>
      <c r="BM72">
        <v>8001</v>
      </c>
      <c r="BN72">
        <v>0</v>
      </c>
      <c r="BO72" t="s">
        <v>3</v>
      </c>
      <c r="BP72">
        <v>0</v>
      </c>
      <c r="BQ72">
        <v>2</v>
      </c>
      <c r="BR72">
        <v>0</v>
      </c>
      <c r="BS72">
        <v>42.26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110</v>
      </c>
      <c r="CA72">
        <v>69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354</v>
      </c>
      <c r="CO72">
        <v>0</v>
      </c>
      <c r="CP72">
        <f t="shared" si="44"/>
        <v>573.63</v>
      </c>
      <c r="CQ72">
        <f t="shared" si="45"/>
        <v>0</v>
      </c>
      <c r="CR72">
        <f>(((((ET72*1.25)*1.15))*BB72-(((EU72*1.25)*1.15))*BS72)+AE72*BS72)</f>
        <v>0</v>
      </c>
      <c r="CS72">
        <f t="shared" si="46"/>
        <v>0</v>
      </c>
      <c r="CT72">
        <f t="shared" si="47"/>
        <v>3186.8265999999999</v>
      </c>
      <c r="CU72">
        <f t="shared" si="48"/>
        <v>0</v>
      </c>
      <c r="CV72">
        <f t="shared" si="48"/>
        <v>8.7284999999999986</v>
      </c>
      <c r="CW72">
        <f t="shared" si="48"/>
        <v>0</v>
      </c>
      <c r="CX72">
        <f t="shared" si="48"/>
        <v>0</v>
      </c>
      <c r="CY72">
        <f t="shared" si="49"/>
        <v>630.99300000000005</v>
      </c>
      <c r="CZ72">
        <f t="shared" si="50"/>
        <v>336.43399499999998</v>
      </c>
      <c r="DC72" t="s">
        <v>3</v>
      </c>
      <c r="DD72" t="s">
        <v>143</v>
      </c>
      <c r="DE72" t="s">
        <v>103</v>
      </c>
      <c r="DF72" t="s">
        <v>103</v>
      </c>
      <c r="DG72" t="s">
        <v>104</v>
      </c>
      <c r="DH72" t="s">
        <v>3</v>
      </c>
      <c r="DI72" t="s">
        <v>104</v>
      </c>
      <c r="DJ72" t="s">
        <v>103</v>
      </c>
      <c r="DK72" t="s">
        <v>3</v>
      </c>
      <c r="DL72" t="s">
        <v>3</v>
      </c>
      <c r="DM72" t="s">
        <v>105</v>
      </c>
      <c r="DN72">
        <v>0</v>
      </c>
      <c r="DO72">
        <v>0</v>
      </c>
      <c r="DP72">
        <v>1</v>
      </c>
      <c r="DQ72">
        <v>1</v>
      </c>
      <c r="DU72">
        <v>1005</v>
      </c>
      <c r="DV72" t="s">
        <v>127</v>
      </c>
      <c r="DW72" t="s">
        <v>127</v>
      </c>
      <c r="DX72">
        <v>100</v>
      </c>
      <c r="DZ72" t="s">
        <v>3</v>
      </c>
      <c r="EA72" t="s">
        <v>3</v>
      </c>
      <c r="EB72" t="s">
        <v>3</v>
      </c>
      <c r="EC72" t="s">
        <v>3</v>
      </c>
      <c r="EE72">
        <v>140625024</v>
      </c>
      <c r="EF72">
        <v>2</v>
      </c>
      <c r="EG72" t="s">
        <v>106</v>
      </c>
      <c r="EH72">
        <v>8</v>
      </c>
      <c r="EI72" t="s">
        <v>144</v>
      </c>
      <c r="EJ72">
        <v>1</v>
      </c>
      <c r="EK72">
        <v>8001</v>
      </c>
      <c r="EL72" t="s">
        <v>144</v>
      </c>
      <c r="EM72" t="s">
        <v>145</v>
      </c>
      <c r="EO72" t="s">
        <v>109</v>
      </c>
      <c r="EQ72">
        <v>0</v>
      </c>
      <c r="ER72">
        <v>57.02</v>
      </c>
      <c r="ES72">
        <v>0</v>
      </c>
      <c r="ET72">
        <v>0</v>
      </c>
      <c r="EU72">
        <v>0</v>
      </c>
      <c r="EV72">
        <v>57.02</v>
      </c>
      <c r="EW72">
        <v>6.6</v>
      </c>
      <c r="EX72">
        <v>0</v>
      </c>
      <c r="EY72">
        <v>0</v>
      </c>
      <c r="FQ72">
        <v>0</v>
      </c>
      <c r="FR72">
        <f t="shared" si="51"/>
        <v>0</v>
      </c>
      <c r="FS72">
        <v>0</v>
      </c>
      <c r="FX72">
        <v>110</v>
      </c>
      <c r="FY72">
        <v>58.65</v>
      </c>
      <c r="GA72" t="s">
        <v>3</v>
      </c>
      <c r="GD72">
        <v>1</v>
      </c>
      <c r="GF72">
        <v>1603525083</v>
      </c>
      <c r="GG72">
        <v>2</v>
      </c>
      <c r="GH72">
        <v>1</v>
      </c>
      <c r="GI72">
        <v>4</v>
      </c>
      <c r="GJ72">
        <v>0</v>
      </c>
      <c r="GK72">
        <v>0</v>
      </c>
      <c r="GL72">
        <f t="shared" si="52"/>
        <v>0</v>
      </c>
      <c r="GM72">
        <f t="shared" si="53"/>
        <v>1541.05</v>
      </c>
      <c r="GN72">
        <f t="shared" si="54"/>
        <v>1541.05</v>
      </c>
      <c r="GO72">
        <f t="shared" si="55"/>
        <v>0</v>
      </c>
      <c r="GP72">
        <f t="shared" si="56"/>
        <v>0</v>
      </c>
      <c r="GR72">
        <v>0</v>
      </c>
      <c r="GS72">
        <v>3</v>
      </c>
      <c r="GT72">
        <v>0</v>
      </c>
      <c r="GU72" t="s">
        <v>3</v>
      </c>
      <c r="GV72">
        <f t="shared" si="57"/>
        <v>0</v>
      </c>
      <c r="GW72">
        <v>1</v>
      </c>
      <c r="GX72">
        <f t="shared" si="58"/>
        <v>0</v>
      </c>
      <c r="HA72">
        <v>0</v>
      </c>
      <c r="HB72">
        <v>0</v>
      </c>
      <c r="HC72">
        <f t="shared" si="59"/>
        <v>0</v>
      </c>
      <c r="HE72" t="s">
        <v>3</v>
      </c>
      <c r="HF72" t="s">
        <v>3</v>
      </c>
      <c r="HM72" t="s">
        <v>3</v>
      </c>
      <c r="HN72" t="s">
        <v>146</v>
      </c>
      <c r="HO72" t="s">
        <v>147</v>
      </c>
      <c r="HP72" t="s">
        <v>144</v>
      </c>
      <c r="HQ72" t="s">
        <v>144</v>
      </c>
      <c r="IK72">
        <v>0</v>
      </c>
    </row>
    <row r="74" spans="1:245" x14ac:dyDescent="0.2">
      <c r="A74" s="2">
        <v>51</v>
      </c>
      <c r="B74" s="2">
        <f>B61</f>
        <v>1</v>
      </c>
      <c r="C74" s="2">
        <f>A61</f>
        <v>4</v>
      </c>
      <c r="D74" s="2">
        <f>ROW(A61)</f>
        <v>61</v>
      </c>
      <c r="E74" s="2"/>
      <c r="F74" s="2" t="str">
        <f>IF(F61&lt;&gt;"",F61,"")</f>
        <v>Новый раздел</v>
      </c>
      <c r="G74" s="2" t="str">
        <f>IF(G61&lt;&gt;"",G61,"")</f>
        <v>Усиление плит перекрытия</v>
      </c>
      <c r="H74" s="2">
        <v>0</v>
      </c>
      <c r="I74" s="2"/>
      <c r="J74" s="2"/>
      <c r="K74" s="2"/>
      <c r="L74" s="2"/>
      <c r="M74" s="2"/>
      <c r="N74" s="2"/>
      <c r="O74" s="2">
        <f t="shared" ref="O74:T74" si="60">ROUND(AB74,2)</f>
        <v>41195.56</v>
      </c>
      <c r="P74" s="2">
        <f t="shared" si="60"/>
        <v>1716.27</v>
      </c>
      <c r="Q74" s="2">
        <f t="shared" si="60"/>
        <v>11808.87</v>
      </c>
      <c r="R74" s="2">
        <f t="shared" si="60"/>
        <v>3881.91</v>
      </c>
      <c r="S74" s="2">
        <f t="shared" si="60"/>
        <v>27670.42</v>
      </c>
      <c r="T74" s="2">
        <f t="shared" si="60"/>
        <v>0</v>
      </c>
      <c r="U74" s="2">
        <f>AH74</f>
        <v>69.608559</v>
      </c>
      <c r="V74" s="2">
        <f>AI74</f>
        <v>6.9267700000000003</v>
      </c>
      <c r="W74" s="2">
        <f>ROUND(AJ74,2)</f>
        <v>0</v>
      </c>
      <c r="X74" s="2">
        <f>ROUND(AK74,2)</f>
        <v>30084.18</v>
      </c>
      <c r="Y74" s="2">
        <f>ROUND(AL74,2)</f>
        <v>15898.52</v>
      </c>
      <c r="Z74" s="2"/>
      <c r="AA74" s="2"/>
      <c r="AB74" s="2">
        <f>ROUND(SUMIF(AA65:AA72,"=146437721",O65:O72),2)</f>
        <v>41195.56</v>
      </c>
      <c r="AC74" s="2">
        <f>ROUND(SUMIF(AA65:AA72,"=146437721",P65:P72),2)</f>
        <v>1716.27</v>
      </c>
      <c r="AD74" s="2">
        <f>ROUND(SUMIF(AA65:AA72,"=146437721",Q65:Q72),2)</f>
        <v>11808.87</v>
      </c>
      <c r="AE74" s="2">
        <f>ROUND(SUMIF(AA65:AA72,"=146437721",R65:R72),2)</f>
        <v>3881.91</v>
      </c>
      <c r="AF74" s="2">
        <f>ROUND(SUMIF(AA65:AA72,"=146437721",S65:S72),2)</f>
        <v>27670.42</v>
      </c>
      <c r="AG74" s="2">
        <f>ROUND(SUMIF(AA65:AA72,"=146437721",T65:T72),2)</f>
        <v>0</v>
      </c>
      <c r="AH74" s="2">
        <f>SUMIF(AA65:AA72,"=146437721",U65:U72)</f>
        <v>69.608559</v>
      </c>
      <c r="AI74" s="2">
        <f>SUMIF(AA65:AA72,"=146437721",V65:V72)</f>
        <v>6.9267700000000003</v>
      </c>
      <c r="AJ74" s="2">
        <f>ROUND(SUMIF(AA65:AA72,"=146437721",W65:W72),2)</f>
        <v>0</v>
      </c>
      <c r="AK74" s="2">
        <f>ROUND(SUMIF(AA65:AA72,"=146437721",X65:X72),2)</f>
        <v>30084.18</v>
      </c>
      <c r="AL74" s="2">
        <f>ROUND(SUMIF(AA65:AA72,"=146437721",Y65:Y72),2)</f>
        <v>15898.52</v>
      </c>
      <c r="AM74" s="2"/>
      <c r="AN74" s="2"/>
      <c r="AO74" s="2">
        <f t="shared" ref="AO74:BD74" si="61">ROUND(BX74,2)</f>
        <v>0</v>
      </c>
      <c r="AP74" s="2">
        <f t="shared" si="61"/>
        <v>0</v>
      </c>
      <c r="AQ74" s="2">
        <f t="shared" si="61"/>
        <v>0</v>
      </c>
      <c r="AR74" s="2">
        <f t="shared" si="61"/>
        <v>87178.26</v>
      </c>
      <c r="AS74" s="2">
        <f t="shared" si="61"/>
        <v>54569.38</v>
      </c>
      <c r="AT74" s="2">
        <f t="shared" si="61"/>
        <v>32608.880000000001</v>
      </c>
      <c r="AU74" s="2">
        <f t="shared" si="61"/>
        <v>0</v>
      </c>
      <c r="AV74" s="2">
        <f t="shared" si="61"/>
        <v>1716.27</v>
      </c>
      <c r="AW74" s="2">
        <f t="shared" si="61"/>
        <v>1716.27</v>
      </c>
      <c r="AX74" s="2">
        <f t="shared" si="61"/>
        <v>0</v>
      </c>
      <c r="AY74" s="2">
        <f t="shared" si="61"/>
        <v>1716.27</v>
      </c>
      <c r="AZ74" s="2">
        <f t="shared" si="61"/>
        <v>0</v>
      </c>
      <c r="BA74" s="2">
        <f t="shared" si="61"/>
        <v>0</v>
      </c>
      <c r="BB74" s="2">
        <f t="shared" si="61"/>
        <v>0</v>
      </c>
      <c r="BC74" s="2">
        <f t="shared" si="61"/>
        <v>0</v>
      </c>
      <c r="BD74" s="2">
        <f t="shared" si="61"/>
        <v>0</v>
      </c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>
        <f>ROUND(SUMIF(AA65:AA72,"=146437721",FQ65:FQ72),2)</f>
        <v>0</v>
      </c>
      <c r="BY74" s="2">
        <f>ROUND(SUMIF(AA65:AA72,"=146437721",FR65:FR72),2)</f>
        <v>0</v>
      </c>
      <c r="BZ74" s="2">
        <f>ROUND(SUMIF(AA65:AA72,"=146437721",GL65:GL72),2)</f>
        <v>0</v>
      </c>
      <c r="CA74" s="2">
        <f>ROUND(SUMIF(AA65:AA72,"=146437721",GM65:GM72),2)</f>
        <v>87178.26</v>
      </c>
      <c r="CB74" s="2">
        <f>ROUND(SUMIF(AA65:AA72,"=146437721",GN65:GN72),2)</f>
        <v>54569.38</v>
      </c>
      <c r="CC74" s="2">
        <f>ROUND(SUMIF(AA65:AA72,"=146437721",GO65:GO72),2)</f>
        <v>32608.880000000001</v>
      </c>
      <c r="CD74" s="2">
        <f>ROUND(SUMIF(AA65:AA72,"=146437721",GP65:GP72),2)</f>
        <v>0</v>
      </c>
      <c r="CE74" s="2">
        <f>AC74-BX74</f>
        <v>1716.27</v>
      </c>
      <c r="CF74" s="2">
        <f>AC74-BY74</f>
        <v>1716.27</v>
      </c>
      <c r="CG74" s="2">
        <f>BX74-BZ74</f>
        <v>0</v>
      </c>
      <c r="CH74" s="2">
        <f>AC74-BX74-BY74+BZ74</f>
        <v>1716.27</v>
      </c>
      <c r="CI74" s="2">
        <f>BY74-BZ74</f>
        <v>0</v>
      </c>
      <c r="CJ74" s="2">
        <f>ROUND(SUMIF(AA65:AA72,"=146437721",GX65:GX72),2)</f>
        <v>0</v>
      </c>
      <c r="CK74" s="2">
        <f>ROUND(SUMIF(AA65:AA72,"=146437721",GY65:GY72),2)</f>
        <v>0</v>
      </c>
      <c r="CL74" s="2">
        <f>ROUND(SUMIF(AA65:AA72,"=146437721",GZ65:GZ72),2)</f>
        <v>0</v>
      </c>
      <c r="CM74" s="2">
        <f>ROUND(SUMIF(AA65:AA72,"=146437721",HD65:HD72),2)</f>
        <v>0</v>
      </c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>
        <v>0</v>
      </c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201</v>
      </c>
      <c r="F76" s="4">
        <f>ROUND(Source!O74,O76)</f>
        <v>41195.56</v>
      </c>
      <c r="G76" s="4" t="s">
        <v>32</v>
      </c>
      <c r="H76" s="4" t="s">
        <v>33</v>
      </c>
      <c r="I76" s="4"/>
      <c r="J76" s="4"/>
      <c r="K76" s="4">
        <v>201</v>
      </c>
      <c r="L76" s="4">
        <v>1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41195.56</v>
      </c>
      <c r="X76" s="4">
        <v>1</v>
      </c>
      <c r="Y76" s="4">
        <v>41195.56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202</v>
      </c>
      <c r="F77" s="4">
        <f>ROUND(Source!P74,O77)</f>
        <v>1716.27</v>
      </c>
      <c r="G77" s="4" t="s">
        <v>34</v>
      </c>
      <c r="H77" s="4" t="s">
        <v>35</v>
      </c>
      <c r="I77" s="4"/>
      <c r="J77" s="4"/>
      <c r="K77" s="4">
        <v>202</v>
      </c>
      <c r="L77" s="4">
        <v>2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1716.27</v>
      </c>
      <c r="X77" s="4">
        <v>1</v>
      </c>
      <c r="Y77" s="4">
        <v>1716.27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222</v>
      </c>
      <c r="F78" s="4">
        <f>ROUND(Source!AO74,O78)</f>
        <v>0</v>
      </c>
      <c r="G78" s="4" t="s">
        <v>36</v>
      </c>
      <c r="H78" s="4" t="s">
        <v>37</v>
      </c>
      <c r="I78" s="4"/>
      <c r="J78" s="4"/>
      <c r="K78" s="4">
        <v>222</v>
      </c>
      <c r="L78" s="4">
        <v>3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225</v>
      </c>
      <c r="F79" s="4">
        <f>ROUND(Source!AV74,O79)</f>
        <v>1716.27</v>
      </c>
      <c r="G79" s="4" t="s">
        <v>38</v>
      </c>
      <c r="H79" s="4" t="s">
        <v>39</v>
      </c>
      <c r="I79" s="4"/>
      <c r="J79" s="4"/>
      <c r="K79" s="4">
        <v>225</v>
      </c>
      <c r="L79" s="4">
        <v>4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1716.27</v>
      </c>
      <c r="X79" s="4">
        <v>1</v>
      </c>
      <c r="Y79" s="4">
        <v>1716.27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226</v>
      </c>
      <c r="F80" s="4">
        <f>ROUND(Source!AW74,O80)</f>
        <v>1716.27</v>
      </c>
      <c r="G80" s="4" t="s">
        <v>40</v>
      </c>
      <c r="H80" s="4" t="s">
        <v>41</v>
      </c>
      <c r="I80" s="4"/>
      <c r="J80" s="4"/>
      <c r="K80" s="4">
        <v>226</v>
      </c>
      <c r="L80" s="4">
        <v>5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1716.27</v>
      </c>
      <c r="X80" s="4">
        <v>1</v>
      </c>
      <c r="Y80" s="4">
        <v>1716.27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227</v>
      </c>
      <c r="F81" s="4">
        <f>ROUND(Source!AX74,O81)</f>
        <v>0</v>
      </c>
      <c r="G81" s="4" t="s">
        <v>42</v>
      </c>
      <c r="H81" s="4" t="s">
        <v>43</v>
      </c>
      <c r="I81" s="4"/>
      <c r="J81" s="4"/>
      <c r="K81" s="4">
        <v>227</v>
      </c>
      <c r="L81" s="4">
        <v>6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228</v>
      </c>
      <c r="F82" s="4">
        <f>ROUND(Source!AY74,O82)</f>
        <v>1716.27</v>
      </c>
      <c r="G82" s="4" t="s">
        <v>44</v>
      </c>
      <c r="H82" s="4" t="s">
        <v>45</v>
      </c>
      <c r="I82" s="4"/>
      <c r="J82" s="4"/>
      <c r="K82" s="4">
        <v>228</v>
      </c>
      <c r="L82" s="4">
        <v>7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1716.27</v>
      </c>
      <c r="X82" s="4">
        <v>1</v>
      </c>
      <c r="Y82" s="4">
        <v>1716.27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216</v>
      </c>
      <c r="F83" s="4">
        <f>ROUND(Source!AP74,O83)</f>
        <v>0</v>
      </c>
      <c r="G83" s="4" t="s">
        <v>46</v>
      </c>
      <c r="H83" s="4" t="s">
        <v>47</v>
      </c>
      <c r="I83" s="4"/>
      <c r="J83" s="4"/>
      <c r="K83" s="4">
        <v>216</v>
      </c>
      <c r="L83" s="4">
        <v>8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223</v>
      </c>
      <c r="F84" s="4">
        <f>ROUND(Source!AQ74,O84)</f>
        <v>0</v>
      </c>
      <c r="G84" s="4" t="s">
        <v>48</v>
      </c>
      <c r="H84" s="4" t="s">
        <v>49</v>
      </c>
      <c r="I84" s="4"/>
      <c r="J84" s="4"/>
      <c r="K84" s="4">
        <v>223</v>
      </c>
      <c r="L84" s="4">
        <v>9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229</v>
      </c>
      <c r="F85" s="4">
        <f>ROUND(Source!AZ74,O85)</f>
        <v>0</v>
      </c>
      <c r="G85" s="4" t="s">
        <v>50</v>
      </c>
      <c r="H85" s="4" t="s">
        <v>51</v>
      </c>
      <c r="I85" s="4"/>
      <c r="J85" s="4"/>
      <c r="K85" s="4">
        <v>229</v>
      </c>
      <c r="L85" s="4">
        <v>10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203</v>
      </c>
      <c r="F86" s="4">
        <f>ROUND(Source!Q74,O86)</f>
        <v>11808.87</v>
      </c>
      <c r="G86" s="4" t="s">
        <v>52</v>
      </c>
      <c r="H86" s="4" t="s">
        <v>53</v>
      </c>
      <c r="I86" s="4"/>
      <c r="J86" s="4"/>
      <c r="K86" s="4">
        <v>203</v>
      </c>
      <c r="L86" s="4">
        <v>11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11808.87</v>
      </c>
      <c r="X86" s="4">
        <v>1</v>
      </c>
      <c r="Y86" s="4">
        <v>11808.87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231</v>
      </c>
      <c r="F87" s="4">
        <f>ROUND(Source!BB74,O87)</f>
        <v>0</v>
      </c>
      <c r="G87" s="4" t="s">
        <v>54</v>
      </c>
      <c r="H87" s="4" t="s">
        <v>55</v>
      </c>
      <c r="I87" s="4"/>
      <c r="J87" s="4"/>
      <c r="K87" s="4">
        <v>231</v>
      </c>
      <c r="L87" s="4">
        <v>12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204</v>
      </c>
      <c r="F88" s="4">
        <f>ROUND(Source!R74,O88)</f>
        <v>3881.91</v>
      </c>
      <c r="G88" s="4" t="s">
        <v>56</v>
      </c>
      <c r="H88" s="4" t="s">
        <v>57</v>
      </c>
      <c r="I88" s="4"/>
      <c r="J88" s="4"/>
      <c r="K88" s="4">
        <v>204</v>
      </c>
      <c r="L88" s="4">
        <v>13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3881.91</v>
      </c>
      <c r="X88" s="4">
        <v>1</v>
      </c>
      <c r="Y88" s="4">
        <v>3881.91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205</v>
      </c>
      <c r="F89" s="4">
        <f>ROUND(Source!S74,O89)</f>
        <v>27670.42</v>
      </c>
      <c r="G89" s="4" t="s">
        <v>58</v>
      </c>
      <c r="H89" s="4" t="s">
        <v>59</v>
      </c>
      <c r="I89" s="4"/>
      <c r="J89" s="4"/>
      <c r="K89" s="4">
        <v>205</v>
      </c>
      <c r="L89" s="4">
        <v>14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27670.42</v>
      </c>
      <c r="X89" s="4">
        <v>1</v>
      </c>
      <c r="Y89" s="4">
        <v>27670.42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232</v>
      </c>
      <c r="F90" s="4">
        <f>ROUND(Source!BC74,O90)</f>
        <v>0</v>
      </c>
      <c r="G90" s="4" t="s">
        <v>60</v>
      </c>
      <c r="H90" s="4" t="s">
        <v>61</v>
      </c>
      <c r="I90" s="4"/>
      <c r="J90" s="4"/>
      <c r="K90" s="4">
        <v>232</v>
      </c>
      <c r="L90" s="4">
        <v>15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214</v>
      </c>
      <c r="F91" s="4">
        <f>ROUND(Source!AS74,O91)</f>
        <v>54569.38</v>
      </c>
      <c r="G91" s="4" t="s">
        <v>62</v>
      </c>
      <c r="H91" s="4" t="s">
        <v>63</v>
      </c>
      <c r="I91" s="4"/>
      <c r="J91" s="4"/>
      <c r="K91" s="4">
        <v>214</v>
      </c>
      <c r="L91" s="4">
        <v>16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54569.38</v>
      </c>
      <c r="X91" s="4">
        <v>1</v>
      </c>
      <c r="Y91" s="4">
        <v>54569.38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215</v>
      </c>
      <c r="F92" s="4">
        <f>ROUND(Source!AT74,O92)</f>
        <v>32608.880000000001</v>
      </c>
      <c r="G92" s="4" t="s">
        <v>64</v>
      </c>
      <c r="H92" s="4" t="s">
        <v>65</v>
      </c>
      <c r="I92" s="4"/>
      <c r="J92" s="4"/>
      <c r="K92" s="4">
        <v>215</v>
      </c>
      <c r="L92" s="4">
        <v>17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32608.880000000001</v>
      </c>
      <c r="X92" s="4">
        <v>1</v>
      </c>
      <c r="Y92" s="4">
        <v>32608.880000000001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217</v>
      </c>
      <c r="F93" s="4">
        <f>ROUND(Source!AU74,O93)</f>
        <v>0</v>
      </c>
      <c r="G93" s="4" t="s">
        <v>66</v>
      </c>
      <c r="H93" s="4" t="s">
        <v>67</v>
      </c>
      <c r="I93" s="4"/>
      <c r="J93" s="4"/>
      <c r="K93" s="4">
        <v>217</v>
      </c>
      <c r="L93" s="4">
        <v>18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230</v>
      </c>
      <c r="F94" s="4">
        <f>ROUND(Source!BA74,O94)</f>
        <v>0</v>
      </c>
      <c r="G94" s="4" t="s">
        <v>68</v>
      </c>
      <c r="H94" s="4" t="s">
        <v>69</v>
      </c>
      <c r="I94" s="4"/>
      <c r="J94" s="4"/>
      <c r="K94" s="4">
        <v>230</v>
      </c>
      <c r="L94" s="4">
        <v>19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206</v>
      </c>
      <c r="F95" s="4">
        <f>ROUND(Source!T74,O95)</f>
        <v>0</v>
      </c>
      <c r="G95" s="4" t="s">
        <v>70</v>
      </c>
      <c r="H95" s="4" t="s">
        <v>71</v>
      </c>
      <c r="I95" s="4"/>
      <c r="J95" s="4"/>
      <c r="K95" s="4">
        <v>206</v>
      </c>
      <c r="L95" s="4">
        <v>20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207</v>
      </c>
      <c r="F96" s="4">
        <f>Source!U74</f>
        <v>69.608559</v>
      </c>
      <c r="G96" s="4" t="s">
        <v>72</v>
      </c>
      <c r="H96" s="4" t="s">
        <v>73</v>
      </c>
      <c r="I96" s="4"/>
      <c r="J96" s="4"/>
      <c r="K96" s="4">
        <v>207</v>
      </c>
      <c r="L96" s="4">
        <v>21</v>
      </c>
      <c r="M96" s="4">
        <v>3</v>
      </c>
      <c r="N96" s="4" t="s">
        <v>3</v>
      </c>
      <c r="O96" s="4">
        <v>-1</v>
      </c>
      <c r="P96" s="4"/>
      <c r="Q96" s="4"/>
      <c r="R96" s="4"/>
      <c r="S96" s="4"/>
      <c r="T96" s="4"/>
      <c r="U96" s="4"/>
      <c r="V96" s="4"/>
      <c r="W96" s="4">
        <v>69.608559</v>
      </c>
      <c r="X96" s="4">
        <v>1</v>
      </c>
      <c r="Y96" s="4">
        <v>69.608559</v>
      </c>
      <c r="Z96" s="4"/>
      <c r="AA96" s="4"/>
      <c r="AB96" s="4"/>
    </row>
    <row r="97" spans="1:206" x14ac:dyDescent="0.2">
      <c r="A97" s="4">
        <v>50</v>
      </c>
      <c r="B97" s="4">
        <v>0</v>
      </c>
      <c r="C97" s="4">
        <v>0</v>
      </c>
      <c r="D97" s="4">
        <v>1</v>
      </c>
      <c r="E97" s="4">
        <v>208</v>
      </c>
      <c r="F97" s="4">
        <f>Source!V74</f>
        <v>6.9267700000000003</v>
      </c>
      <c r="G97" s="4" t="s">
        <v>74</v>
      </c>
      <c r="H97" s="4" t="s">
        <v>75</v>
      </c>
      <c r="I97" s="4"/>
      <c r="J97" s="4"/>
      <c r="K97" s="4">
        <v>208</v>
      </c>
      <c r="L97" s="4">
        <v>22</v>
      </c>
      <c r="M97" s="4">
        <v>3</v>
      </c>
      <c r="N97" s="4" t="s">
        <v>3</v>
      </c>
      <c r="O97" s="4">
        <v>-1</v>
      </c>
      <c r="P97" s="4"/>
      <c r="Q97" s="4"/>
      <c r="R97" s="4"/>
      <c r="S97" s="4"/>
      <c r="T97" s="4"/>
      <c r="U97" s="4"/>
      <c r="V97" s="4"/>
      <c r="W97" s="4">
        <v>6.9267700000000003</v>
      </c>
      <c r="X97" s="4">
        <v>1</v>
      </c>
      <c r="Y97" s="4">
        <v>6.9267700000000003</v>
      </c>
      <c r="Z97" s="4"/>
      <c r="AA97" s="4"/>
      <c r="AB97" s="4"/>
    </row>
    <row r="98" spans="1:206" x14ac:dyDescent="0.2">
      <c r="A98" s="4">
        <v>50</v>
      </c>
      <c r="B98" s="4">
        <v>0</v>
      </c>
      <c r="C98" s="4">
        <v>0</v>
      </c>
      <c r="D98" s="4">
        <v>1</v>
      </c>
      <c r="E98" s="4">
        <v>209</v>
      </c>
      <c r="F98" s="4">
        <f>ROUND(Source!W74,O98)</f>
        <v>0</v>
      </c>
      <c r="G98" s="4" t="s">
        <v>76</v>
      </c>
      <c r="H98" s="4" t="s">
        <v>77</v>
      </c>
      <c r="I98" s="4"/>
      <c r="J98" s="4"/>
      <c r="K98" s="4">
        <v>209</v>
      </c>
      <c r="L98" s="4">
        <v>23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06" x14ac:dyDescent="0.2">
      <c r="A99" s="4">
        <v>50</v>
      </c>
      <c r="B99" s="4">
        <v>0</v>
      </c>
      <c r="C99" s="4">
        <v>0</v>
      </c>
      <c r="D99" s="4">
        <v>1</v>
      </c>
      <c r="E99" s="4">
        <v>233</v>
      </c>
      <c r="F99" s="4">
        <f>ROUND(Source!BD74,O99)</f>
        <v>0</v>
      </c>
      <c r="G99" s="4" t="s">
        <v>78</v>
      </c>
      <c r="H99" s="4" t="s">
        <v>79</v>
      </c>
      <c r="I99" s="4"/>
      <c r="J99" s="4"/>
      <c r="K99" s="4">
        <v>233</v>
      </c>
      <c r="L99" s="4">
        <v>24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06" x14ac:dyDescent="0.2">
      <c r="A100" s="4">
        <v>50</v>
      </c>
      <c r="B100" s="4">
        <v>0</v>
      </c>
      <c r="C100" s="4">
        <v>0</v>
      </c>
      <c r="D100" s="4">
        <v>1</v>
      </c>
      <c r="E100" s="4">
        <v>210</v>
      </c>
      <c r="F100" s="4">
        <f>ROUND(Source!X74,O100)</f>
        <v>30084.18</v>
      </c>
      <c r="G100" s="4" t="s">
        <v>80</v>
      </c>
      <c r="H100" s="4" t="s">
        <v>81</v>
      </c>
      <c r="I100" s="4"/>
      <c r="J100" s="4"/>
      <c r="K100" s="4">
        <v>210</v>
      </c>
      <c r="L100" s="4">
        <v>25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30084.18</v>
      </c>
      <c r="X100" s="4">
        <v>1</v>
      </c>
      <c r="Y100" s="4">
        <v>30084.18</v>
      </c>
      <c r="Z100" s="4"/>
      <c r="AA100" s="4"/>
      <c r="AB100" s="4"/>
    </row>
    <row r="101" spans="1:206" x14ac:dyDescent="0.2">
      <c r="A101" s="4">
        <v>50</v>
      </c>
      <c r="B101" s="4">
        <v>0</v>
      </c>
      <c r="C101" s="4">
        <v>0</v>
      </c>
      <c r="D101" s="4">
        <v>1</v>
      </c>
      <c r="E101" s="4">
        <v>211</v>
      </c>
      <c r="F101" s="4">
        <f>ROUND(Source!Y74,O101)</f>
        <v>15898.52</v>
      </c>
      <c r="G101" s="4" t="s">
        <v>82</v>
      </c>
      <c r="H101" s="4" t="s">
        <v>83</v>
      </c>
      <c r="I101" s="4"/>
      <c r="J101" s="4"/>
      <c r="K101" s="4">
        <v>211</v>
      </c>
      <c r="L101" s="4">
        <v>26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15898.52</v>
      </c>
      <c r="X101" s="4">
        <v>1</v>
      </c>
      <c r="Y101" s="4">
        <v>15898.52</v>
      </c>
      <c r="Z101" s="4"/>
      <c r="AA101" s="4"/>
      <c r="AB101" s="4"/>
    </row>
    <row r="102" spans="1:206" x14ac:dyDescent="0.2">
      <c r="A102" s="4">
        <v>50</v>
      </c>
      <c r="B102" s="4">
        <v>0</v>
      </c>
      <c r="C102" s="4">
        <v>0</v>
      </c>
      <c r="D102" s="4">
        <v>1</v>
      </c>
      <c r="E102" s="4">
        <v>224</v>
      </c>
      <c r="F102" s="4">
        <f>ROUND(Source!AR74,O102)</f>
        <v>87178.26</v>
      </c>
      <c r="G102" s="4" t="s">
        <v>84</v>
      </c>
      <c r="H102" s="4" t="s">
        <v>85</v>
      </c>
      <c r="I102" s="4"/>
      <c r="J102" s="4"/>
      <c r="K102" s="4">
        <v>224</v>
      </c>
      <c r="L102" s="4">
        <v>27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87178.26</v>
      </c>
      <c r="X102" s="4">
        <v>1</v>
      </c>
      <c r="Y102" s="4">
        <v>87178.26</v>
      </c>
      <c r="Z102" s="4"/>
      <c r="AA102" s="4"/>
      <c r="AB102" s="4"/>
    </row>
    <row r="104" spans="1:206" x14ac:dyDescent="0.2">
      <c r="A104" s="2">
        <v>51</v>
      </c>
      <c r="B104" s="2">
        <f>B20</f>
        <v>1</v>
      </c>
      <c r="C104" s="2">
        <f>A20</f>
        <v>3</v>
      </c>
      <c r="D104" s="2">
        <f>ROW(A20)</f>
        <v>20</v>
      </c>
      <c r="E104" s="2"/>
      <c r="F104" s="2" t="str">
        <f>IF(F20&lt;&gt;"",F20,"")</f>
        <v>№1</v>
      </c>
      <c r="G104" s="2" t="str">
        <f>IF(G20&lt;&gt;"",G20,"")</f>
        <v/>
      </c>
      <c r="H104" s="2">
        <v>0</v>
      </c>
      <c r="I104" s="2"/>
      <c r="J104" s="2"/>
      <c r="K104" s="2"/>
      <c r="L104" s="2"/>
      <c r="M104" s="2"/>
      <c r="N104" s="2"/>
      <c r="O104" s="2">
        <f t="shared" ref="O104:T104" si="62">ROUND(O31+O74+AB104,2)</f>
        <v>127579.11</v>
      </c>
      <c r="P104" s="2">
        <f t="shared" si="62"/>
        <v>88099.82</v>
      </c>
      <c r="Q104" s="2">
        <f t="shared" si="62"/>
        <v>11808.87</v>
      </c>
      <c r="R104" s="2">
        <f t="shared" si="62"/>
        <v>3881.91</v>
      </c>
      <c r="S104" s="2">
        <f t="shared" si="62"/>
        <v>27670.42</v>
      </c>
      <c r="T104" s="2">
        <f t="shared" si="62"/>
        <v>0</v>
      </c>
      <c r="U104" s="2">
        <f>U31+U74+AH104</f>
        <v>69.608559</v>
      </c>
      <c r="V104" s="2">
        <f>V31+V74+AI104</f>
        <v>6.9267700000000003</v>
      </c>
      <c r="W104" s="2">
        <f>ROUND(W31+W74+AJ104,2)</f>
        <v>0</v>
      </c>
      <c r="X104" s="2">
        <f>ROUND(X31+X74+AK104,2)</f>
        <v>30084.18</v>
      </c>
      <c r="Y104" s="2">
        <f>ROUND(Y31+Y74+AL104,2)</f>
        <v>15898.52</v>
      </c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>
        <f t="shared" ref="AO104:BD104" si="63">ROUND(AO31+AO74+BX104,2)</f>
        <v>0</v>
      </c>
      <c r="AP104" s="2">
        <f t="shared" si="63"/>
        <v>0</v>
      </c>
      <c r="AQ104" s="2">
        <f t="shared" si="63"/>
        <v>0</v>
      </c>
      <c r="AR104" s="2">
        <f t="shared" si="63"/>
        <v>173561.81</v>
      </c>
      <c r="AS104" s="2">
        <f t="shared" si="63"/>
        <v>140952.93</v>
      </c>
      <c r="AT104" s="2">
        <f t="shared" si="63"/>
        <v>32608.880000000001</v>
      </c>
      <c r="AU104" s="2">
        <f t="shared" si="63"/>
        <v>0</v>
      </c>
      <c r="AV104" s="2">
        <f t="shared" si="63"/>
        <v>88099.82</v>
      </c>
      <c r="AW104" s="2">
        <f t="shared" si="63"/>
        <v>88099.82</v>
      </c>
      <c r="AX104" s="2">
        <f t="shared" si="63"/>
        <v>0</v>
      </c>
      <c r="AY104" s="2">
        <f t="shared" si="63"/>
        <v>88099.82</v>
      </c>
      <c r="AZ104" s="2">
        <f t="shared" si="63"/>
        <v>0</v>
      </c>
      <c r="BA104" s="2">
        <f t="shared" si="63"/>
        <v>0</v>
      </c>
      <c r="BB104" s="2">
        <f t="shared" si="63"/>
        <v>0</v>
      </c>
      <c r="BC104" s="2">
        <f t="shared" si="63"/>
        <v>0</v>
      </c>
      <c r="BD104" s="2">
        <f t="shared" si="63"/>
        <v>0</v>
      </c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>
        <v>0</v>
      </c>
    </row>
    <row r="106" spans="1:206" x14ac:dyDescent="0.2">
      <c r="A106" s="4">
        <v>50</v>
      </c>
      <c r="B106" s="4">
        <v>1</v>
      </c>
      <c r="C106" s="4">
        <v>0</v>
      </c>
      <c r="D106" s="4">
        <v>1</v>
      </c>
      <c r="E106" s="4">
        <v>201</v>
      </c>
      <c r="F106" s="4">
        <f>ROUND(Source!O104,O106)</f>
        <v>127579.11</v>
      </c>
      <c r="G106" s="4" t="s">
        <v>32</v>
      </c>
      <c r="H106" s="4" t="s">
        <v>33</v>
      </c>
      <c r="I106" s="4"/>
      <c r="J106" s="4"/>
      <c r="K106" s="4">
        <v>201</v>
      </c>
      <c r="L106" s="4">
        <v>1</v>
      </c>
      <c r="M106" s="4">
        <v>1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127579.11</v>
      </c>
      <c r="X106" s="4">
        <v>1</v>
      </c>
      <c r="Y106" s="4">
        <v>127579.11</v>
      </c>
      <c r="Z106" s="4"/>
      <c r="AA106" s="4"/>
      <c r="AB106" s="4"/>
    </row>
    <row r="107" spans="1:206" x14ac:dyDescent="0.2">
      <c r="A107" s="4">
        <v>50</v>
      </c>
      <c r="B107" s="4">
        <v>1</v>
      </c>
      <c r="C107" s="4">
        <v>0</v>
      </c>
      <c r="D107" s="4">
        <v>1</v>
      </c>
      <c r="E107" s="4">
        <v>202</v>
      </c>
      <c r="F107" s="4">
        <f>ROUND(Source!P104,O107)</f>
        <v>88099.82</v>
      </c>
      <c r="G107" s="4" t="s">
        <v>34</v>
      </c>
      <c r="H107" s="4" t="s">
        <v>35</v>
      </c>
      <c r="I107" s="4"/>
      <c r="J107" s="4"/>
      <c r="K107" s="4">
        <v>202</v>
      </c>
      <c r="L107" s="4">
        <v>2</v>
      </c>
      <c r="M107" s="4">
        <v>1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88099.82</v>
      </c>
      <c r="X107" s="4">
        <v>1</v>
      </c>
      <c r="Y107" s="4">
        <v>88099.82</v>
      </c>
      <c r="Z107" s="4"/>
      <c r="AA107" s="4"/>
      <c r="AB107" s="4"/>
    </row>
    <row r="108" spans="1:206" x14ac:dyDescent="0.2">
      <c r="A108" s="4">
        <v>50</v>
      </c>
      <c r="B108" s="4">
        <v>0</v>
      </c>
      <c r="C108" s="4">
        <v>0</v>
      </c>
      <c r="D108" s="4">
        <v>1</v>
      </c>
      <c r="E108" s="4">
        <v>222</v>
      </c>
      <c r="F108" s="4">
        <f>ROUND(Source!AO104,O108)</f>
        <v>0</v>
      </c>
      <c r="G108" s="4" t="s">
        <v>36</v>
      </c>
      <c r="H108" s="4" t="s">
        <v>37</v>
      </c>
      <c r="I108" s="4"/>
      <c r="J108" s="4"/>
      <c r="K108" s="4">
        <v>222</v>
      </c>
      <c r="L108" s="4">
        <v>3</v>
      </c>
      <c r="M108" s="4">
        <v>1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06" x14ac:dyDescent="0.2">
      <c r="A109" s="4">
        <v>50</v>
      </c>
      <c r="B109" s="4">
        <v>1</v>
      </c>
      <c r="C109" s="4">
        <v>0</v>
      </c>
      <c r="D109" s="4">
        <v>1</v>
      </c>
      <c r="E109" s="4">
        <v>225</v>
      </c>
      <c r="F109" s="4">
        <f>ROUND(Source!AV104,O109)</f>
        <v>88099.82</v>
      </c>
      <c r="G109" s="4" t="s">
        <v>38</v>
      </c>
      <c r="H109" s="4" t="s">
        <v>39</v>
      </c>
      <c r="I109" s="4"/>
      <c r="J109" s="4"/>
      <c r="K109" s="4">
        <v>225</v>
      </c>
      <c r="L109" s="4">
        <v>4</v>
      </c>
      <c r="M109" s="4">
        <v>1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88099.82</v>
      </c>
      <c r="X109" s="4">
        <v>1</v>
      </c>
      <c r="Y109" s="4">
        <v>88099.82</v>
      </c>
      <c r="Z109" s="4"/>
      <c r="AA109" s="4"/>
      <c r="AB109" s="4"/>
    </row>
    <row r="110" spans="1:206" x14ac:dyDescent="0.2">
      <c r="A110" s="4">
        <v>50</v>
      </c>
      <c r="B110" s="4">
        <v>1</v>
      </c>
      <c r="C110" s="4">
        <v>0</v>
      </c>
      <c r="D110" s="4">
        <v>1</v>
      </c>
      <c r="E110" s="4">
        <v>226</v>
      </c>
      <c r="F110" s="4">
        <f>ROUND(Source!AW104,O110)</f>
        <v>88099.82</v>
      </c>
      <c r="G110" s="4" t="s">
        <v>40</v>
      </c>
      <c r="H110" s="4" t="s">
        <v>41</v>
      </c>
      <c r="I110" s="4"/>
      <c r="J110" s="4"/>
      <c r="K110" s="4">
        <v>226</v>
      </c>
      <c r="L110" s="4">
        <v>5</v>
      </c>
      <c r="M110" s="4">
        <v>1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88099.82</v>
      </c>
      <c r="X110" s="4">
        <v>1</v>
      </c>
      <c r="Y110" s="4">
        <v>88099.82</v>
      </c>
      <c r="Z110" s="4"/>
      <c r="AA110" s="4"/>
      <c r="AB110" s="4"/>
    </row>
    <row r="111" spans="1:206" x14ac:dyDescent="0.2">
      <c r="A111" s="4">
        <v>50</v>
      </c>
      <c r="B111" s="4">
        <v>0</v>
      </c>
      <c r="C111" s="4">
        <v>0</v>
      </c>
      <c r="D111" s="4">
        <v>1</v>
      </c>
      <c r="E111" s="4">
        <v>227</v>
      </c>
      <c r="F111" s="4">
        <f>ROUND(Source!AX104,O111)</f>
        <v>0</v>
      </c>
      <c r="G111" s="4" t="s">
        <v>42</v>
      </c>
      <c r="H111" s="4" t="s">
        <v>43</v>
      </c>
      <c r="I111" s="4"/>
      <c r="J111" s="4"/>
      <c r="K111" s="4">
        <v>227</v>
      </c>
      <c r="L111" s="4">
        <v>6</v>
      </c>
      <c r="M111" s="4">
        <v>1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06" x14ac:dyDescent="0.2">
      <c r="A112" s="4">
        <v>50</v>
      </c>
      <c r="B112" s="4">
        <v>1</v>
      </c>
      <c r="C112" s="4">
        <v>0</v>
      </c>
      <c r="D112" s="4">
        <v>1</v>
      </c>
      <c r="E112" s="4">
        <v>228</v>
      </c>
      <c r="F112" s="4">
        <f>ROUND(Source!AY104,O112)</f>
        <v>88099.82</v>
      </c>
      <c r="G112" s="4" t="s">
        <v>44</v>
      </c>
      <c r="H112" s="4" t="s">
        <v>45</v>
      </c>
      <c r="I112" s="4"/>
      <c r="J112" s="4"/>
      <c r="K112" s="4">
        <v>228</v>
      </c>
      <c r="L112" s="4">
        <v>7</v>
      </c>
      <c r="M112" s="4">
        <v>1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88099.82</v>
      </c>
      <c r="X112" s="4">
        <v>1</v>
      </c>
      <c r="Y112" s="4">
        <v>88099.82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216</v>
      </c>
      <c r="F113" s="4">
        <f>ROUND(Source!AP104,O113)</f>
        <v>0</v>
      </c>
      <c r="G113" s="4" t="s">
        <v>46</v>
      </c>
      <c r="H113" s="4" t="s">
        <v>47</v>
      </c>
      <c r="I113" s="4"/>
      <c r="J113" s="4"/>
      <c r="K113" s="4">
        <v>216</v>
      </c>
      <c r="L113" s="4">
        <v>8</v>
      </c>
      <c r="M113" s="4">
        <v>1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223</v>
      </c>
      <c r="F114" s="4">
        <f>ROUND(Source!AQ104,O114)</f>
        <v>0</v>
      </c>
      <c r="G114" s="4" t="s">
        <v>48</v>
      </c>
      <c r="H114" s="4" t="s">
        <v>49</v>
      </c>
      <c r="I114" s="4"/>
      <c r="J114" s="4"/>
      <c r="K114" s="4">
        <v>223</v>
      </c>
      <c r="L114" s="4">
        <v>9</v>
      </c>
      <c r="M114" s="4">
        <v>1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229</v>
      </c>
      <c r="F115" s="4">
        <f>ROUND(Source!AZ104,O115)</f>
        <v>0</v>
      </c>
      <c r="G115" s="4" t="s">
        <v>50</v>
      </c>
      <c r="H115" s="4" t="s">
        <v>51</v>
      </c>
      <c r="I115" s="4"/>
      <c r="J115" s="4"/>
      <c r="K115" s="4">
        <v>229</v>
      </c>
      <c r="L115" s="4">
        <v>10</v>
      </c>
      <c r="M115" s="4">
        <v>1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1</v>
      </c>
      <c r="C116" s="4">
        <v>0</v>
      </c>
      <c r="D116" s="4">
        <v>1</v>
      </c>
      <c r="E116" s="4">
        <v>203</v>
      </c>
      <c r="F116" s="4">
        <f>ROUND(Source!Q104,O116)</f>
        <v>11808.87</v>
      </c>
      <c r="G116" s="4" t="s">
        <v>52</v>
      </c>
      <c r="H116" s="4" t="s">
        <v>53</v>
      </c>
      <c r="I116" s="4"/>
      <c r="J116" s="4"/>
      <c r="K116" s="4">
        <v>203</v>
      </c>
      <c r="L116" s="4">
        <v>11</v>
      </c>
      <c r="M116" s="4">
        <v>1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11808.87</v>
      </c>
      <c r="X116" s="4">
        <v>1</v>
      </c>
      <c r="Y116" s="4">
        <v>11808.87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231</v>
      </c>
      <c r="F117" s="4">
        <f>ROUND(Source!BB104,O117)</f>
        <v>0</v>
      </c>
      <c r="G117" s="4" t="s">
        <v>54</v>
      </c>
      <c r="H117" s="4" t="s">
        <v>55</v>
      </c>
      <c r="I117" s="4"/>
      <c r="J117" s="4"/>
      <c r="K117" s="4">
        <v>231</v>
      </c>
      <c r="L117" s="4">
        <v>12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1</v>
      </c>
      <c r="C118" s="4">
        <v>0</v>
      </c>
      <c r="D118" s="4">
        <v>1</v>
      </c>
      <c r="E118" s="4">
        <v>204</v>
      </c>
      <c r="F118" s="4">
        <f>ROUND(Source!R104,O118)</f>
        <v>3881.91</v>
      </c>
      <c r="G118" s="4" t="s">
        <v>56</v>
      </c>
      <c r="H118" s="4" t="s">
        <v>57</v>
      </c>
      <c r="I118" s="4"/>
      <c r="J118" s="4"/>
      <c r="K118" s="4">
        <v>204</v>
      </c>
      <c r="L118" s="4">
        <v>13</v>
      </c>
      <c r="M118" s="4">
        <v>1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3881.91</v>
      </c>
      <c r="X118" s="4">
        <v>1</v>
      </c>
      <c r="Y118" s="4">
        <v>3881.91</v>
      </c>
      <c r="Z118" s="4"/>
      <c r="AA118" s="4"/>
      <c r="AB118" s="4"/>
    </row>
    <row r="119" spans="1:28" x14ac:dyDescent="0.2">
      <c r="A119" s="4">
        <v>50</v>
      </c>
      <c r="B119" s="4">
        <v>1</v>
      </c>
      <c r="C119" s="4">
        <v>0</v>
      </c>
      <c r="D119" s="4">
        <v>1</v>
      </c>
      <c r="E119" s="4">
        <v>205</v>
      </c>
      <c r="F119" s="4">
        <f>ROUND(Source!S104,O119)</f>
        <v>27670.42</v>
      </c>
      <c r="G119" s="4" t="s">
        <v>58</v>
      </c>
      <c r="H119" s="4" t="s">
        <v>59</v>
      </c>
      <c r="I119" s="4"/>
      <c r="J119" s="4"/>
      <c r="K119" s="4">
        <v>205</v>
      </c>
      <c r="L119" s="4">
        <v>14</v>
      </c>
      <c r="M119" s="4">
        <v>1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27670.42</v>
      </c>
      <c r="X119" s="4">
        <v>1</v>
      </c>
      <c r="Y119" s="4">
        <v>27670.42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232</v>
      </c>
      <c r="F120" s="4">
        <f>ROUND(Source!BC104,O120)</f>
        <v>0</v>
      </c>
      <c r="G120" s="4" t="s">
        <v>60</v>
      </c>
      <c r="H120" s="4" t="s">
        <v>61</v>
      </c>
      <c r="I120" s="4"/>
      <c r="J120" s="4"/>
      <c r="K120" s="4">
        <v>232</v>
      </c>
      <c r="L120" s="4">
        <v>15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1</v>
      </c>
      <c r="C121" s="4">
        <v>0</v>
      </c>
      <c r="D121" s="4">
        <v>1</v>
      </c>
      <c r="E121" s="4">
        <v>214</v>
      </c>
      <c r="F121" s="4">
        <f>ROUND(Source!AS104,O121)</f>
        <v>140952.93</v>
      </c>
      <c r="G121" s="4" t="s">
        <v>62</v>
      </c>
      <c r="H121" s="4" t="s">
        <v>63</v>
      </c>
      <c r="I121" s="4"/>
      <c r="J121" s="4"/>
      <c r="K121" s="4">
        <v>214</v>
      </c>
      <c r="L121" s="4">
        <v>16</v>
      </c>
      <c r="M121" s="4">
        <v>1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140952.93</v>
      </c>
      <c r="X121" s="4">
        <v>1</v>
      </c>
      <c r="Y121" s="4">
        <v>140952.93</v>
      </c>
      <c r="Z121" s="4"/>
      <c r="AA121" s="4"/>
      <c r="AB121" s="4"/>
    </row>
    <row r="122" spans="1:28" x14ac:dyDescent="0.2">
      <c r="A122" s="4">
        <v>50</v>
      </c>
      <c r="B122" s="4">
        <v>1</v>
      </c>
      <c r="C122" s="4">
        <v>0</v>
      </c>
      <c r="D122" s="4">
        <v>1</v>
      </c>
      <c r="E122" s="4">
        <v>215</v>
      </c>
      <c r="F122" s="4">
        <f>ROUND(Source!AT104,O122)</f>
        <v>32608.880000000001</v>
      </c>
      <c r="G122" s="4" t="s">
        <v>64</v>
      </c>
      <c r="H122" s="4" t="s">
        <v>65</v>
      </c>
      <c r="I122" s="4"/>
      <c r="J122" s="4"/>
      <c r="K122" s="4">
        <v>215</v>
      </c>
      <c r="L122" s="4">
        <v>17</v>
      </c>
      <c r="M122" s="4">
        <v>1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32608.880000000001</v>
      </c>
      <c r="X122" s="4">
        <v>1</v>
      </c>
      <c r="Y122" s="4">
        <v>32608.880000000001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217</v>
      </c>
      <c r="F123" s="4">
        <f>ROUND(Source!AU104,O123)</f>
        <v>0</v>
      </c>
      <c r="G123" s="4" t="s">
        <v>66</v>
      </c>
      <c r="H123" s="4" t="s">
        <v>67</v>
      </c>
      <c r="I123" s="4"/>
      <c r="J123" s="4"/>
      <c r="K123" s="4">
        <v>217</v>
      </c>
      <c r="L123" s="4">
        <v>18</v>
      </c>
      <c r="M123" s="4">
        <v>1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230</v>
      </c>
      <c r="F124" s="4">
        <f>ROUND(Source!BA104,O124)</f>
        <v>0</v>
      </c>
      <c r="G124" s="4" t="s">
        <v>68</v>
      </c>
      <c r="H124" s="4" t="s">
        <v>69</v>
      </c>
      <c r="I124" s="4"/>
      <c r="J124" s="4"/>
      <c r="K124" s="4">
        <v>230</v>
      </c>
      <c r="L124" s="4">
        <v>19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206</v>
      </c>
      <c r="F125" s="4">
        <f>ROUND(Source!T104,O125)</f>
        <v>0</v>
      </c>
      <c r="G125" s="4" t="s">
        <v>70</v>
      </c>
      <c r="H125" s="4" t="s">
        <v>71</v>
      </c>
      <c r="I125" s="4"/>
      <c r="J125" s="4"/>
      <c r="K125" s="4">
        <v>206</v>
      </c>
      <c r="L125" s="4">
        <v>20</v>
      </c>
      <c r="M125" s="4">
        <v>1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x14ac:dyDescent="0.2">
      <c r="A126" s="4">
        <v>50</v>
      </c>
      <c r="B126" s="4">
        <v>1</v>
      </c>
      <c r="C126" s="4">
        <v>0</v>
      </c>
      <c r="D126" s="4">
        <v>1</v>
      </c>
      <c r="E126" s="4">
        <v>207</v>
      </c>
      <c r="F126" s="4">
        <f>Source!U104</f>
        <v>69.608559</v>
      </c>
      <c r="G126" s="4" t="s">
        <v>72</v>
      </c>
      <c r="H126" s="4" t="s">
        <v>73</v>
      </c>
      <c r="I126" s="4"/>
      <c r="J126" s="4"/>
      <c r="K126" s="4">
        <v>207</v>
      </c>
      <c r="L126" s="4">
        <v>21</v>
      </c>
      <c r="M126" s="4">
        <v>1</v>
      </c>
      <c r="N126" s="4" t="s">
        <v>3</v>
      </c>
      <c r="O126" s="4">
        <v>-1</v>
      </c>
      <c r="P126" s="4"/>
      <c r="Q126" s="4"/>
      <c r="R126" s="4"/>
      <c r="S126" s="4"/>
      <c r="T126" s="4"/>
      <c r="U126" s="4"/>
      <c r="V126" s="4"/>
      <c r="W126" s="4">
        <v>69.608559</v>
      </c>
      <c r="X126" s="4">
        <v>1</v>
      </c>
      <c r="Y126" s="4">
        <v>69.608559</v>
      </c>
      <c r="Z126" s="4"/>
      <c r="AA126" s="4"/>
      <c r="AB126" s="4"/>
    </row>
    <row r="127" spans="1:28" x14ac:dyDescent="0.2">
      <c r="A127" s="4">
        <v>50</v>
      </c>
      <c r="B127" s="4">
        <v>1</v>
      </c>
      <c r="C127" s="4">
        <v>0</v>
      </c>
      <c r="D127" s="4">
        <v>1</v>
      </c>
      <c r="E127" s="4">
        <v>208</v>
      </c>
      <c r="F127" s="4">
        <f>Source!V104</f>
        <v>6.9267700000000003</v>
      </c>
      <c r="G127" s="4" t="s">
        <v>74</v>
      </c>
      <c r="H127" s="4" t="s">
        <v>75</v>
      </c>
      <c r="I127" s="4"/>
      <c r="J127" s="4"/>
      <c r="K127" s="4">
        <v>208</v>
      </c>
      <c r="L127" s="4">
        <v>22</v>
      </c>
      <c r="M127" s="4">
        <v>1</v>
      </c>
      <c r="N127" s="4" t="s">
        <v>3</v>
      </c>
      <c r="O127" s="4">
        <v>-1</v>
      </c>
      <c r="P127" s="4"/>
      <c r="Q127" s="4"/>
      <c r="R127" s="4"/>
      <c r="S127" s="4"/>
      <c r="T127" s="4"/>
      <c r="U127" s="4"/>
      <c r="V127" s="4"/>
      <c r="W127" s="4">
        <v>6.9267700000000003</v>
      </c>
      <c r="X127" s="4">
        <v>1</v>
      </c>
      <c r="Y127" s="4">
        <v>6.9267700000000003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209</v>
      </c>
      <c r="F128" s="4">
        <f>ROUND(Source!W104,O128)</f>
        <v>0</v>
      </c>
      <c r="G128" s="4" t="s">
        <v>76</v>
      </c>
      <c r="H128" s="4" t="s">
        <v>77</v>
      </c>
      <c r="I128" s="4"/>
      <c r="J128" s="4"/>
      <c r="K128" s="4">
        <v>209</v>
      </c>
      <c r="L128" s="4">
        <v>23</v>
      </c>
      <c r="M128" s="4">
        <v>1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233</v>
      </c>
      <c r="F129" s="4">
        <f>ROUND(Source!BD104,O129)</f>
        <v>0</v>
      </c>
      <c r="G129" s="4" t="s">
        <v>78</v>
      </c>
      <c r="H129" s="4" t="s">
        <v>79</v>
      </c>
      <c r="I129" s="4"/>
      <c r="J129" s="4"/>
      <c r="K129" s="4">
        <v>233</v>
      </c>
      <c r="L129" s="4">
        <v>24</v>
      </c>
      <c r="M129" s="4">
        <v>1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06" x14ac:dyDescent="0.2">
      <c r="A130" s="4">
        <v>50</v>
      </c>
      <c r="B130" s="4">
        <v>1</v>
      </c>
      <c r="C130" s="4">
        <v>0</v>
      </c>
      <c r="D130" s="4">
        <v>1</v>
      </c>
      <c r="E130" s="4">
        <v>210</v>
      </c>
      <c r="F130" s="4">
        <f>ROUND(Source!X104,O130)</f>
        <v>30084.18</v>
      </c>
      <c r="G130" s="4" t="s">
        <v>80</v>
      </c>
      <c r="H130" s="4" t="s">
        <v>81</v>
      </c>
      <c r="I130" s="4"/>
      <c r="J130" s="4"/>
      <c r="K130" s="4">
        <v>210</v>
      </c>
      <c r="L130" s="4">
        <v>25</v>
      </c>
      <c r="M130" s="4">
        <v>1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30084.18</v>
      </c>
      <c r="X130" s="4">
        <v>1</v>
      </c>
      <c r="Y130" s="4">
        <v>30084.18</v>
      </c>
      <c r="Z130" s="4"/>
      <c r="AA130" s="4"/>
      <c r="AB130" s="4"/>
    </row>
    <row r="131" spans="1:206" x14ac:dyDescent="0.2">
      <c r="A131" s="4">
        <v>50</v>
      </c>
      <c r="B131" s="4">
        <v>1</v>
      </c>
      <c r="C131" s="4">
        <v>0</v>
      </c>
      <c r="D131" s="4">
        <v>1</v>
      </c>
      <c r="E131" s="4">
        <v>211</v>
      </c>
      <c r="F131" s="4">
        <f>ROUND(Source!Y104,O131)</f>
        <v>15898.52</v>
      </c>
      <c r="G131" s="4" t="s">
        <v>82</v>
      </c>
      <c r="H131" s="4" t="s">
        <v>83</v>
      </c>
      <c r="I131" s="4"/>
      <c r="J131" s="4"/>
      <c r="K131" s="4">
        <v>211</v>
      </c>
      <c r="L131" s="4">
        <v>26</v>
      </c>
      <c r="M131" s="4">
        <v>1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15898.52</v>
      </c>
      <c r="X131" s="4">
        <v>1</v>
      </c>
      <c r="Y131" s="4">
        <v>15898.52</v>
      </c>
      <c r="Z131" s="4"/>
      <c r="AA131" s="4"/>
      <c r="AB131" s="4"/>
    </row>
    <row r="132" spans="1:206" x14ac:dyDescent="0.2">
      <c r="A132" s="4">
        <v>50</v>
      </c>
      <c r="B132" s="4">
        <v>1</v>
      </c>
      <c r="C132" s="4">
        <v>0</v>
      </c>
      <c r="D132" s="4">
        <v>1</v>
      </c>
      <c r="E132" s="4">
        <v>224</v>
      </c>
      <c r="F132" s="4">
        <f>ROUND(Source!AR104,O132)</f>
        <v>173561.81</v>
      </c>
      <c r="G132" s="4" t="s">
        <v>84</v>
      </c>
      <c r="H132" s="4" t="s">
        <v>85</v>
      </c>
      <c r="I132" s="4"/>
      <c r="J132" s="4"/>
      <c r="K132" s="4">
        <v>224</v>
      </c>
      <c r="L132" s="4">
        <v>27</v>
      </c>
      <c r="M132" s="4">
        <v>1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173561.81</v>
      </c>
      <c r="X132" s="4">
        <v>1</v>
      </c>
      <c r="Y132" s="4">
        <v>173561.81</v>
      </c>
      <c r="Z132" s="4"/>
      <c r="AA132" s="4"/>
      <c r="AB132" s="4"/>
    </row>
    <row r="133" spans="1:206" x14ac:dyDescent="0.2">
      <c r="A133" s="4">
        <v>50</v>
      </c>
      <c r="B133" s="4">
        <v>1</v>
      </c>
      <c r="C133" s="4">
        <v>0</v>
      </c>
      <c r="D133" s="4">
        <v>2</v>
      </c>
      <c r="E133" s="4">
        <v>0</v>
      </c>
      <c r="F133" s="4">
        <f>ROUND(F132*0.2,O133)</f>
        <v>34712.36</v>
      </c>
      <c r="G133" s="4" t="s">
        <v>152</v>
      </c>
      <c r="H133" s="4" t="s">
        <v>153</v>
      </c>
      <c r="I133" s="4"/>
      <c r="J133" s="4"/>
      <c r="K133" s="4">
        <v>212</v>
      </c>
      <c r="L133" s="4">
        <v>28</v>
      </c>
      <c r="M133" s="4">
        <v>0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34712.36</v>
      </c>
      <c r="X133" s="4">
        <v>1</v>
      </c>
      <c r="Y133" s="4">
        <v>34712.36</v>
      </c>
      <c r="Z133" s="4"/>
      <c r="AA133" s="4"/>
      <c r="AB133" s="4"/>
    </row>
    <row r="134" spans="1:206" x14ac:dyDescent="0.2">
      <c r="A134" s="4">
        <v>50</v>
      </c>
      <c r="B134" s="4">
        <v>1</v>
      </c>
      <c r="C134" s="4">
        <v>0</v>
      </c>
      <c r="D134" s="4">
        <v>2</v>
      </c>
      <c r="E134" s="4">
        <v>0</v>
      </c>
      <c r="F134" s="4">
        <f>ROUND(F132+F133,O134)</f>
        <v>208274.17</v>
      </c>
      <c r="G134" s="4" t="s">
        <v>154</v>
      </c>
      <c r="H134" s="4" t="s">
        <v>155</v>
      </c>
      <c r="I134" s="4"/>
      <c r="J134" s="4"/>
      <c r="K134" s="4">
        <v>212</v>
      </c>
      <c r="L134" s="4">
        <v>29</v>
      </c>
      <c r="M134" s="4">
        <v>0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208274.17</v>
      </c>
      <c r="X134" s="4">
        <v>1</v>
      </c>
      <c r="Y134" s="4">
        <v>208274.17</v>
      </c>
      <c r="Z134" s="4"/>
      <c r="AA134" s="4"/>
      <c r="AB134" s="4"/>
    </row>
    <row r="136" spans="1:206" x14ac:dyDescent="0.2">
      <c r="A136" s="2">
        <v>51</v>
      </c>
      <c r="B136" s="2">
        <f>B12</f>
        <v>198</v>
      </c>
      <c r="C136" s="2">
        <f>A12</f>
        <v>1</v>
      </c>
      <c r="D136" s="2">
        <f>ROW(A12)</f>
        <v>12</v>
      </c>
      <c r="E136" s="2"/>
      <c r="F136" s="2">
        <f>IF(F12&lt;&gt;"",F12,"")</f>
        <v>1</v>
      </c>
      <c r="G136" s="2" t="str">
        <f>IF(G12&lt;&gt;"",G12,"")</f>
        <v>Усиление плит перекрытия и очистка кровли от технологических отложений здания  сырьевых мельниц, лит.13 на АО «Невьянский цементник».</v>
      </c>
      <c r="H136" s="2">
        <v>0</v>
      </c>
      <c r="I136" s="2"/>
      <c r="J136" s="2"/>
      <c r="K136" s="2"/>
      <c r="L136" s="2"/>
      <c r="M136" s="2"/>
      <c r="N136" s="2"/>
      <c r="O136" s="2">
        <f t="shared" ref="O136:T136" si="64">ROUND(O104,2)</f>
        <v>127579.11</v>
      </c>
      <c r="P136" s="2">
        <f t="shared" si="64"/>
        <v>88099.82</v>
      </c>
      <c r="Q136" s="2">
        <f t="shared" si="64"/>
        <v>11808.87</v>
      </c>
      <c r="R136" s="2">
        <f t="shared" si="64"/>
        <v>3881.91</v>
      </c>
      <c r="S136" s="2">
        <f t="shared" si="64"/>
        <v>27670.42</v>
      </c>
      <c r="T136" s="2">
        <f t="shared" si="64"/>
        <v>0</v>
      </c>
      <c r="U136" s="2">
        <f>U104</f>
        <v>69.608559</v>
      </c>
      <c r="V136" s="2">
        <f>V104</f>
        <v>6.9267700000000003</v>
      </c>
      <c r="W136" s="2">
        <f>ROUND(W104,2)</f>
        <v>0</v>
      </c>
      <c r="X136" s="2">
        <f>ROUND(X104,2)</f>
        <v>30084.18</v>
      </c>
      <c r="Y136" s="2">
        <f>ROUND(Y104,2)</f>
        <v>15898.52</v>
      </c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>
        <f t="shared" ref="AO136:BD136" si="65">ROUND(AO104,2)</f>
        <v>0</v>
      </c>
      <c r="AP136" s="2">
        <f t="shared" si="65"/>
        <v>0</v>
      </c>
      <c r="AQ136" s="2">
        <f t="shared" si="65"/>
        <v>0</v>
      </c>
      <c r="AR136" s="2">
        <f t="shared" si="65"/>
        <v>173561.81</v>
      </c>
      <c r="AS136" s="2">
        <f t="shared" si="65"/>
        <v>140952.93</v>
      </c>
      <c r="AT136" s="2">
        <f t="shared" si="65"/>
        <v>32608.880000000001</v>
      </c>
      <c r="AU136" s="2">
        <f t="shared" si="65"/>
        <v>0</v>
      </c>
      <c r="AV136" s="2">
        <f t="shared" si="65"/>
        <v>88099.82</v>
      </c>
      <c r="AW136" s="2">
        <f t="shared" si="65"/>
        <v>88099.82</v>
      </c>
      <c r="AX136" s="2">
        <f t="shared" si="65"/>
        <v>0</v>
      </c>
      <c r="AY136" s="2">
        <f t="shared" si="65"/>
        <v>88099.82</v>
      </c>
      <c r="AZ136" s="2">
        <f t="shared" si="65"/>
        <v>0</v>
      </c>
      <c r="BA136" s="2">
        <f t="shared" si="65"/>
        <v>0</v>
      </c>
      <c r="BB136" s="2">
        <f t="shared" si="65"/>
        <v>0</v>
      </c>
      <c r="BC136" s="2">
        <f t="shared" si="65"/>
        <v>0</v>
      </c>
      <c r="BD136" s="2">
        <f t="shared" si="65"/>
        <v>0</v>
      </c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>
        <v>0</v>
      </c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201</v>
      </c>
      <c r="F138" s="4">
        <f>ROUND(Source!O136,O138)</f>
        <v>127579.11</v>
      </c>
      <c r="G138" s="4" t="s">
        <v>32</v>
      </c>
      <c r="H138" s="4" t="s">
        <v>33</v>
      </c>
      <c r="I138" s="4"/>
      <c r="J138" s="4"/>
      <c r="K138" s="4">
        <v>201</v>
      </c>
      <c r="L138" s="4">
        <v>1</v>
      </c>
      <c r="M138" s="4">
        <v>1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127579.11</v>
      </c>
      <c r="X138" s="4">
        <v>1</v>
      </c>
      <c r="Y138" s="4">
        <v>127579.11</v>
      </c>
      <c r="Z138" s="4"/>
      <c r="AA138" s="4"/>
      <c r="AB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202</v>
      </c>
      <c r="F139" s="4">
        <f>ROUND(Source!P136,O139)</f>
        <v>88099.82</v>
      </c>
      <c r="G139" s="4" t="s">
        <v>34</v>
      </c>
      <c r="H139" s="4" t="s">
        <v>35</v>
      </c>
      <c r="I139" s="4"/>
      <c r="J139" s="4"/>
      <c r="K139" s="4">
        <v>202</v>
      </c>
      <c r="L139" s="4">
        <v>2</v>
      </c>
      <c r="M139" s="4">
        <v>1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88099.82</v>
      </c>
      <c r="X139" s="4">
        <v>1</v>
      </c>
      <c r="Y139" s="4">
        <v>88099.82</v>
      </c>
      <c r="Z139" s="4"/>
      <c r="AA139" s="4"/>
      <c r="AB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222</v>
      </c>
      <c r="F140" s="4">
        <f>ROUND(Source!AO136,O140)</f>
        <v>0</v>
      </c>
      <c r="G140" s="4" t="s">
        <v>36</v>
      </c>
      <c r="H140" s="4" t="s">
        <v>37</v>
      </c>
      <c r="I140" s="4"/>
      <c r="J140" s="4"/>
      <c r="K140" s="4">
        <v>222</v>
      </c>
      <c r="L140" s="4">
        <v>3</v>
      </c>
      <c r="M140" s="4">
        <v>1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225</v>
      </c>
      <c r="F141" s="4">
        <f>ROUND(Source!AV136,O141)</f>
        <v>88099.82</v>
      </c>
      <c r="G141" s="4" t="s">
        <v>38</v>
      </c>
      <c r="H141" s="4" t="s">
        <v>39</v>
      </c>
      <c r="I141" s="4"/>
      <c r="J141" s="4"/>
      <c r="K141" s="4">
        <v>225</v>
      </c>
      <c r="L141" s="4">
        <v>4</v>
      </c>
      <c r="M141" s="4">
        <v>1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88099.82</v>
      </c>
      <c r="X141" s="4">
        <v>1</v>
      </c>
      <c r="Y141" s="4">
        <v>88099.82</v>
      </c>
      <c r="Z141" s="4"/>
      <c r="AA141" s="4"/>
      <c r="AB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226</v>
      </c>
      <c r="F142" s="4">
        <f>ROUND(Source!AW136,O142)</f>
        <v>88099.82</v>
      </c>
      <c r="G142" s="4" t="s">
        <v>40</v>
      </c>
      <c r="H142" s="4" t="s">
        <v>41</v>
      </c>
      <c r="I142" s="4"/>
      <c r="J142" s="4"/>
      <c r="K142" s="4">
        <v>226</v>
      </c>
      <c r="L142" s="4">
        <v>5</v>
      </c>
      <c r="M142" s="4">
        <v>1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88099.82</v>
      </c>
      <c r="X142" s="4">
        <v>1</v>
      </c>
      <c r="Y142" s="4">
        <v>88099.82</v>
      </c>
      <c r="Z142" s="4"/>
      <c r="AA142" s="4"/>
      <c r="AB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227</v>
      </c>
      <c r="F143" s="4">
        <f>ROUND(Source!AX136,O143)</f>
        <v>0</v>
      </c>
      <c r="G143" s="4" t="s">
        <v>42</v>
      </c>
      <c r="H143" s="4" t="s">
        <v>43</v>
      </c>
      <c r="I143" s="4"/>
      <c r="J143" s="4"/>
      <c r="K143" s="4">
        <v>227</v>
      </c>
      <c r="L143" s="4">
        <v>6</v>
      </c>
      <c r="M143" s="4">
        <v>1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228</v>
      </c>
      <c r="F144" s="4">
        <f>ROUND(Source!AY136,O144)</f>
        <v>88099.82</v>
      </c>
      <c r="G144" s="4" t="s">
        <v>44</v>
      </c>
      <c r="H144" s="4" t="s">
        <v>45</v>
      </c>
      <c r="I144" s="4"/>
      <c r="J144" s="4"/>
      <c r="K144" s="4">
        <v>228</v>
      </c>
      <c r="L144" s="4">
        <v>7</v>
      </c>
      <c r="M144" s="4">
        <v>1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88099.82</v>
      </c>
      <c r="X144" s="4">
        <v>1</v>
      </c>
      <c r="Y144" s="4">
        <v>88099.82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216</v>
      </c>
      <c r="F145" s="4">
        <f>ROUND(Source!AP136,O145)</f>
        <v>0</v>
      </c>
      <c r="G145" s="4" t="s">
        <v>46</v>
      </c>
      <c r="H145" s="4" t="s">
        <v>47</v>
      </c>
      <c r="I145" s="4"/>
      <c r="J145" s="4"/>
      <c r="K145" s="4">
        <v>216</v>
      </c>
      <c r="L145" s="4">
        <v>8</v>
      </c>
      <c r="M145" s="4">
        <v>1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223</v>
      </c>
      <c r="F146" s="4">
        <f>ROUND(Source!AQ136,O146)</f>
        <v>0</v>
      </c>
      <c r="G146" s="4" t="s">
        <v>48</v>
      </c>
      <c r="H146" s="4" t="s">
        <v>49</v>
      </c>
      <c r="I146" s="4"/>
      <c r="J146" s="4"/>
      <c r="K146" s="4">
        <v>223</v>
      </c>
      <c r="L146" s="4">
        <v>9</v>
      </c>
      <c r="M146" s="4">
        <v>1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229</v>
      </c>
      <c r="F147" s="4">
        <f>ROUND(Source!AZ136,O147)</f>
        <v>0</v>
      </c>
      <c r="G147" s="4" t="s">
        <v>50</v>
      </c>
      <c r="H147" s="4" t="s">
        <v>51</v>
      </c>
      <c r="I147" s="4"/>
      <c r="J147" s="4"/>
      <c r="K147" s="4">
        <v>229</v>
      </c>
      <c r="L147" s="4">
        <v>10</v>
      </c>
      <c r="M147" s="4">
        <v>1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203</v>
      </c>
      <c r="F148" s="4">
        <f>ROUND(Source!Q136,O148)</f>
        <v>11808.87</v>
      </c>
      <c r="G148" s="4" t="s">
        <v>52</v>
      </c>
      <c r="H148" s="4" t="s">
        <v>53</v>
      </c>
      <c r="I148" s="4"/>
      <c r="J148" s="4"/>
      <c r="K148" s="4">
        <v>203</v>
      </c>
      <c r="L148" s="4">
        <v>11</v>
      </c>
      <c r="M148" s="4">
        <v>1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11808.87</v>
      </c>
      <c r="X148" s="4">
        <v>1</v>
      </c>
      <c r="Y148" s="4">
        <v>11808.87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231</v>
      </c>
      <c r="F149" s="4">
        <f>ROUND(Source!BB136,O149)</f>
        <v>0</v>
      </c>
      <c r="G149" s="4" t="s">
        <v>54</v>
      </c>
      <c r="H149" s="4" t="s">
        <v>55</v>
      </c>
      <c r="I149" s="4"/>
      <c r="J149" s="4"/>
      <c r="K149" s="4">
        <v>231</v>
      </c>
      <c r="L149" s="4">
        <v>12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204</v>
      </c>
      <c r="F150" s="4">
        <f>ROUND(Source!R136,O150)</f>
        <v>3881.91</v>
      </c>
      <c r="G150" s="4" t="s">
        <v>56</v>
      </c>
      <c r="H150" s="4" t="s">
        <v>57</v>
      </c>
      <c r="I150" s="4"/>
      <c r="J150" s="4"/>
      <c r="K150" s="4">
        <v>204</v>
      </c>
      <c r="L150" s="4">
        <v>13</v>
      </c>
      <c r="M150" s="4">
        <v>1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3881.91</v>
      </c>
      <c r="X150" s="4">
        <v>1</v>
      </c>
      <c r="Y150" s="4">
        <v>3881.91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205</v>
      </c>
      <c r="F151" s="4">
        <f>ROUND(Source!S136,O151)</f>
        <v>27670.42</v>
      </c>
      <c r="G151" s="4" t="s">
        <v>58</v>
      </c>
      <c r="H151" s="4" t="s">
        <v>59</v>
      </c>
      <c r="I151" s="4"/>
      <c r="J151" s="4"/>
      <c r="K151" s="4">
        <v>205</v>
      </c>
      <c r="L151" s="4">
        <v>14</v>
      </c>
      <c r="M151" s="4">
        <v>1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27670.42</v>
      </c>
      <c r="X151" s="4">
        <v>1</v>
      </c>
      <c r="Y151" s="4">
        <v>27670.42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232</v>
      </c>
      <c r="F152" s="4">
        <f>ROUND(Source!BC136,O152)</f>
        <v>0</v>
      </c>
      <c r="G152" s="4" t="s">
        <v>60</v>
      </c>
      <c r="H152" s="4" t="s">
        <v>61</v>
      </c>
      <c r="I152" s="4"/>
      <c r="J152" s="4"/>
      <c r="K152" s="4">
        <v>232</v>
      </c>
      <c r="L152" s="4">
        <v>15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214</v>
      </c>
      <c r="F153" s="4">
        <f>ROUND(Source!AS136,O153)</f>
        <v>140952.93</v>
      </c>
      <c r="G153" s="4" t="s">
        <v>62</v>
      </c>
      <c r="H153" s="4" t="s">
        <v>63</v>
      </c>
      <c r="I153" s="4"/>
      <c r="J153" s="4"/>
      <c r="K153" s="4">
        <v>214</v>
      </c>
      <c r="L153" s="4">
        <v>16</v>
      </c>
      <c r="M153" s="4">
        <v>1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140952.93</v>
      </c>
      <c r="X153" s="4">
        <v>1</v>
      </c>
      <c r="Y153" s="4">
        <v>140952.93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215</v>
      </c>
      <c r="F154" s="4">
        <f>ROUND(Source!AT136,O154)</f>
        <v>32608.880000000001</v>
      </c>
      <c r="G154" s="4" t="s">
        <v>64</v>
      </c>
      <c r="H154" s="4" t="s">
        <v>65</v>
      </c>
      <c r="I154" s="4"/>
      <c r="J154" s="4"/>
      <c r="K154" s="4">
        <v>215</v>
      </c>
      <c r="L154" s="4">
        <v>17</v>
      </c>
      <c r="M154" s="4">
        <v>1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32608.880000000001</v>
      </c>
      <c r="X154" s="4">
        <v>1</v>
      </c>
      <c r="Y154" s="4">
        <v>32608.880000000001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217</v>
      </c>
      <c r="F155" s="4">
        <f>ROUND(Source!AU136,O155)</f>
        <v>0</v>
      </c>
      <c r="G155" s="4" t="s">
        <v>66</v>
      </c>
      <c r="H155" s="4" t="s">
        <v>67</v>
      </c>
      <c r="I155" s="4"/>
      <c r="J155" s="4"/>
      <c r="K155" s="4">
        <v>217</v>
      </c>
      <c r="L155" s="4">
        <v>18</v>
      </c>
      <c r="M155" s="4">
        <v>1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230</v>
      </c>
      <c r="F156" s="4">
        <f>ROUND(Source!BA136,O156)</f>
        <v>0</v>
      </c>
      <c r="G156" s="4" t="s">
        <v>68</v>
      </c>
      <c r="H156" s="4" t="s">
        <v>69</v>
      </c>
      <c r="I156" s="4"/>
      <c r="J156" s="4"/>
      <c r="K156" s="4">
        <v>230</v>
      </c>
      <c r="L156" s="4">
        <v>19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206</v>
      </c>
      <c r="F157" s="4">
        <f>ROUND(Source!T136,O157)</f>
        <v>0</v>
      </c>
      <c r="G157" s="4" t="s">
        <v>70</v>
      </c>
      <c r="H157" s="4" t="s">
        <v>71</v>
      </c>
      <c r="I157" s="4"/>
      <c r="J157" s="4"/>
      <c r="K157" s="4">
        <v>206</v>
      </c>
      <c r="L157" s="4">
        <v>20</v>
      </c>
      <c r="M157" s="4">
        <v>1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207</v>
      </c>
      <c r="F158" s="4">
        <f>Source!U136</f>
        <v>69.608559</v>
      </c>
      <c r="G158" s="4" t="s">
        <v>72</v>
      </c>
      <c r="H158" s="4" t="s">
        <v>73</v>
      </c>
      <c r="I158" s="4"/>
      <c r="J158" s="4"/>
      <c r="K158" s="4">
        <v>207</v>
      </c>
      <c r="L158" s="4">
        <v>21</v>
      </c>
      <c r="M158" s="4">
        <v>1</v>
      </c>
      <c r="N158" s="4" t="s">
        <v>3</v>
      </c>
      <c r="O158" s="4">
        <v>-1</v>
      </c>
      <c r="P158" s="4"/>
      <c r="Q158" s="4"/>
      <c r="R158" s="4"/>
      <c r="S158" s="4"/>
      <c r="T158" s="4"/>
      <c r="U158" s="4"/>
      <c r="V158" s="4"/>
      <c r="W158" s="4">
        <v>69.608559</v>
      </c>
      <c r="X158" s="4">
        <v>1</v>
      </c>
      <c r="Y158" s="4">
        <v>69.608559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208</v>
      </c>
      <c r="F159" s="4">
        <f>Source!V136</f>
        <v>6.9267700000000003</v>
      </c>
      <c r="G159" s="4" t="s">
        <v>74</v>
      </c>
      <c r="H159" s="4" t="s">
        <v>75</v>
      </c>
      <c r="I159" s="4"/>
      <c r="J159" s="4"/>
      <c r="K159" s="4">
        <v>208</v>
      </c>
      <c r="L159" s="4">
        <v>22</v>
      </c>
      <c r="M159" s="4">
        <v>1</v>
      </c>
      <c r="N159" s="4" t="s">
        <v>3</v>
      </c>
      <c r="O159" s="4">
        <v>-1</v>
      </c>
      <c r="P159" s="4"/>
      <c r="Q159" s="4"/>
      <c r="R159" s="4"/>
      <c r="S159" s="4"/>
      <c r="T159" s="4"/>
      <c r="U159" s="4"/>
      <c r="V159" s="4"/>
      <c r="W159" s="4">
        <v>6.9267700000000003</v>
      </c>
      <c r="X159" s="4">
        <v>1</v>
      </c>
      <c r="Y159" s="4">
        <v>6.9267700000000003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209</v>
      </c>
      <c r="F160" s="4">
        <f>ROUND(Source!W136,O160)</f>
        <v>0</v>
      </c>
      <c r="G160" s="4" t="s">
        <v>76</v>
      </c>
      <c r="H160" s="4" t="s">
        <v>77</v>
      </c>
      <c r="I160" s="4"/>
      <c r="J160" s="4"/>
      <c r="K160" s="4">
        <v>209</v>
      </c>
      <c r="L160" s="4">
        <v>23</v>
      </c>
      <c r="M160" s="4">
        <v>1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233</v>
      </c>
      <c r="F161" s="4">
        <f>ROUND(Source!BD136,O161)</f>
        <v>0</v>
      </c>
      <c r="G161" s="4" t="s">
        <v>78</v>
      </c>
      <c r="H161" s="4" t="s">
        <v>79</v>
      </c>
      <c r="I161" s="4"/>
      <c r="J161" s="4"/>
      <c r="K161" s="4">
        <v>233</v>
      </c>
      <c r="L161" s="4">
        <v>24</v>
      </c>
      <c r="M161" s="4">
        <v>1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210</v>
      </c>
      <c r="F162" s="4">
        <f>ROUND(Source!X136,O162)</f>
        <v>30084.18</v>
      </c>
      <c r="G162" s="4" t="s">
        <v>80</v>
      </c>
      <c r="H162" s="4" t="s">
        <v>81</v>
      </c>
      <c r="I162" s="4"/>
      <c r="J162" s="4"/>
      <c r="K162" s="4">
        <v>210</v>
      </c>
      <c r="L162" s="4">
        <v>25</v>
      </c>
      <c r="M162" s="4">
        <v>1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30084.18</v>
      </c>
      <c r="X162" s="4">
        <v>1</v>
      </c>
      <c r="Y162" s="4">
        <v>30084.18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211</v>
      </c>
      <c r="F163" s="4">
        <f>ROUND(Source!Y136,O163)</f>
        <v>15898.52</v>
      </c>
      <c r="G163" s="4" t="s">
        <v>82</v>
      </c>
      <c r="H163" s="4" t="s">
        <v>83</v>
      </c>
      <c r="I163" s="4"/>
      <c r="J163" s="4"/>
      <c r="K163" s="4">
        <v>211</v>
      </c>
      <c r="L163" s="4">
        <v>26</v>
      </c>
      <c r="M163" s="4">
        <v>1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15898.52</v>
      </c>
      <c r="X163" s="4">
        <v>1</v>
      </c>
      <c r="Y163" s="4">
        <v>15898.52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224</v>
      </c>
      <c r="F164" s="4">
        <f>ROUND(Source!AR136,O164)</f>
        <v>173561.81</v>
      </c>
      <c r="G164" s="4" t="s">
        <v>84</v>
      </c>
      <c r="H164" s="4" t="s">
        <v>85</v>
      </c>
      <c r="I164" s="4"/>
      <c r="J164" s="4"/>
      <c r="K164" s="4">
        <v>224</v>
      </c>
      <c r="L164" s="4">
        <v>27</v>
      </c>
      <c r="M164" s="4">
        <v>1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173561.81</v>
      </c>
      <c r="X164" s="4">
        <v>1</v>
      </c>
      <c r="Y164" s="4">
        <v>173561.81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2</v>
      </c>
      <c r="E165" s="4">
        <v>0</v>
      </c>
      <c r="F165" s="4">
        <f>ROUND(F164*0.2,O165)</f>
        <v>34712.36</v>
      </c>
      <c r="G165" s="4" t="s">
        <v>152</v>
      </c>
      <c r="H165" s="4" t="s">
        <v>153</v>
      </c>
      <c r="I165" s="4"/>
      <c r="J165" s="4"/>
      <c r="K165" s="4">
        <v>212</v>
      </c>
      <c r="L165" s="4">
        <v>28</v>
      </c>
      <c r="M165" s="4">
        <v>0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34712.36</v>
      </c>
      <c r="X165" s="4">
        <v>1</v>
      </c>
      <c r="Y165" s="4">
        <v>34712.36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2</v>
      </c>
      <c r="E166" s="4">
        <v>0</v>
      </c>
      <c r="F166" s="4">
        <f>ROUND(F165+F164,O166)</f>
        <v>208274.17</v>
      </c>
      <c r="G166" s="4" t="s">
        <v>156</v>
      </c>
      <c r="H166" s="4" t="s">
        <v>157</v>
      </c>
      <c r="I166" s="4"/>
      <c r="J166" s="4"/>
      <c r="K166" s="4">
        <v>212</v>
      </c>
      <c r="L166" s="4">
        <v>29</v>
      </c>
      <c r="M166" s="4">
        <v>0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208274.17</v>
      </c>
      <c r="X166" s="4">
        <v>1</v>
      </c>
      <c r="Y166" s="4">
        <v>208274.17</v>
      </c>
      <c r="Z166" s="4"/>
      <c r="AA166" s="4"/>
      <c r="AB166" s="4"/>
    </row>
    <row r="168" spans="1:28" x14ac:dyDescent="0.2">
      <c r="A168" s="5">
        <v>61</v>
      </c>
      <c r="B168" s="5"/>
      <c r="C168" s="5"/>
      <c r="D168" s="5"/>
      <c r="E168" s="5"/>
      <c r="F168" s="5">
        <v>1.2</v>
      </c>
      <c r="G168" s="5" t="s">
        <v>158</v>
      </c>
      <c r="H168" s="5" t="s">
        <v>159</v>
      </c>
    </row>
    <row r="169" spans="1:28" x14ac:dyDescent="0.2">
      <c r="A169" s="5">
        <v>61</v>
      </c>
      <c r="B169" s="5"/>
      <c r="C169" s="5"/>
      <c r="D169" s="5"/>
      <c r="E169" s="5"/>
      <c r="F169" s="5">
        <v>12</v>
      </c>
      <c r="G169" s="5" t="s">
        <v>160</v>
      </c>
      <c r="H169" s="5" t="s">
        <v>159</v>
      </c>
    </row>
    <row r="170" spans="1:28" x14ac:dyDescent="0.2">
      <c r="A170" s="5">
        <v>61</v>
      </c>
      <c r="B170" s="5"/>
      <c r="C170" s="5"/>
      <c r="D170" s="5"/>
      <c r="E170" s="5"/>
      <c r="F170" s="5">
        <v>0</v>
      </c>
      <c r="G170" s="5" t="s">
        <v>161</v>
      </c>
      <c r="H170" s="5" t="s">
        <v>159</v>
      </c>
    </row>
    <row r="173" spans="1:28" x14ac:dyDescent="0.2">
      <c r="A173">
        <v>70</v>
      </c>
      <c r="B173">
        <v>1</v>
      </c>
      <c r="D173">
        <v>1</v>
      </c>
      <c r="E173" t="s">
        <v>162</v>
      </c>
      <c r="F173" t="s">
        <v>163</v>
      </c>
      <c r="G173">
        <v>0</v>
      </c>
      <c r="H173">
        <v>0</v>
      </c>
      <c r="I173" t="s">
        <v>3</v>
      </c>
      <c r="J173">
        <v>1</v>
      </c>
      <c r="K173">
        <v>0</v>
      </c>
      <c r="L173" t="s">
        <v>3</v>
      </c>
      <c r="M173" t="s">
        <v>3</v>
      </c>
      <c r="N173">
        <v>0</v>
      </c>
      <c r="P173" t="s">
        <v>164</v>
      </c>
    </row>
    <row r="174" spans="1:28" x14ac:dyDescent="0.2">
      <c r="A174">
        <v>70</v>
      </c>
      <c r="B174">
        <v>1</v>
      </c>
      <c r="D174">
        <v>2</v>
      </c>
      <c r="E174" t="s">
        <v>165</v>
      </c>
      <c r="F174" t="s">
        <v>166</v>
      </c>
      <c r="G174">
        <v>0</v>
      </c>
      <c r="H174">
        <v>0</v>
      </c>
      <c r="I174" t="s">
        <v>3</v>
      </c>
      <c r="J174">
        <v>1</v>
      </c>
      <c r="K174">
        <v>0</v>
      </c>
      <c r="L174" t="s">
        <v>3</v>
      </c>
      <c r="M174" t="s">
        <v>3</v>
      </c>
      <c r="N174">
        <v>0</v>
      </c>
      <c r="P174" t="s">
        <v>167</v>
      </c>
    </row>
    <row r="175" spans="1:28" x14ac:dyDescent="0.2">
      <c r="A175">
        <v>70</v>
      </c>
      <c r="B175">
        <v>1</v>
      </c>
      <c r="D175">
        <v>3</v>
      </c>
      <c r="E175" t="s">
        <v>168</v>
      </c>
      <c r="F175" t="s">
        <v>169</v>
      </c>
      <c r="G175">
        <v>1</v>
      </c>
      <c r="H175">
        <v>0</v>
      </c>
      <c r="I175" t="s">
        <v>3</v>
      </c>
      <c r="J175">
        <v>1</v>
      </c>
      <c r="K175">
        <v>0</v>
      </c>
      <c r="L175" t="s">
        <v>3</v>
      </c>
      <c r="M175" t="s">
        <v>3</v>
      </c>
      <c r="N175">
        <v>0</v>
      </c>
      <c r="P175" t="s">
        <v>170</v>
      </c>
    </row>
    <row r="176" spans="1:28" x14ac:dyDescent="0.2">
      <c r="A176">
        <v>70</v>
      </c>
      <c r="B176">
        <v>1</v>
      </c>
      <c r="D176">
        <v>4</v>
      </c>
      <c r="E176" t="s">
        <v>171</v>
      </c>
      <c r="F176" t="s">
        <v>172</v>
      </c>
      <c r="G176">
        <v>1</v>
      </c>
      <c r="H176">
        <v>0</v>
      </c>
      <c r="I176" t="s">
        <v>3</v>
      </c>
      <c r="J176">
        <v>2</v>
      </c>
      <c r="K176">
        <v>0</v>
      </c>
      <c r="L176" t="s">
        <v>3</v>
      </c>
      <c r="M176" t="s">
        <v>3</v>
      </c>
      <c r="N176">
        <v>0</v>
      </c>
      <c r="P176" t="s">
        <v>3</v>
      </c>
    </row>
    <row r="177" spans="1:16" x14ac:dyDescent="0.2">
      <c r="A177">
        <v>70</v>
      </c>
      <c r="B177">
        <v>1</v>
      </c>
      <c r="D177">
        <v>5</v>
      </c>
      <c r="E177" t="s">
        <v>173</v>
      </c>
      <c r="F177" t="s">
        <v>174</v>
      </c>
      <c r="G177">
        <v>0</v>
      </c>
      <c r="H177">
        <v>0</v>
      </c>
      <c r="I177" t="s">
        <v>3</v>
      </c>
      <c r="J177">
        <v>2</v>
      </c>
      <c r="K177">
        <v>0</v>
      </c>
      <c r="L177" t="s">
        <v>3</v>
      </c>
      <c r="M177" t="s">
        <v>3</v>
      </c>
      <c r="N177">
        <v>0</v>
      </c>
      <c r="P177" t="s">
        <v>3</v>
      </c>
    </row>
    <row r="178" spans="1:16" x14ac:dyDescent="0.2">
      <c r="A178">
        <v>70</v>
      </c>
      <c r="B178">
        <v>1</v>
      </c>
      <c r="D178">
        <v>6</v>
      </c>
      <c r="E178" t="s">
        <v>175</v>
      </c>
      <c r="F178" t="s">
        <v>176</v>
      </c>
      <c r="G178">
        <v>0</v>
      </c>
      <c r="H178">
        <v>0</v>
      </c>
      <c r="I178" t="s">
        <v>3</v>
      </c>
      <c r="J178">
        <v>2</v>
      </c>
      <c r="K178">
        <v>0</v>
      </c>
      <c r="L178" t="s">
        <v>3</v>
      </c>
      <c r="M178" t="s">
        <v>3</v>
      </c>
      <c r="N178">
        <v>0</v>
      </c>
      <c r="P178" t="s">
        <v>3</v>
      </c>
    </row>
    <row r="179" spans="1:16" x14ac:dyDescent="0.2">
      <c r="A179">
        <v>70</v>
      </c>
      <c r="B179">
        <v>1</v>
      </c>
      <c r="D179">
        <v>7</v>
      </c>
      <c r="E179" t="s">
        <v>177</v>
      </c>
      <c r="F179" t="s">
        <v>178</v>
      </c>
      <c r="G179">
        <v>0</v>
      </c>
      <c r="H179">
        <v>0</v>
      </c>
      <c r="I179" t="s">
        <v>179</v>
      </c>
      <c r="J179">
        <v>0</v>
      </c>
      <c r="K179">
        <v>0</v>
      </c>
      <c r="L179" t="s">
        <v>3</v>
      </c>
      <c r="M179" t="s">
        <v>3</v>
      </c>
      <c r="N179">
        <v>0</v>
      </c>
      <c r="P179" t="s">
        <v>180</v>
      </c>
    </row>
    <row r="180" spans="1:16" x14ac:dyDescent="0.2">
      <c r="A180">
        <v>70</v>
      </c>
      <c r="B180">
        <v>1</v>
      </c>
      <c r="D180">
        <v>8</v>
      </c>
      <c r="E180" t="s">
        <v>181</v>
      </c>
      <c r="F180" t="s">
        <v>182</v>
      </c>
      <c r="G180">
        <v>1</v>
      </c>
      <c r="H180">
        <v>0</v>
      </c>
      <c r="I180" t="s">
        <v>3</v>
      </c>
      <c r="J180">
        <v>5</v>
      </c>
      <c r="K180">
        <v>0</v>
      </c>
      <c r="L180" t="s">
        <v>3</v>
      </c>
      <c r="M180" t="s">
        <v>3</v>
      </c>
      <c r="N180">
        <v>0</v>
      </c>
      <c r="P180" t="s">
        <v>3</v>
      </c>
    </row>
    <row r="181" spans="1:16" x14ac:dyDescent="0.2">
      <c r="A181">
        <v>70</v>
      </c>
      <c r="B181">
        <v>1</v>
      </c>
      <c r="D181">
        <v>9</v>
      </c>
      <c r="E181" t="s">
        <v>183</v>
      </c>
      <c r="F181" t="s">
        <v>184</v>
      </c>
      <c r="G181">
        <v>0</v>
      </c>
      <c r="H181">
        <v>0</v>
      </c>
      <c r="I181" t="s">
        <v>3</v>
      </c>
      <c r="J181">
        <v>5</v>
      </c>
      <c r="K181">
        <v>0</v>
      </c>
      <c r="L181" t="s">
        <v>3</v>
      </c>
      <c r="M181" t="s">
        <v>3</v>
      </c>
      <c r="N181">
        <v>0</v>
      </c>
      <c r="P181" t="s">
        <v>3</v>
      </c>
    </row>
    <row r="182" spans="1:16" x14ac:dyDescent="0.2">
      <c r="A182">
        <v>70</v>
      </c>
      <c r="B182">
        <v>1</v>
      </c>
      <c r="D182">
        <v>10</v>
      </c>
      <c r="E182" t="s">
        <v>185</v>
      </c>
      <c r="F182" t="s">
        <v>186</v>
      </c>
      <c r="G182">
        <v>0</v>
      </c>
      <c r="H182">
        <v>0</v>
      </c>
      <c r="I182" t="s">
        <v>187</v>
      </c>
      <c r="J182">
        <v>5</v>
      </c>
      <c r="K182">
        <v>0</v>
      </c>
      <c r="L182" t="s">
        <v>3</v>
      </c>
      <c r="M182" t="s">
        <v>3</v>
      </c>
      <c r="N182">
        <v>0</v>
      </c>
      <c r="P182" t="s">
        <v>188</v>
      </c>
    </row>
    <row r="183" spans="1:16" x14ac:dyDescent="0.2">
      <c r="A183">
        <v>70</v>
      </c>
      <c r="B183">
        <v>1</v>
      </c>
      <c r="D183">
        <v>11</v>
      </c>
      <c r="E183" t="s">
        <v>189</v>
      </c>
      <c r="F183" t="s">
        <v>190</v>
      </c>
      <c r="G183">
        <v>0</v>
      </c>
      <c r="H183">
        <v>0</v>
      </c>
      <c r="I183" t="s">
        <v>191</v>
      </c>
      <c r="J183">
        <v>0</v>
      </c>
      <c r="K183">
        <v>0</v>
      </c>
      <c r="L183" t="s">
        <v>3</v>
      </c>
      <c r="M183" t="s">
        <v>3</v>
      </c>
      <c r="N183">
        <v>0</v>
      </c>
      <c r="P183" t="s">
        <v>192</v>
      </c>
    </row>
    <row r="184" spans="1:16" x14ac:dyDescent="0.2">
      <c r="A184">
        <v>70</v>
      </c>
      <c r="B184">
        <v>1</v>
      </c>
      <c r="D184">
        <v>12</v>
      </c>
      <c r="E184" t="s">
        <v>193</v>
      </c>
      <c r="F184" t="s">
        <v>194</v>
      </c>
      <c r="G184">
        <v>0</v>
      </c>
      <c r="H184">
        <v>0</v>
      </c>
      <c r="I184" t="s">
        <v>195</v>
      </c>
      <c r="J184">
        <v>0</v>
      </c>
      <c r="K184">
        <v>0</v>
      </c>
      <c r="L184" t="s">
        <v>3</v>
      </c>
      <c r="M184" t="s">
        <v>3</v>
      </c>
      <c r="N184">
        <v>0</v>
      </c>
      <c r="P184" t="s">
        <v>196</v>
      </c>
    </row>
    <row r="185" spans="1:16" x14ac:dyDescent="0.2">
      <c r="A185">
        <v>70</v>
      </c>
      <c r="B185">
        <v>1</v>
      </c>
      <c r="D185">
        <v>13</v>
      </c>
      <c r="E185" t="s">
        <v>197</v>
      </c>
      <c r="F185" t="s">
        <v>198</v>
      </c>
      <c r="G185">
        <v>0</v>
      </c>
      <c r="H185">
        <v>0</v>
      </c>
      <c r="I185" t="s">
        <v>199</v>
      </c>
      <c r="J185">
        <v>0</v>
      </c>
      <c r="K185">
        <v>0</v>
      </c>
      <c r="L185" t="s">
        <v>3</v>
      </c>
      <c r="M185" t="s">
        <v>3</v>
      </c>
      <c r="N185">
        <v>0</v>
      </c>
      <c r="P185" t="s">
        <v>200</v>
      </c>
    </row>
    <row r="186" spans="1:16" x14ac:dyDescent="0.2">
      <c r="A186">
        <v>70</v>
      </c>
      <c r="B186">
        <v>1</v>
      </c>
      <c r="D186">
        <v>14</v>
      </c>
      <c r="E186" t="s">
        <v>201</v>
      </c>
      <c r="F186" t="s">
        <v>202</v>
      </c>
      <c r="G186">
        <v>0</v>
      </c>
      <c r="H186">
        <v>0</v>
      </c>
      <c r="I186" t="s">
        <v>3</v>
      </c>
      <c r="J186">
        <v>0</v>
      </c>
      <c r="K186">
        <v>0</v>
      </c>
      <c r="L186" t="s">
        <v>3</v>
      </c>
      <c r="M186" t="s">
        <v>3</v>
      </c>
      <c r="N186">
        <v>0</v>
      </c>
      <c r="P186" t="s">
        <v>203</v>
      </c>
    </row>
    <row r="187" spans="1:16" x14ac:dyDescent="0.2">
      <c r="A187">
        <v>70</v>
      </c>
      <c r="B187">
        <v>1</v>
      </c>
      <c r="D187">
        <v>15</v>
      </c>
      <c r="E187" t="s">
        <v>204</v>
      </c>
      <c r="F187" t="s">
        <v>205</v>
      </c>
      <c r="G187">
        <v>0</v>
      </c>
      <c r="H187">
        <v>0</v>
      </c>
      <c r="I187" t="s">
        <v>3</v>
      </c>
      <c r="J187">
        <v>3</v>
      </c>
      <c r="K187">
        <v>0</v>
      </c>
      <c r="L187" t="s">
        <v>3</v>
      </c>
      <c r="M187" t="s">
        <v>3</v>
      </c>
      <c r="N187">
        <v>0</v>
      </c>
      <c r="P187" t="s">
        <v>3</v>
      </c>
    </row>
    <row r="188" spans="1:16" x14ac:dyDescent="0.2">
      <c r="A188">
        <v>70</v>
      </c>
      <c r="B188">
        <v>1</v>
      </c>
      <c r="D188">
        <v>16</v>
      </c>
      <c r="E188" t="s">
        <v>206</v>
      </c>
      <c r="F188" t="s">
        <v>207</v>
      </c>
      <c r="G188">
        <v>1</v>
      </c>
      <c r="H188">
        <v>0</v>
      </c>
      <c r="I188" t="s">
        <v>3</v>
      </c>
      <c r="J188">
        <v>3</v>
      </c>
      <c r="K188">
        <v>0</v>
      </c>
      <c r="L188" t="s">
        <v>3</v>
      </c>
      <c r="M188" t="s">
        <v>3</v>
      </c>
      <c r="N188">
        <v>0</v>
      </c>
      <c r="P188" t="s">
        <v>3</v>
      </c>
    </row>
    <row r="189" spans="1:16" x14ac:dyDescent="0.2">
      <c r="A189">
        <v>70</v>
      </c>
      <c r="B189">
        <v>1</v>
      </c>
      <c r="D189">
        <v>1</v>
      </c>
      <c r="E189" t="s">
        <v>208</v>
      </c>
      <c r="F189" t="s">
        <v>209</v>
      </c>
      <c r="G189">
        <v>0.9</v>
      </c>
      <c r="H189">
        <v>1</v>
      </c>
      <c r="I189" t="s">
        <v>210</v>
      </c>
      <c r="J189">
        <v>0</v>
      </c>
      <c r="K189">
        <v>0</v>
      </c>
      <c r="L189" t="s">
        <v>3</v>
      </c>
      <c r="M189" t="s">
        <v>3</v>
      </c>
      <c r="N189">
        <v>0</v>
      </c>
      <c r="P189" t="s">
        <v>211</v>
      </c>
    </row>
    <row r="190" spans="1:16" x14ac:dyDescent="0.2">
      <c r="A190">
        <v>70</v>
      </c>
      <c r="B190">
        <v>1</v>
      </c>
      <c r="D190">
        <v>2</v>
      </c>
      <c r="E190" t="s">
        <v>212</v>
      </c>
      <c r="F190" t="s">
        <v>213</v>
      </c>
      <c r="G190">
        <v>0.85</v>
      </c>
      <c r="H190">
        <v>1</v>
      </c>
      <c r="I190" t="s">
        <v>214</v>
      </c>
      <c r="J190">
        <v>0</v>
      </c>
      <c r="K190">
        <v>0</v>
      </c>
      <c r="L190" t="s">
        <v>3</v>
      </c>
      <c r="M190" t="s">
        <v>3</v>
      </c>
      <c r="N190">
        <v>0</v>
      </c>
      <c r="P190" t="s">
        <v>215</v>
      </c>
    </row>
    <row r="191" spans="1:16" x14ac:dyDescent="0.2">
      <c r="A191">
        <v>70</v>
      </c>
      <c r="B191">
        <v>1</v>
      </c>
      <c r="D191">
        <v>3</v>
      </c>
      <c r="E191" t="s">
        <v>216</v>
      </c>
      <c r="F191" t="s">
        <v>217</v>
      </c>
      <c r="G191">
        <v>1.03</v>
      </c>
      <c r="H191">
        <v>0</v>
      </c>
      <c r="I191" t="s">
        <v>3</v>
      </c>
      <c r="J191">
        <v>0</v>
      </c>
      <c r="K191">
        <v>0</v>
      </c>
      <c r="L191" t="s">
        <v>3</v>
      </c>
      <c r="M191" t="s">
        <v>3</v>
      </c>
      <c r="N191">
        <v>0</v>
      </c>
      <c r="P191" t="s">
        <v>218</v>
      </c>
    </row>
    <row r="192" spans="1:16" x14ac:dyDescent="0.2">
      <c r="A192">
        <v>70</v>
      </c>
      <c r="B192">
        <v>1</v>
      </c>
      <c r="D192">
        <v>4</v>
      </c>
      <c r="E192" t="s">
        <v>219</v>
      </c>
      <c r="F192" t="s">
        <v>220</v>
      </c>
      <c r="G192">
        <v>1.1499999999999999</v>
      </c>
      <c r="H192">
        <v>0</v>
      </c>
      <c r="I192" t="s">
        <v>3</v>
      </c>
      <c r="J192">
        <v>0</v>
      </c>
      <c r="K192">
        <v>0</v>
      </c>
      <c r="L192" t="s">
        <v>3</v>
      </c>
      <c r="M192" t="s">
        <v>3</v>
      </c>
      <c r="N192">
        <v>0</v>
      </c>
      <c r="P192" t="s">
        <v>221</v>
      </c>
    </row>
    <row r="193" spans="1:40" x14ac:dyDescent="0.2">
      <c r="A193">
        <v>70</v>
      </c>
      <c r="B193">
        <v>1</v>
      </c>
      <c r="D193">
        <v>5</v>
      </c>
      <c r="E193" t="s">
        <v>222</v>
      </c>
      <c r="F193" t="s">
        <v>223</v>
      </c>
      <c r="G193">
        <v>7</v>
      </c>
      <c r="H193">
        <v>0</v>
      </c>
      <c r="I193" t="s">
        <v>3</v>
      </c>
      <c r="J193">
        <v>0</v>
      </c>
      <c r="K193">
        <v>0</v>
      </c>
      <c r="L193" t="s">
        <v>3</v>
      </c>
      <c r="M193" t="s">
        <v>3</v>
      </c>
      <c r="N193">
        <v>0</v>
      </c>
      <c r="P193" t="s">
        <v>3</v>
      </c>
    </row>
    <row r="194" spans="1:40" x14ac:dyDescent="0.2">
      <c r="A194">
        <v>70</v>
      </c>
      <c r="B194">
        <v>1</v>
      </c>
      <c r="D194">
        <v>6</v>
      </c>
      <c r="E194" t="s">
        <v>224</v>
      </c>
      <c r="F194" t="s">
        <v>3</v>
      </c>
      <c r="G194">
        <v>2</v>
      </c>
      <c r="H194">
        <v>0</v>
      </c>
      <c r="I194" t="s">
        <v>3</v>
      </c>
      <c r="J194">
        <v>0</v>
      </c>
      <c r="K194">
        <v>0</v>
      </c>
      <c r="L194" t="s">
        <v>3</v>
      </c>
      <c r="M194" t="s">
        <v>3</v>
      </c>
      <c r="N194">
        <v>0</v>
      </c>
      <c r="P194" t="s">
        <v>3</v>
      </c>
    </row>
    <row r="196" spans="1:40" x14ac:dyDescent="0.2">
      <c r="A196">
        <v>-1</v>
      </c>
    </row>
    <row r="198" spans="1:40" x14ac:dyDescent="0.2">
      <c r="A198" s="3">
        <v>75</v>
      </c>
      <c r="B198" s="3" t="s">
        <v>225</v>
      </c>
      <c r="C198" s="3">
        <v>2024</v>
      </c>
      <c r="D198" s="3">
        <v>2</v>
      </c>
      <c r="E198" s="3">
        <v>0</v>
      </c>
      <c r="F198" s="3">
        <v>0</v>
      </c>
      <c r="G198" s="3">
        <v>0</v>
      </c>
      <c r="H198" s="3">
        <v>1</v>
      </c>
      <c r="I198" s="3">
        <v>0</v>
      </c>
      <c r="J198" s="3">
        <v>3</v>
      </c>
      <c r="K198" s="3">
        <v>0</v>
      </c>
      <c r="L198" s="3">
        <v>0</v>
      </c>
      <c r="M198" s="3">
        <v>0</v>
      </c>
      <c r="N198" s="3">
        <v>146437721</v>
      </c>
      <c r="O198" s="3">
        <v>1</v>
      </c>
    </row>
    <row r="199" spans="1:40" x14ac:dyDescent="0.2">
      <c r="A199" s="6">
        <v>3</v>
      </c>
      <c r="B199" s="6" t="s">
        <v>226</v>
      </c>
      <c r="C199" s="6">
        <v>14.68</v>
      </c>
      <c r="D199" s="6">
        <v>8.3800000000000008</v>
      </c>
      <c r="E199" s="6">
        <v>13.15</v>
      </c>
      <c r="F199" s="6">
        <v>42.26</v>
      </c>
      <c r="G199" s="6">
        <v>42.26</v>
      </c>
      <c r="H199" s="6">
        <v>6.23</v>
      </c>
      <c r="I199" s="6">
        <v>1</v>
      </c>
      <c r="J199" s="6">
        <v>2</v>
      </c>
      <c r="K199" s="6">
        <v>42.26</v>
      </c>
      <c r="L199" s="6">
        <v>14.68</v>
      </c>
      <c r="M199" s="6">
        <v>14.68</v>
      </c>
      <c r="N199" s="6">
        <v>8.3800000000000008</v>
      </c>
      <c r="O199" s="6">
        <v>6.23</v>
      </c>
      <c r="P199" s="6">
        <v>1</v>
      </c>
      <c r="Q199" s="6">
        <v>42.26</v>
      </c>
      <c r="R199" s="6">
        <v>14.68</v>
      </c>
      <c r="S199" s="6" t="s">
        <v>3</v>
      </c>
      <c r="T199" s="6" t="s">
        <v>3</v>
      </c>
      <c r="U199" s="6" t="s">
        <v>3</v>
      </c>
      <c r="V199" s="6" t="s">
        <v>3</v>
      </c>
      <c r="W199" s="6" t="s">
        <v>3</v>
      </c>
      <c r="X199" s="6" t="s">
        <v>3</v>
      </c>
      <c r="Y199" s="6" t="s">
        <v>3</v>
      </c>
      <c r="Z199" s="6" t="s">
        <v>3</v>
      </c>
      <c r="AA199" s="6" t="s">
        <v>3</v>
      </c>
      <c r="AB199" s="6" t="s">
        <v>3</v>
      </c>
      <c r="AC199" s="6" t="s">
        <v>3</v>
      </c>
      <c r="AD199" s="6" t="s">
        <v>3</v>
      </c>
      <c r="AE199" s="6" t="s">
        <v>3</v>
      </c>
      <c r="AF199" s="6" t="s">
        <v>3</v>
      </c>
      <c r="AG199" s="6" t="s">
        <v>3</v>
      </c>
      <c r="AH199" s="6" t="s">
        <v>3</v>
      </c>
      <c r="AI199" s="6"/>
      <c r="AJ199" s="6"/>
      <c r="AK199" s="6"/>
      <c r="AL199" s="6"/>
      <c r="AM199" s="6"/>
      <c r="AN199" s="6">
        <v>146437722</v>
      </c>
    </row>
    <row r="203" spans="1:40" x14ac:dyDescent="0.2">
      <c r="A203">
        <v>65</v>
      </c>
      <c r="C203">
        <v>1</v>
      </c>
      <c r="D203">
        <v>0</v>
      </c>
      <c r="E20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227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31883</v>
      </c>
      <c r="M1">
        <v>146472648</v>
      </c>
      <c r="N1">
        <v>11</v>
      </c>
      <c r="O1">
        <v>6</v>
      </c>
      <c r="P1">
        <v>5</v>
      </c>
      <c r="Q1">
        <v>6</v>
      </c>
    </row>
    <row r="4" spans="1:133" x14ac:dyDescent="0.2">
      <c r="A4" s="1">
        <v>8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7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8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9</v>
      </c>
      <c r="BI12" s="1" t="s">
        <v>10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11</v>
      </c>
      <c r="BZ12" s="1" t="s">
        <v>12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14</v>
      </c>
      <c r="CF12" s="1">
        <v>0</v>
      </c>
      <c r="CG12" s="1">
        <v>0</v>
      </c>
      <c r="CH12" s="1">
        <v>17301512</v>
      </c>
      <c r="CI12" s="1" t="s">
        <v>3</v>
      </c>
      <c r="CJ12" s="1" t="s">
        <v>3</v>
      </c>
      <c r="CK12" s="1">
        <v>9</v>
      </c>
      <c r="CL12" s="1"/>
      <c r="CM12" s="1"/>
      <c r="CN12" s="1"/>
      <c r="CO12" s="1"/>
      <c r="CP12" s="1"/>
      <c r="CQ12" s="1" t="s">
        <v>353</v>
      </c>
      <c r="CR12" s="1" t="s">
        <v>15</v>
      </c>
      <c r="CS12" s="1">
        <v>44551</v>
      </c>
      <c r="CT12" s="1">
        <v>395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146437721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0</v>
      </c>
      <c r="C16" s="7" t="s">
        <v>16</v>
      </c>
      <c r="D16" s="7" t="s">
        <v>3</v>
      </c>
      <c r="E16" s="8">
        <f>ROUND((Source!F121)/1000,2)</f>
        <v>140.94999999999999</v>
      </c>
      <c r="F16" s="8">
        <f>ROUND((Source!F122)/1000,2)</f>
        <v>32.61</v>
      </c>
      <c r="G16" s="8">
        <f>ROUND((Source!F113)/1000,2)</f>
        <v>0</v>
      </c>
      <c r="H16" s="8">
        <f>ROUND((Source!F123)/1000+(Source!F124)/1000,2)</f>
        <v>0</v>
      </c>
      <c r="I16" s="8">
        <f>E16+F16+G16+H16</f>
        <v>173.56</v>
      </c>
      <c r="J16" s="8">
        <f>ROUND((Source!F119+Source!F118)/1000,2)</f>
        <v>31.55</v>
      </c>
      <c r="AI16" s="7">
        <v>0</v>
      </c>
      <c r="AJ16" s="7">
        <v>0</v>
      </c>
      <c r="AK16" s="7" t="s">
        <v>3</v>
      </c>
      <c r="AL16" s="7" t="s">
        <v>3</v>
      </c>
      <c r="AM16" s="7" t="s">
        <v>3</v>
      </c>
      <c r="AN16" s="7">
        <v>0</v>
      </c>
      <c r="AO16" s="7" t="s">
        <v>3</v>
      </c>
      <c r="AP16" s="7" t="s">
        <v>3</v>
      </c>
      <c r="AT16" s="8">
        <v>127579.11</v>
      </c>
      <c r="AU16" s="8">
        <v>88099.82</v>
      </c>
      <c r="AV16" s="8">
        <v>0</v>
      </c>
      <c r="AW16" s="8">
        <v>0</v>
      </c>
      <c r="AX16" s="8">
        <v>0</v>
      </c>
      <c r="AY16" s="8">
        <v>11808.87</v>
      </c>
      <c r="AZ16" s="8">
        <v>3881.91</v>
      </c>
      <c r="BA16" s="8">
        <v>27670.42</v>
      </c>
      <c r="BB16" s="8">
        <v>140952.93</v>
      </c>
      <c r="BC16" s="8">
        <v>32608.880000000001</v>
      </c>
      <c r="BD16" s="8">
        <v>0</v>
      </c>
      <c r="BE16" s="8">
        <v>0</v>
      </c>
      <c r="BF16" s="8">
        <v>69.608559</v>
      </c>
      <c r="BG16" s="8">
        <v>6.9267700000000003</v>
      </c>
      <c r="BH16" s="8">
        <v>0</v>
      </c>
      <c r="BI16" s="8">
        <v>30084.18</v>
      </c>
      <c r="BJ16" s="8">
        <v>15898.52</v>
      </c>
      <c r="BK16" s="8">
        <v>173561.81</v>
      </c>
    </row>
    <row r="18" spans="1:19" x14ac:dyDescent="0.2">
      <c r="A18">
        <v>51</v>
      </c>
      <c r="E18" s="5">
        <f>SUMIF(A16:A17,3,E16:E17)</f>
        <v>140.94999999999999</v>
      </c>
      <c r="F18" s="5">
        <f>SUMIF(A16:A17,3,F16:F17)</f>
        <v>32.61</v>
      </c>
      <c r="G18" s="5">
        <f>SUMIF(A16:A17,3,G16:G17)</f>
        <v>0</v>
      </c>
      <c r="H18" s="5">
        <f>SUMIF(A16:A17,3,H16:H17)</f>
        <v>0</v>
      </c>
      <c r="I18" s="5">
        <f>SUMIF(A16:A17,3,I16:I17)</f>
        <v>173.56</v>
      </c>
      <c r="J18" s="5">
        <f>SUMIF(A16:A17,3,J16:J17)</f>
        <v>31.55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127579.11</v>
      </c>
      <c r="G20" s="4" t="s">
        <v>32</v>
      </c>
      <c r="H20" s="4" t="s">
        <v>33</v>
      </c>
      <c r="I20" s="4"/>
      <c r="J20" s="4"/>
      <c r="K20" s="4">
        <v>201</v>
      </c>
      <c r="L20" s="4">
        <v>1</v>
      </c>
      <c r="M20" s="4">
        <v>1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88099.82</v>
      </c>
      <c r="G21" s="4" t="s">
        <v>34</v>
      </c>
      <c r="H21" s="4" t="s">
        <v>35</v>
      </c>
      <c r="I21" s="4"/>
      <c r="J21" s="4"/>
      <c r="K21" s="4">
        <v>202</v>
      </c>
      <c r="L21" s="4">
        <v>2</v>
      </c>
      <c r="M21" s="4">
        <v>1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36</v>
      </c>
      <c r="H22" s="4" t="s">
        <v>37</v>
      </c>
      <c r="I22" s="4"/>
      <c r="J22" s="4"/>
      <c r="K22" s="4">
        <v>222</v>
      </c>
      <c r="L22" s="4">
        <v>3</v>
      </c>
      <c r="M22" s="4">
        <v>1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88099.82</v>
      </c>
      <c r="G23" s="4" t="s">
        <v>38</v>
      </c>
      <c r="H23" s="4" t="s">
        <v>39</v>
      </c>
      <c r="I23" s="4"/>
      <c r="J23" s="4"/>
      <c r="K23" s="4">
        <v>225</v>
      </c>
      <c r="L23" s="4">
        <v>4</v>
      </c>
      <c r="M23" s="4">
        <v>1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88099.82</v>
      </c>
      <c r="G24" s="4" t="s">
        <v>40</v>
      </c>
      <c r="H24" s="4" t="s">
        <v>41</v>
      </c>
      <c r="I24" s="4"/>
      <c r="J24" s="4"/>
      <c r="K24" s="4">
        <v>226</v>
      </c>
      <c r="L24" s="4">
        <v>5</v>
      </c>
      <c r="M24" s="4">
        <v>1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42</v>
      </c>
      <c r="H25" s="4" t="s">
        <v>43</v>
      </c>
      <c r="I25" s="4"/>
      <c r="J25" s="4"/>
      <c r="K25" s="4">
        <v>227</v>
      </c>
      <c r="L25" s="4">
        <v>6</v>
      </c>
      <c r="M25" s="4">
        <v>1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88099.82</v>
      </c>
      <c r="G26" s="4" t="s">
        <v>44</v>
      </c>
      <c r="H26" s="4" t="s">
        <v>45</v>
      </c>
      <c r="I26" s="4"/>
      <c r="J26" s="4"/>
      <c r="K26" s="4">
        <v>228</v>
      </c>
      <c r="L26" s="4">
        <v>7</v>
      </c>
      <c r="M26" s="4">
        <v>1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46</v>
      </c>
      <c r="H27" s="4" t="s">
        <v>47</v>
      </c>
      <c r="I27" s="4"/>
      <c r="J27" s="4"/>
      <c r="K27" s="4">
        <v>216</v>
      </c>
      <c r="L27" s="4">
        <v>8</v>
      </c>
      <c r="M27" s="4">
        <v>1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48</v>
      </c>
      <c r="H28" s="4" t="s">
        <v>49</v>
      </c>
      <c r="I28" s="4"/>
      <c r="J28" s="4"/>
      <c r="K28" s="4">
        <v>223</v>
      </c>
      <c r="L28" s="4">
        <v>9</v>
      </c>
      <c r="M28" s="4">
        <v>1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50</v>
      </c>
      <c r="H29" s="4" t="s">
        <v>51</v>
      </c>
      <c r="I29" s="4"/>
      <c r="J29" s="4"/>
      <c r="K29" s="4">
        <v>229</v>
      </c>
      <c r="L29" s="4">
        <v>10</v>
      </c>
      <c r="M29" s="4">
        <v>1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11808.87</v>
      </c>
      <c r="G30" s="4" t="s">
        <v>52</v>
      </c>
      <c r="H30" s="4" t="s">
        <v>53</v>
      </c>
      <c r="I30" s="4"/>
      <c r="J30" s="4"/>
      <c r="K30" s="4">
        <v>203</v>
      </c>
      <c r="L30" s="4">
        <v>11</v>
      </c>
      <c r="M30" s="4">
        <v>1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54</v>
      </c>
      <c r="H31" s="4" t="s">
        <v>55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3881.91</v>
      </c>
      <c r="G32" s="4" t="s">
        <v>56</v>
      </c>
      <c r="H32" s="4" t="s">
        <v>57</v>
      </c>
      <c r="I32" s="4"/>
      <c r="J32" s="4"/>
      <c r="K32" s="4">
        <v>204</v>
      </c>
      <c r="L32" s="4">
        <v>13</v>
      </c>
      <c r="M32" s="4">
        <v>1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27670.42</v>
      </c>
      <c r="G33" s="4" t="s">
        <v>58</v>
      </c>
      <c r="H33" s="4" t="s">
        <v>59</v>
      </c>
      <c r="I33" s="4"/>
      <c r="J33" s="4"/>
      <c r="K33" s="4">
        <v>205</v>
      </c>
      <c r="L33" s="4">
        <v>14</v>
      </c>
      <c r="M33" s="4">
        <v>1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60</v>
      </c>
      <c r="H34" s="4" t="s">
        <v>61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140952.93</v>
      </c>
      <c r="G35" s="4" t="s">
        <v>62</v>
      </c>
      <c r="H35" s="4" t="s">
        <v>63</v>
      </c>
      <c r="I35" s="4"/>
      <c r="J35" s="4"/>
      <c r="K35" s="4">
        <v>214</v>
      </c>
      <c r="L35" s="4">
        <v>16</v>
      </c>
      <c r="M35" s="4">
        <v>1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32608.880000000001</v>
      </c>
      <c r="G36" s="4" t="s">
        <v>64</v>
      </c>
      <c r="H36" s="4" t="s">
        <v>65</v>
      </c>
      <c r="I36" s="4"/>
      <c r="J36" s="4"/>
      <c r="K36" s="4">
        <v>215</v>
      </c>
      <c r="L36" s="4">
        <v>17</v>
      </c>
      <c r="M36" s="4">
        <v>1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66</v>
      </c>
      <c r="H37" s="4" t="s">
        <v>67</v>
      </c>
      <c r="I37" s="4"/>
      <c r="J37" s="4"/>
      <c r="K37" s="4">
        <v>217</v>
      </c>
      <c r="L37" s="4">
        <v>18</v>
      </c>
      <c r="M37" s="4">
        <v>1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68</v>
      </c>
      <c r="H38" s="4" t="s">
        <v>69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70</v>
      </c>
      <c r="H39" s="4" t="s">
        <v>71</v>
      </c>
      <c r="I39" s="4"/>
      <c r="J39" s="4"/>
      <c r="K39" s="4">
        <v>206</v>
      </c>
      <c r="L39" s="4">
        <v>20</v>
      </c>
      <c r="M39" s="4">
        <v>1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69.608559</v>
      </c>
      <c r="G40" s="4" t="s">
        <v>72</v>
      </c>
      <c r="H40" s="4" t="s">
        <v>73</v>
      </c>
      <c r="I40" s="4"/>
      <c r="J40" s="4"/>
      <c r="K40" s="4">
        <v>207</v>
      </c>
      <c r="L40" s="4">
        <v>21</v>
      </c>
      <c r="M40" s="4">
        <v>1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6.9267700000000003</v>
      </c>
      <c r="G41" s="4" t="s">
        <v>74</v>
      </c>
      <c r="H41" s="4" t="s">
        <v>75</v>
      </c>
      <c r="I41" s="4"/>
      <c r="J41" s="4"/>
      <c r="K41" s="4">
        <v>208</v>
      </c>
      <c r="L41" s="4">
        <v>22</v>
      </c>
      <c r="M41" s="4">
        <v>1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76</v>
      </c>
      <c r="H42" s="4" t="s">
        <v>77</v>
      </c>
      <c r="I42" s="4"/>
      <c r="J42" s="4"/>
      <c r="K42" s="4">
        <v>209</v>
      </c>
      <c r="L42" s="4">
        <v>23</v>
      </c>
      <c r="M42" s="4">
        <v>1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78</v>
      </c>
      <c r="H43" s="4" t="s">
        <v>79</v>
      </c>
      <c r="I43" s="4"/>
      <c r="J43" s="4"/>
      <c r="K43" s="4">
        <v>233</v>
      </c>
      <c r="L43" s="4">
        <v>24</v>
      </c>
      <c r="M43" s="4">
        <v>1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30084.18</v>
      </c>
      <c r="G44" s="4" t="s">
        <v>80</v>
      </c>
      <c r="H44" s="4" t="s">
        <v>81</v>
      </c>
      <c r="I44" s="4"/>
      <c r="J44" s="4"/>
      <c r="K44" s="4">
        <v>210</v>
      </c>
      <c r="L44" s="4">
        <v>25</v>
      </c>
      <c r="M44" s="4">
        <v>1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15898.52</v>
      </c>
      <c r="G45" s="4" t="s">
        <v>82</v>
      </c>
      <c r="H45" s="4" t="s">
        <v>83</v>
      </c>
      <c r="I45" s="4"/>
      <c r="J45" s="4"/>
      <c r="K45" s="4">
        <v>211</v>
      </c>
      <c r="L45" s="4">
        <v>26</v>
      </c>
      <c r="M45" s="4">
        <v>1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173561.81</v>
      </c>
      <c r="G46" s="4" t="s">
        <v>84</v>
      </c>
      <c r="H46" s="4" t="s">
        <v>85</v>
      </c>
      <c r="I46" s="4"/>
      <c r="J46" s="4"/>
      <c r="K46" s="4">
        <v>224</v>
      </c>
      <c r="L46" s="4">
        <v>27</v>
      </c>
      <c r="M46" s="4">
        <v>1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0</v>
      </c>
      <c r="C47" s="4">
        <v>0</v>
      </c>
      <c r="D47" s="4">
        <v>2</v>
      </c>
      <c r="E47" s="4">
        <v>0</v>
      </c>
      <c r="F47" s="4">
        <v>34712.36</v>
      </c>
      <c r="G47" s="4" t="s">
        <v>152</v>
      </c>
      <c r="H47" s="4" t="s">
        <v>153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0</v>
      </c>
      <c r="C48" s="4">
        <v>0</v>
      </c>
      <c r="D48" s="4">
        <v>2</v>
      </c>
      <c r="E48" s="4">
        <v>0</v>
      </c>
      <c r="F48" s="4">
        <v>208274.17</v>
      </c>
      <c r="G48" s="4" t="s">
        <v>156</v>
      </c>
      <c r="H48" s="4" t="s">
        <v>157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40" x14ac:dyDescent="0.2">
      <c r="A50">
        <v>-1</v>
      </c>
    </row>
    <row r="53" spans="1:40" x14ac:dyDescent="0.2">
      <c r="A53" s="3">
        <v>75</v>
      </c>
      <c r="B53" s="3" t="s">
        <v>225</v>
      </c>
      <c r="C53" s="3">
        <v>2024</v>
      </c>
      <c r="D53" s="3">
        <v>2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3</v>
      </c>
      <c r="K53" s="3">
        <v>0</v>
      </c>
      <c r="L53" s="3">
        <v>0</v>
      </c>
      <c r="M53" s="3">
        <v>0</v>
      </c>
      <c r="N53" s="3">
        <v>146437721</v>
      </c>
      <c r="O53" s="3">
        <v>1</v>
      </c>
    </row>
    <row r="54" spans="1:40" x14ac:dyDescent="0.2">
      <c r="A54" s="6">
        <v>3</v>
      </c>
      <c r="B54" s="6" t="s">
        <v>226</v>
      </c>
      <c r="C54" s="6">
        <v>14.68</v>
      </c>
      <c r="D54" s="6">
        <v>8.3800000000000008</v>
      </c>
      <c r="E54" s="6">
        <v>13.15</v>
      </c>
      <c r="F54" s="6">
        <v>42.26</v>
      </c>
      <c r="G54" s="6">
        <v>42.26</v>
      </c>
      <c r="H54" s="6">
        <v>6.23</v>
      </c>
      <c r="I54" s="6">
        <v>1</v>
      </c>
      <c r="J54" s="6">
        <v>2</v>
      </c>
      <c r="K54" s="6">
        <v>42.26</v>
      </c>
      <c r="L54" s="6">
        <v>14.68</v>
      </c>
      <c r="M54" s="6">
        <v>14.68</v>
      </c>
      <c r="N54" s="6">
        <v>8.3800000000000008</v>
      </c>
      <c r="O54" s="6">
        <v>6.23</v>
      </c>
      <c r="P54" s="6">
        <v>1</v>
      </c>
      <c r="Q54" s="6">
        <v>42.26</v>
      </c>
      <c r="R54" s="6">
        <v>14.68</v>
      </c>
      <c r="S54" s="6" t="s">
        <v>3</v>
      </c>
      <c r="T54" s="6" t="s">
        <v>3</v>
      </c>
      <c r="U54" s="6" t="s">
        <v>3</v>
      </c>
      <c r="V54" s="6" t="s">
        <v>3</v>
      </c>
      <c r="W54" s="6" t="s">
        <v>3</v>
      </c>
      <c r="X54" s="6" t="s">
        <v>3</v>
      </c>
      <c r="Y54" s="6" t="s">
        <v>3</v>
      </c>
      <c r="Z54" s="6" t="s">
        <v>3</v>
      </c>
      <c r="AA54" s="6" t="s">
        <v>3</v>
      </c>
      <c r="AB54" s="6" t="s">
        <v>3</v>
      </c>
      <c r="AC54" s="6" t="s">
        <v>3</v>
      </c>
      <c r="AD54" s="6" t="s">
        <v>3</v>
      </c>
      <c r="AE54" s="6" t="s">
        <v>3</v>
      </c>
      <c r="AF54" s="6" t="s">
        <v>3</v>
      </c>
      <c r="AG54" s="6" t="s">
        <v>3</v>
      </c>
      <c r="AH54" s="6" t="s">
        <v>3</v>
      </c>
      <c r="AI54" s="6"/>
      <c r="AJ54" s="6"/>
      <c r="AK54" s="6"/>
      <c r="AL54" s="6"/>
      <c r="AM54" s="6"/>
      <c r="AN54" s="6">
        <v>146437722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O6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ROW(Source!A65)</f>
        <v>65</v>
      </c>
      <c r="B1">
        <v>146437721</v>
      </c>
      <c r="C1">
        <v>146486423</v>
      </c>
      <c r="D1">
        <v>140760031</v>
      </c>
      <c r="E1">
        <v>70</v>
      </c>
      <c r="F1">
        <v>1</v>
      </c>
      <c r="G1">
        <v>1</v>
      </c>
      <c r="H1">
        <v>1</v>
      </c>
      <c r="I1" t="s">
        <v>228</v>
      </c>
      <c r="J1" t="s">
        <v>3</v>
      </c>
      <c r="K1" t="s">
        <v>229</v>
      </c>
      <c r="L1">
        <v>1191</v>
      </c>
      <c r="N1">
        <v>1013</v>
      </c>
      <c r="O1" t="s">
        <v>230</v>
      </c>
      <c r="P1" t="s">
        <v>230</v>
      </c>
      <c r="Q1">
        <v>1</v>
      </c>
      <c r="W1">
        <v>0</v>
      </c>
      <c r="X1">
        <v>-1111239348</v>
      </c>
      <c r="Y1">
        <f t="shared" ref="Y1:Y12" si="0">AT1</f>
        <v>27.8</v>
      </c>
      <c r="AA1">
        <v>0</v>
      </c>
      <c r="AB1">
        <v>0</v>
      </c>
      <c r="AC1">
        <v>0</v>
      </c>
      <c r="AD1">
        <v>406.54</v>
      </c>
      <c r="AE1">
        <v>0</v>
      </c>
      <c r="AF1">
        <v>0</v>
      </c>
      <c r="AG1">
        <v>0</v>
      </c>
      <c r="AH1">
        <v>9.6199999999999992</v>
      </c>
      <c r="AI1">
        <v>1</v>
      </c>
      <c r="AJ1">
        <v>1</v>
      </c>
      <c r="AK1">
        <v>1</v>
      </c>
      <c r="AL1">
        <v>42.26</v>
      </c>
      <c r="AM1">
        <v>4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27.8</v>
      </c>
      <c r="AU1" t="s">
        <v>3</v>
      </c>
      <c r="AV1">
        <v>1</v>
      </c>
      <c r="AW1">
        <v>2</v>
      </c>
      <c r="AX1">
        <v>146486448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ROUND(Y1*Source!I65,9)</f>
        <v>25.02</v>
      </c>
      <c r="CY1">
        <f>AD1</f>
        <v>406.54</v>
      </c>
      <c r="CZ1">
        <f>AH1</f>
        <v>9.6199999999999992</v>
      </c>
      <c r="DA1">
        <f>AL1</f>
        <v>42.26</v>
      </c>
      <c r="DB1">
        <f t="shared" ref="DB1:DB12" si="1">ROUND(ROUND(AT1*CZ1,2),2)</f>
        <v>267.44</v>
      </c>
      <c r="DC1">
        <f t="shared" ref="DC1:DC12" si="2">ROUND(ROUND(AT1*AG1,2),2)</f>
        <v>0</v>
      </c>
      <c r="DD1" t="s">
        <v>3</v>
      </c>
      <c r="DE1" t="s">
        <v>3</v>
      </c>
      <c r="DF1">
        <f t="shared" ref="DF1:DF8" si="3">ROUND(ROUND(AE1,2)*CX1,2)</f>
        <v>0</v>
      </c>
      <c r="DG1">
        <f>ROUND(ROUND(AF1,2)*CX1,2)</f>
        <v>0</v>
      </c>
      <c r="DH1">
        <f>ROUND(ROUND(AG1,2)*CX1,2)</f>
        <v>0</v>
      </c>
      <c r="DI1">
        <f>ROUND(ROUND(AH1*AL1,2)*CX1,2)</f>
        <v>10171.629999999999</v>
      </c>
      <c r="DJ1">
        <f>DI1</f>
        <v>10171.629999999999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ROW(Source!A65)</f>
        <v>65</v>
      </c>
      <c r="B2">
        <v>146437721</v>
      </c>
      <c r="C2">
        <v>146486423</v>
      </c>
      <c r="D2">
        <v>140760225</v>
      </c>
      <c r="E2">
        <v>70</v>
      </c>
      <c r="F2">
        <v>1</v>
      </c>
      <c r="G2">
        <v>1</v>
      </c>
      <c r="H2">
        <v>1</v>
      </c>
      <c r="I2" t="s">
        <v>231</v>
      </c>
      <c r="J2" t="s">
        <v>3</v>
      </c>
      <c r="K2" t="s">
        <v>232</v>
      </c>
      <c r="L2">
        <v>1191</v>
      </c>
      <c r="N2">
        <v>1013</v>
      </c>
      <c r="O2" t="s">
        <v>230</v>
      </c>
      <c r="P2" t="s">
        <v>230</v>
      </c>
      <c r="Q2">
        <v>1</v>
      </c>
      <c r="W2">
        <v>0</v>
      </c>
      <c r="X2">
        <v>-1417349443</v>
      </c>
      <c r="Y2">
        <f t="shared" si="0"/>
        <v>3.02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42.26</v>
      </c>
      <c r="AL2">
        <v>1</v>
      </c>
      <c r="AM2">
        <v>4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3.02</v>
      </c>
      <c r="AU2" t="s">
        <v>3</v>
      </c>
      <c r="AV2">
        <v>2</v>
      </c>
      <c r="AW2">
        <v>2</v>
      </c>
      <c r="AX2">
        <v>146486449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ROUND(Y2*Source!I65,9)</f>
        <v>2.718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>ROUND(ROUND(AF2,2)*CX2,2)</f>
        <v>0</v>
      </c>
      <c r="DH2">
        <f t="shared" ref="DH2:DH8" si="4">ROUND(ROUND(AG2*AK2,2)*CX2,2)</f>
        <v>0</v>
      </c>
      <c r="DI2">
        <f t="shared" ref="DI2:DI12" si="5">ROUND(ROUND(AH2,2)*CX2,2)</f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ROW(Source!A65)</f>
        <v>65</v>
      </c>
      <c r="B3">
        <v>146437721</v>
      </c>
      <c r="C3">
        <v>146486423</v>
      </c>
      <c r="D3">
        <v>140922951</v>
      </c>
      <c r="E3">
        <v>1</v>
      </c>
      <c r="F3">
        <v>1</v>
      </c>
      <c r="G3">
        <v>1</v>
      </c>
      <c r="H3">
        <v>2</v>
      </c>
      <c r="I3" t="s">
        <v>233</v>
      </c>
      <c r="J3" t="s">
        <v>234</v>
      </c>
      <c r="K3" t="s">
        <v>235</v>
      </c>
      <c r="L3">
        <v>1367</v>
      </c>
      <c r="N3">
        <v>1011</v>
      </c>
      <c r="O3" t="s">
        <v>236</v>
      </c>
      <c r="P3" t="s">
        <v>236</v>
      </c>
      <c r="Q3">
        <v>1</v>
      </c>
      <c r="W3">
        <v>0</v>
      </c>
      <c r="X3">
        <v>-430484415</v>
      </c>
      <c r="Y3">
        <f t="shared" si="0"/>
        <v>0.5</v>
      </c>
      <c r="AA3">
        <v>0</v>
      </c>
      <c r="AB3">
        <v>1517.51</v>
      </c>
      <c r="AC3">
        <v>570.51</v>
      </c>
      <c r="AD3">
        <v>0</v>
      </c>
      <c r="AE3">
        <v>0</v>
      </c>
      <c r="AF3">
        <v>115.4</v>
      </c>
      <c r="AG3">
        <v>13.5</v>
      </c>
      <c r="AH3">
        <v>0</v>
      </c>
      <c r="AI3">
        <v>1</v>
      </c>
      <c r="AJ3">
        <v>13.15</v>
      </c>
      <c r="AK3">
        <v>42.26</v>
      </c>
      <c r="AL3">
        <v>1</v>
      </c>
      <c r="AM3">
        <v>4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0.5</v>
      </c>
      <c r="AU3" t="s">
        <v>3</v>
      </c>
      <c r="AV3">
        <v>0</v>
      </c>
      <c r="AW3">
        <v>2</v>
      </c>
      <c r="AX3">
        <v>146486450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ROUND(Y3*Source!I65,9)</f>
        <v>0.45</v>
      </c>
      <c r="CY3">
        <f t="shared" ref="CY3:CY8" si="6">AB3</f>
        <v>1517.51</v>
      </c>
      <c r="CZ3">
        <f t="shared" ref="CZ3:CZ8" si="7">AF3</f>
        <v>115.4</v>
      </c>
      <c r="DA3">
        <f t="shared" ref="DA3:DA8" si="8">AJ3</f>
        <v>13.15</v>
      </c>
      <c r="DB3">
        <f t="shared" si="1"/>
        <v>57.7</v>
      </c>
      <c r="DC3">
        <f t="shared" si="2"/>
        <v>6.75</v>
      </c>
      <c r="DD3" t="s">
        <v>3</v>
      </c>
      <c r="DE3" t="s">
        <v>3</v>
      </c>
      <c r="DF3">
        <f t="shared" si="3"/>
        <v>0</v>
      </c>
      <c r="DG3">
        <f t="shared" ref="DG3:DG8" si="9">ROUND(ROUND(AF3*AJ3,2)*CX3,2)</f>
        <v>682.88</v>
      </c>
      <c r="DH3">
        <f t="shared" si="4"/>
        <v>256.73</v>
      </c>
      <c r="DI3">
        <f t="shared" si="5"/>
        <v>0</v>
      </c>
      <c r="DJ3">
        <f t="shared" ref="DJ3:DJ8" si="10">DG3</f>
        <v>682.88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ROW(Source!A65)</f>
        <v>65</v>
      </c>
      <c r="B4">
        <v>146437721</v>
      </c>
      <c r="C4">
        <v>146486423</v>
      </c>
      <c r="D4">
        <v>140923082</v>
      </c>
      <c r="E4">
        <v>1</v>
      </c>
      <c r="F4">
        <v>1</v>
      </c>
      <c r="G4">
        <v>1</v>
      </c>
      <c r="H4">
        <v>2</v>
      </c>
      <c r="I4" t="s">
        <v>237</v>
      </c>
      <c r="J4" t="s">
        <v>238</v>
      </c>
      <c r="K4" t="s">
        <v>239</v>
      </c>
      <c r="L4">
        <v>1367</v>
      </c>
      <c r="N4">
        <v>1011</v>
      </c>
      <c r="O4" t="s">
        <v>236</v>
      </c>
      <c r="P4" t="s">
        <v>236</v>
      </c>
      <c r="Q4">
        <v>1</v>
      </c>
      <c r="W4">
        <v>0</v>
      </c>
      <c r="X4">
        <v>-354311334</v>
      </c>
      <c r="Y4">
        <f t="shared" si="0"/>
        <v>2.02</v>
      </c>
      <c r="AA4">
        <v>0</v>
      </c>
      <c r="AB4">
        <v>382.4</v>
      </c>
      <c r="AC4">
        <v>425.14</v>
      </c>
      <c r="AD4">
        <v>0</v>
      </c>
      <c r="AE4">
        <v>0</v>
      </c>
      <c r="AF4">
        <v>29.08</v>
      </c>
      <c r="AG4">
        <v>10.06</v>
      </c>
      <c r="AH4">
        <v>0</v>
      </c>
      <c r="AI4">
        <v>1</v>
      </c>
      <c r="AJ4">
        <v>13.15</v>
      </c>
      <c r="AK4">
        <v>42.26</v>
      </c>
      <c r="AL4">
        <v>1</v>
      </c>
      <c r="AM4">
        <v>4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2.02</v>
      </c>
      <c r="AU4" t="s">
        <v>3</v>
      </c>
      <c r="AV4">
        <v>0</v>
      </c>
      <c r="AW4">
        <v>2</v>
      </c>
      <c r="AX4">
        <v>146486451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ROUND(Y4*Source!I65,9)</f>
        <v>1.8180000000000001</v>
      </c>
      <c r="CY4">
        <f t="shared" si="6"/>
        <v>382.4</v>
      </c>
      <c r="CZ4">
        <f t="shared" si="7"/>
        <v>29.08</v>
      </c>
      <c r="DA4">
        <f t="shared" si="8"/>
        <v>13.15</v>
      </c>
      <c r="DB4">
        <f t="shared" si="1"/>
        <v>58.74</v>
      </c>
      <c r="DC4">
        <f t="shared" si="2"/>
        <v>20.32</v>
      </c>
      <c r="DD4" t="s">
        <v>3</v>
      </c>
      <c r="DE4" t="s">
        <v>3</v>
      </c>
      <c r="DF4">
        <f t="shared" si="3"/>
        <v>0</v>
      </c>
      <c r="DG4">
        <f t="shared" si="9"/>
        <v>695.2</v>
      </c>
      <c r="DH4">
        <f t="shared" si="4"/>
        <v>772.9</v>
      </c>
      <c r="DI4">
        <f t="shared" si="5"/>
        <v>0</v>
      </c>
      <c r="DJ4">
        <f t="shared" si="10"/>
        <v>695.2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ROW(Source!A65)</f>
        <v>65</v>
      </c>
      <c r="B5">
        <v>146437721</v>
      </c>
      <c r="C5">
        <v>146486423</v>
      </c>
      <c r="D5">
        <v>140923886</v>
      </c>
      <c r="E5">
        <v>1</v>
      </c>
      <c r="F5">
        <v>1</v>
      </c>
      <c r="G5">
        <v>1</v>
      </c>
      <c r="H5">
        <v>2</v>
      </c>
      <c r="I5" t="s">
        <v>240</v>
      </c>
      <c r="J5" t="s">
        <v>241</v>
      </c>
      <c r="K5" t="s">
        <v>242</v>
      </c>
      <c r="L5">
        <v>1367</v>
      </c>
      <c r="N5">
        <v>1011</v>
      </c>
      <c r="O5" t="s">
        <v>236</v>
      </c>
      <c r="P5" t="s">
        <v>236</v>
      </c>
      <c r="Q5">
        <v>1</v>
      </c>
      <c r="W5">
        <v>0</v>
      </c>
      <c r="X5">
        <v>2006019958</v>
      </c>
      <c r="Y5">
        <f t="shared" si="0"/>
        <v>0.5</v>
      </c>
      <c r="AA5">
        <v>0</v>
      </c>
      <c r="AB5">
        <v>1128.8</v>
      </c>
      <c r="AC5">
        <v>490.22</v>
      </c>
      <c r="AD5">
        <v>0</v>
      </c>
      <c r="AE5">
        <v>0</v>
      </c>
      <c r="AF5">
        <v>85.84</v>
      </c>
      <c r="AG5">
        <v>11.6</v>
      </c>
      <c r="AH5">
        <v>0</v>
      </c>
      <c r="AI5">
        <v>1</v>
      </c>
      <c r="AJ5">
        <v>13.15</v>
      </c>
      <c r="AK5">
        <v>42.26</v>
      </c>
      <c r="AL5">
        <v>1</v>
      </c>
      <c r="AM5">
        <v>4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0.5</v>
      </c>
      <c r="AU5" t="s">
        <v>3</v>
      </c>
      <c r="AV5">
        <v>0</v>
      </c>
      <c r="AW5">
        <v>2</v>
      </c>
      <c r="AX5">
        <v>146486452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ROUND(Y5*Source!I65,9)</f>
        <v>0.45</v>
      </c>
      <c r="CY5">
        <f t="shared" si="6"/>
        <v>1128.8</v>
      </c>
      <c r="CZ5">
        <f t="shared" si="7"/>
        <v>85.84</v>
      </c>
      <c r="DA5">
        <f t="shared" si="8"/>
        <v>13.15</v>
      </c>
      <c r="DB5">
        <f t="shared" si="1"/>
        <v>42.92</v>
      </c>
      <c r="DC5">
        <f t="shared" si="2"/>
        <v>5.8</v>
      </c>
      <c r="DD5" t="s">
        <v>3</v>
      </c>
      <c r="DE5" t="s">
        <v>3</v>
      </c>
      <c r="DF5">
        <f t="shared" si="3"/>
        <v>0</v>
      </c>
      <c r="DG5">
        <f t="shared" si="9"/>
        <v>507.96</v>
      </c>
      <c r="DH5">
        <f t="shared" si="4"/>
        <v>220.6</v>
      </c>
      <c r="DI5">
        <f t="shared" si="5"/>
        <v>0</v>
      </c>
      <c r="DJ5">
        <f t="shared" si="10"/>
        <v>507.96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ROW(Source!A65)</f>
        <v>65</v>
      </c>
      <c r="B6">
        <v>146437721</v>
      </c>
      <c r="C6">
        <v>146486423</v>
      </c>
      <c r="D6">
        <v>140924041</v>
      </c>
      <c r="E6">
        <v>1</v>
      </c>
      <c r="F6">
        <v>1</v>
      </c>
      <c r="G6">
        <v>1</v>
      </c>
      <c r="H6">
        <v>2</v>
      </c>
      <c r="I6" t="s">
        <v>243</v>
      </c>
      <c r="J6" t="s">
        <v>244</v>
      </c>
      <c r="K6" t="s">
        <v>245</v>
      </c>
      <c r="L6">
        <v>1367</v>
      </c>
      <c r="N6">
        <v>1011</v>
      </c>
      <c r="O6" t="s">
        <v>236</v>
      </c>
      <c r="P6" t="s">
        <v>236</v>
      </c>
      <c r="Q6">
        <v>1</v>
      </c>
      <c r="W6">
        <v>0</v>
      </c>
      <c r="X6">
        <v>2077867240</v>
      </c>
      <c r="Y6">
        <f t="shared" si="0"/>
        <v>1.2</v>
      </c>
      <c r="AA6">
        <v>0</v>
      </c>
      <c r="AB6">
        <v>15.78</v>
      </c>
      <c r="AC6">
        <v>0</v>
      </c>
      <c r="AD6">
        <v>0</v>
      </c>
      <c r="AE6">
        <v>0</v>
      </c>
      <c r="AF6">
        <v>1.2</v>
      </c>
      <c r="AG6">
        <v>0</v>
      </c>
      <c r="AH6">
        <v>0</v>
      </c>
      <c r="AI6">
        <v>1</v>
      </c>
      <c r="AJ6">
        <v>13.15</v>
      </c>
      <c r="AK6">
        <v>42.26</v>
      </c>
      <c r="AL6">
        <v>1</v>
      </c>
      <c r="AM6">
        <v>4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1.2</v>
      </c>
      <c r="AU6" t="s">
        <v>3</v>
      </c>
      <c r="AV6">
        <v>0</v>
      </c>
      <c r="AW6">
        <v>2</v>
      </c>
      <c r="AX6">
        <v>146486453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ROUND(Y6*Source!I65,9)</f>
        <v>1.08</v>
      </c>
      <c r="CY6">
        <f t="shared" si="6"/>
        <v>15.78</v>
      </c>
      <c r="CZ6">
        <f t="shared" si="7"/>
        <v>1.2</v>
      </c>
      <c r="DA6">
        <f t="shared" si="8"/>
        <v>13.15</v>
      </c>
      <c r="DB6">
        <f t="shared" si="1"/>
        <v>1.44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 t="shared" si="9"/>
        <v>17.04</v>
      </c>
      <c r="DH6">
        <f t="shared" si="4"/>
        <v>0</v>
      </c>
      <c r="DI6">
        <f t="shared" si="5"/>
        <v>0</v>
      </c>
      <c r="DJ6">
        <f t="shared" si="10"/>
        <v>17.04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ROW(Source!A65)</f>
        <v>65</v>
      </c>
      <c r="B7">
        <v>146437721</v>
      </c>
      <c r="C7">
        <v>146486423</v>
      </c>
      <c r="D7">
        <v>140924098</v>
      </c>
      <c r="E7">
        <v>1</v>
      </c>
      <c r="F7">
        <v>1</v>
      </c>
      <c r="G7">
        <v>1</v>
      </c>
      <c r="H7">
        <v>2</v>
      </c>
      <c r="I7" t="s">
        <v>246</v>
      </c>
      <c r="J7" t="s">
        <v>247</v>
      </c>
      <c r="K7" t="s">
        <v>248</v>
      </c>
      <c r="L7">
        <v>1367</v>
      </c>
      <c r="N7">
        <v>1011</v>
      </c>
      <c r="O7" t="s">
        <v>236</v>
      </c>
      <c r="P7" t="s">
        <v>236</v>
      </c>
      <c r="Q7">
        <v>1</v>
      </c>
      <c r="W7">
        <v>0</v>
      </c>
      <c r="X7">
        <v>829370094</v>
      </c>
      <c r="Y7">
        <f t="shared" si="0"/>
        <v>7.18</v>
      </c>
      <c r="AA7">
        <v>0</v>
      </c>
      <c r="AB7">
        <v>106.52</v>
      </c>
      <c r="AC7">
        <v>0</v>
      </c>
      <c r="AD7">
        <v>0</v>
      </c>
      <c r="AE7">
        <v>0</v>
      </c>
      <c r="AF7">
        <v>8.1</v>
      </c>
      <c r="AG7">
        <v>0</v>
      </c>
      <c r="AH7">
        <v>0</v>
      </c>
      <c r="AI7">
        <v>1</v>
      </c>
      <c r="AJ7">
        <v>13.15</v>
      </c>
      <c r="AK7">
        <v>42.26</v>
      </c>
      <c r="AL7">
        <v>1</v>
      </c>
      <c r="AM7">
        <v>4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7.18</v>
      </c>
      <c r="AU7" t="s">
        <v>3</v>
      </c>
      <c r="AV7">
        <v>0</v>
      </c>
      <c r="AW7">
        <v>2</v>
      </c>
      <c r="AX7">
        <v>146486454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ROUND(Y7*Source!I65,9)</f>
        <v>6.4619999999999997</v>
      </c>
      <c r="CY7">
        <f t="shared" si="6"/>
        <v>106.52</v>
      </c>
      <c r="CZ7">
        <f t="shared" si="7"/>
        <v>8.1</v>
      </c>
      <c r="DA7">
        <f t="shared" si="8"/>
        <v>13.15</v>
      </c>
      <c r="DB7">
        <f t="shared" si="1"/>
        <v>58.16</v>
      </c>
      <c r="DC7">
        <f t="shared" si="2"/>
        <v>0</v>
      </c>
      <c r="DD7" t="s">
        <v>3</v>
      </c>
      <c r="DE7" t="s">
        <v>3</v>
      </c>
      <c r="DF7">
        <f t="shared" si="3"/>
        <v>0</v>
      </c>
      <c r="DG7">
        <f t="shared" si="9"/>
        <v>688.33</v>
      </c>
      <c r="DH7">
        <f t="shared" si="4"/>
        <v>0</v>
      </c>
      <c r="DI7">
        <f t="shared" si="5"/>
        <v>0</v>
      </c>
      <c r="DJ7">
        <f t="shared" si="10"/>
        <v>688.33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ROW(Source!A65)</f>
        <v>65</v>
      </c>
      <c r="B8">
        <v>146437721</v>
      </c>
      <c r="C8">
        <v>146486423</v>
      </c>
      <c r="D8">
        <v>140924652</v>
      </c>
      <c r="E8">
        <v>1</v>
      </c>
      <c r="F8">
        <v>1</v>
      </c>
      <c r="G8">
        <v>1</v>
      </c>
      <c r="H8">
        <v>2</v>
      </c>
      <c r="I8" t="s">
        <v>249</v>
      </c>
      <c r="J8" t="s">
        <v>250</v>
      </c>
      <c r="K8" t="s">
        <v>251</v>
      </c>
      <c r="L8">
        <v>1367</v>
      </c>
      <c r="N8">
        <v>1011</v>
      </c>
      <c r="O8" t="s">
        <v>236</v>
      </c>
      <c r="P8" t="s">
        <v>236</v>
      </c>
      <c r="Q8">
        <v>1</v>
      </c>
      <c r="W8">
        <v>0</v>
      </c>
      <c r="X8">
        <v>-1100498410</v>
      </c>
      <c r="Y8">
        <f t="shared" si="0"/>
        <v>4.7</v>
      </c>
      <c r="AA8">
        <v>0</v>
      </c>
      <c r="AB8">
        <v>31.03</v>
      </c>
      <c r="AC8">
        <v>0</v>
      </c>
      <c r="AD8">
        <v>0</v>
      </c>
      <c r="AE8">
        <v>0</v>
      </c>
      <c r="AF8">
        <v>2.36</v>
      </c>
      <c r="AG8">
        <v>0</v>
      </c>
      <c r="AH8">
        <v>0</v>
      </c>
      <c r="AI8">
        <v>1</v>
      </c>
      <c r="AJ8">
        <v>13.15</v>
      </c>
      <c r="AK8">
        <v>42.26</v>
      </c>
      <c r="AL8">
        <v>1</v>
      </c>
      <c r="AM8">
        <v>4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4.7</v>
      </c>
      <c r="AU8" t="s">
        <v>3</v>
      </c>
      <c r="AV8">
        <v>0</v>
      </c>
      <c r="AW8">
        <v>2</v>
      </c>
      <c r="AX8">
        <v>146486455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ROUND(Y8*Source!I65,9)</f>
        <v>4.2300000000000004</v>
      </c>
      <c r="CY8">
        <f t="shared" si="6"/>
        <v>31.03</v>
      </c>
      <c r="CZ8">
        <f t="shared" si="7"/>
        <v>2.36</v>
      </c>
      <c r="DA8">
        <f t="shared" si="8"/>
        <v>13.15</v>
      </c>
      <c r="DB8">
        <f t="shared" si="1"/>
        <v>11.09</v>
      </c>
      <c r="DC8">
        <f t="shared" si="2"/>
        <v>0</v>
      </c>
      <c r="DD8" t="s">
        <v>3</v>
      </c>
      <c r="DE8" t="s">
        <v>3</v>
      </c>
      <c r="DF8">
        <f t="shared" si="3"/>
        <v>0</v>
      </c>
      <c r="DG8">
        <f t="shared" si="9"/>
        <v>131.26</v>
      </c>
      <c r="DH8">
        <f t="shared" si="4"/>
        <v>0</v>
      </c>
      <c r="DI8">
        <f t="shared" si="5"/>
        <v>0</v>
      </c>
      <c r="DJ8">
        <f t="shared" si="10"/>
        <v>131.26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ROW(Source!A65)</f>
        <v>65</v>
      </c>
      <c r="B9">
        <v>146437721</v>
      </c>
      <c r="C9">
        <v>146486423</v>
      </c>
      <c r="D9">
        <v>140771005</v>
      </c>
      <c r="E9">
        <v>1</v>
      </c>
      <c r="F9">
        <v>1</v>
      </c>
      <c r="G9">
        <v>1</v>
      </c>
      <c r="H9">
        <v>3</v>
      </c>
      <c r="I9" t="s">
        <v>252</v>
      </c>
      <c r="J9" t="s">
        <v>253</v>
      </c>
      <c r="K9" t="s">
        <v>254</v>
      </c>
      <c r="L9">
        <v>1339</v>
      </c>
      <c r="N9">
        <v>1007</v>
      </c>
      <c r="O9" t="s">
        <v>255</v>
      </c>
      <c r="P9" t="s">
        <v>255</v>
      </c>
      <c r="Q9">
        <v>1</v>
      </c>
      <c r="W9">
        <v>0</v>
      </c>
      <c r="X9">
        <v>-1761807714</v>
      </c>
      <c r="Y9">
        <f t="shared" si="0"/>
        <v>0.6</v>
      </c>
      <c r="AA9">
        <v>52.12</v>
      </c>
      <c r="AB9">
        <v>0</v>
      </c>
      <c r="AC9">
        <v>0</v>
      </c>
      <c r="AD9">
        <v>0</v>
      </c>
      <c r="AE9">
        <v>6.22</v>
      </c>
      <c r="AF9">
        <v>0</v>
      </c>
      <c r="AG9">
        <v>0</v>
      </c>
      <c r="AH9">
        <v>0</v>
      </c>
      <c r="AI9">
        <v>8.3800000000000008</v>
      </c>
      <c r="AJ9">
        <v>1</v>
      </c>
      <c r="AK9">
        <v>1</v>
      </c>
      <c r="AL9">
        <v>1</v>
      </c>
      <c r="AM9">
        <v>4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0.6</v>
      </c>
      <c r="AU9" t="s">
        <v>3</v>
      </c>
      <c r="AV9">
        <v>0</v>
      </c>
      <c r="AW9">
        <v>2</v>
      </c>
      <c r="AX9">
        <v>146486456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ROUND(Y9*Source!I65,9)</f>
        <v>0.54</v>
      </c>
      <c r="CY9">
        <f>AA9</f>
        <v>52.12</v>
      </c>
      <c r="CZ9">
        <f>AE9</f>
        <v>6.22</v>
      </c>
      <c r="DA9">
        <f>AI9</f>
        <v>8.3800000000000008</v>
      </c>
      <c r="DB9">
        <f t="shared" si="1"/>
        <v>3.73</v>
      </c>
      <c r="DC9">
        <f t="shared" si="2"/>
        <v>0</v>
      </c>
      <c r="DD9" t="s">
        <v>3</v>
      </c>
      <c r="DE9" t="s">
        <v>3</v>
      </c>
      <c r="DF9">
        <f>ROUND(ROUND(AE9*AI9,2)*CX9,2)</f>
        <v>28.14</v>
      </c>
      <c r="DG9">
        <f t="shared" ref="DG9:DG14" si="11">ROUND(ROUND(AF9,2)*CX9,2)</f>
        <v>0</v>
      </c>
      <c r="DH9">
        <f>ROUND(ROUND(AG9,2)*CX9,2)</f>
        <v>0</v>
      </c>
      <c r="DI9">
        <f t="shared" si="5"/>
        <v>0</v>
      </c>
      <c r="DJ9">
        <f>DF9</f>
        <v>28.14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ROW(Source!A65)</f>
        <v>65</v>
      </c>
      <c r="B10">
        <v>146437721</v>
      </c>
      <c r="C10">
        <v>146486423</v>
      </c>
      <c r="D10">
        <v>140771011</v>
      </c>
      <c r="E10">
        <v>1</v>
      </c>
      <c r="F10">
        <v>1</v>
      </c>
      <c r="G10">
        <v>1</v>
      </c>
      <c r="H10">
        <v>3</v>
      </c>
      <c r="I10" t="s">
        <v>256</v>
      </c>
      <c r="J10" t="s">
        <v>257</v>
      </c>
      <c r="K10" t="s">
        <v>258</v>
      </c>
      <c r="L10">
        <v>1346</v>
      </c>
      <c r="N10">
        <v>1009</v>
      </c>
      <c r="O10" t="s">
        <v>259</v>
      </c>
      <c r="P10" t="s">
        <v>259</v>
      </c>
      <c r="Q10">
        <v>1</v>
      </c>
      <c r="W10">
        <v>0</v>
      </c>
      <c r="X10">
        <v>-2118006079</v>
      </c>
      <c r="Y10">
        <f t="shared" si="0"/>
        <v>0.2</v>
      </c>
      <c r="AA10">
        <v>51.03</v>
      </c>
      <c r="AB10">
        <v>0</v>
      </c>
      <c r="AC10">
        <v>0</v>
      </c>
      <c r="AD10">
        <v>0</v>
      </c>
      <c r="AE10">
        <v>6.09</v>
      </c>
      <c r="AF10">
        <v>0</v>
      </c>
      <c r="AG10">
        <v>0</v>
      </c>
      <c r="AH10">
        <v>0</v>
      </c>
      <c r="AI10">
        <v>8.3800000000000008</v>
      </c>
      <c r="AJ10">
        <v>1</v>
      </c>
      <c r="AK10">
        <v>1</v>
      </c>
      <c r="AL10">
        <v>1</v>
      </c>
      <c r="AM10">
        <v>4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0.2</v>
      </c>
      <c r="AU10" t="s">
        <v>3</v>
      </c>
      <c r="AV10">
        <v>0</v>
      </c>
      <c r="AW10">
        <v>2</v>
      </c>
      <c r="AX10">
        <v>146486457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ROUND(Y10*Source!I65,9)</f>
        <v>0.18</v>
      </c>
      <c r="CY10">
        <f>AA10</f>
        <v>51.03</v>
      </c>
      <c r="CZ10">
        <f>AE10</f>
        <v>6.09</v>
      </c>
      <c r="DA10">
        <f>AI10</f>
        <v>8.3800000000000008</v>
      </c>
      <c r="DB10">
        <f t="shared" si="1"/>
        <v>1.22</v>
      </c>
      <c r="DC10">
        <f t="shared" si="2"/>
        <v>0</v>
      </c>
      <c r="DD10" t="s">
        <v>3</v>
      </c>
      <c r="DE10" t="s">
        <v>3</v>
      </c>
      <c r="DF10">
        <f>ROUND(ROUND(AE10*AI10,2)*CX10,2)</f>
        <v>9.19</v>
      </c>
      <c r="DG10">
        <f t="shared" si="11"/>
        <v>0</v>
      </c>
      <c r="DH10">
        <f>ROUND(ROUND(AG10,2)*CX10,2)</f>
        <v>0</v>
      </c>
      <c r="DI10">
        <f t="shared" si="5"/>
        <v>0</v>
      </c>
      <c r="DJ10">
        <f>DF10</f>
        <v>9.19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ROW(Source!A65)</f>
        <v>65</v>
      </c>
      <c r="B11">
        <v>146437721</v>
      </c>
      <c r="C11">
        <v>146486423</v>
      </c>
      <c r="D11">
        <v>140773788</v>
      </c>
      <c r="E11">
        <v>1</v>
      </c>
      <c r="F11">
        <v>1</v>
      </c>
      <c r="G11">
        <v>1</v>
      </c>
      <c r="H11">
        <v>3</v>
      </c>
      <c r="I11" t="s">
        <v>260</v>
      </c>
      <c r="J11" t="s">
        <v>261</v>
      </c>
      <c r="K11" t="s">
        <v>262</v>
      </c>
      <c r="L11">
        <v>1348</v>
      </c>
      <c r="N11">
        <v>1009</v>
      </c>
      <c r="O11" t="s">
        <v>22</v>
      </c>
      <c r="P11" t="s">
        <v>22</v>
      </c>
      <c r="Q11">
        <v>1000</v>
      </c>
      <c r="W11">
        <v>0</v>
      </c>
      <c r="X11">
        <v>1238940307</v>
      </c>
      <c r="Y11">
        <f t="shared" si="0"/>
        <v>3.2000000000000002E-3</v>
      </c>
      <c r="AA11">
        <v>81830.7</v>
      </c>
      <c r="AB11">
        <v>0</v>
      </c>
      <c r="AC11">
        <v>0</v>
      </c>
      <c r="AD11">
        <v>0</v>
      </c>
      <c r="AE11">
        <v>9765</v>
      </c>
      <c r="AF11">
        <v>0</v>
      </c>
      <c r="AG11">
        <v>0</v>
      </c>
      <c r="AH11">
        <v>0</v>
      </c>
      <c r="AI11">
        <v>8.3800000000000008</v>
      </c>
      <c r="AJ11">
        <v>1</v>
      </c>
      <c r="AK11">
        <v>1</v>
      </c>
      <c r="AL11">
        <v>1</v>
      </c>
      <c r="AM11">
        <v>4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3.2000000000000002E-3</v>
      </c>
      <c r="AU11" t="s">
        <v>3</v>
      </c>
      <c r="AV11">
        <v>0</v>
      </c>
      <c r="AW11">
        <v>2</v>
      </c>
      <c r="AX11">
        <v>146486458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ROUND(Y11*Source!I65,9)</f>
        <v>2.8800000000000002E-3</v>
      </c>
      <c r="CY11">
        <f>AA11</f>
        <v>81830.7</v>
      </c>
      <c r="CZ11">
        <f>AE11</f>
        <v>9765</v>
      </c>
      <c r="DA11">
        <f>AI11</f>
        <v>8.3800000000000008</v>
      </c>
      <c r="DB11">
        <f t="shared" si="1"/>
        <v>31.25</v>
      </c>
      <c r="DC11">
        <f t="shared" si="2"/>
        <v>0</v>
      </c>
      <c r="DD11" t="s">
        <v>3</v>
      </c>
      <c r="DE11" t="s">
        <v>3</v>
      </c>
      <c r="DF11">
        <f>ROUND(ROUND(AE11*AI11,2)*CX11,2)</f>
        <v>235.67</v>
      </c>
      <c r="DG11">
        <f t="shared" si="11"/>
        <v>0</v>
      </c>
      <c r="DH11">
        <f>ROUND(ROUND(AG11,2)*CX11,2)</f>
        <v>0</v>
      </c>
      <c r="DI11">
        <f t="shared" si="5"/>
        <v>0</v>
      </c>
      <c r="DJ11">
        <f>DF11</f>
        <v>235.67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ROW(Source!A65)</f>
        <v>65</v>
      </c>
      <c r="B12">
        <v>146437721</v>
      </c>
      <c r="C12">
        <v>146486423</v>
      </c>
      <c r="D12">
        <v>140765022</v>
      </c>
      <c r="E12">
        <v>70</v>
      </c>
      <c r="F12">
        <v>1</v>
      </c>
      <c r="G12">
        <v>1</v>
      </c>
      <c r="H12">
        <v>3</v>
      </c>
      <c r="I12" t="s">
        <v>263</v>
      </c>
      <c r="J12" t="s">
        <v>3</v>
      </c>
      <c r="K12" t="s">
        <v>264</v>
      </c>
      <c r="L12">
        <v>1374</v>
      </c>
      <c r="N12">
        <v>1013</v>
      </c>
      <c r="O12" t="s">
        <v>265</v>
      </c>
      <c r="P12" t="s">
        <v>265</v>
      </c>
      <c r="Q12">
        <v>1</v>
      </c>
      <c r="W12">
        <v>0</v>
      </c>
      <c r="X12">
        <v>-1731369543</v>
      </c>
      <c r="Y12">
        <f t="shared" si="0"/>
        <v>5.35</v>
      </c>
      <c r="AA12">
        <v>8.3800000000000008</v>
      </c>
      <c r="AB12">
        <v>0</v>
      </c>
      <c r="AC12">
        <v>0</v>
      </c>
      <c r="AD12">
        <v>0</v>
      </c>
      <c r="AE12">
        <v>1</v>
      </c>
      <c r="AF12">
        <v>0</v>
      </c>
      <c r="AG12">
        <v>0</v>
      </c>
      <c r="AH12">
        <v>0</v>
      </c>
      <c r="AI12">
        <v>8.3800000000000008</v>
      </c>
      <c r="AJ12">
        <v>1</v>
      </c>
      <c r="AK12">
        <v>1</v>
      </c>
      <c r="AL12">
        <v>1</v>
      </c>
      <c r="AM12">
        <v>4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5.35</v>
      </c>
      <c r="AU12" t="s">
        <v>3</v>
      </c>
      <c r="AV12">
        <v>0</v>
      </c>
      <c r="AW12">
        <v>2</v>
      </c>
      <c r="AX12">
        <v>146486459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ROUND(Y12*Source!I65,9)</f>
        <v>4.8150000000000004</v>
      </c>
      <c r="CY12">
        <f>AA12</f>
        <v>8.3800000000000008</v>
      </c>
      <c r="CZ12">
        <f>AE12</f>
        <v>1</v>
      </c>
      <c r="DA12">
        <f>AI12</f>
        <v>8.3800000000000008</v>
      </c>
      <c r="DB12">
        <f t="shared" si="1"/>
        <v>5.35</v>
      </c>
      <c r="DC12">
        <f t="shared" si="2"/>
        <v>0</v>
      </c>
      <c r="DD12" t="s">
        <v>3</v>
      </c>
      <c r="DE12" t="s">
        <v>3</v>
      </c>
      <c r="DF12">
        <f>ROUND(ROUND(AE12*AI12,2)*CX12,2)</f>
        <v>40.35</v>
      </c>
      <c r="DG12">
        <f t="shared" si="11"/>
        <v>0</v>
      </c>
      <c r="DH12">
        <f>ROUND(ROUND(AG12,2)*CX12,2)</f>
        <v>0</v>
      </c>
      <c r="DI12">
        <f t="shared" si="5"/>
        <v>0</v>
      </c>
      <c r="DJ12">
        <f>DF12</f>
        <v>40.35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ROW(Source!A67)</f>
        <v>67</v>
      </c>
      <c r="B13">
        <v>146437721</v>
      </c>
      <c r="C13">
        <v>146439036</v>
      </c>
      <c r="D13">
        <v>140760043</v>
      </c>
      <c r="E13">
        <v>70</v>
      </c>
      <c r="F13">
        <v>1</v>
      </c>
      <c r="G13">
        <v>1</v>
      </c>
      <c r="H13">
        <v>1</v>
      </c>
      <c r="I13" t="s">
        <v>266</v>
      </c>
      <c r="J13" t="s">
        <v>3</v>
      </c>
      <c r="K13" t="s">
        <v>267</v>
      </c>
      <c r="L13">
        <v>1191</v>
      </c>
      <c r="N13">
        <v>1013</v>
      </c>
      <c r="O13" t="s">
        <v>230</v>
      </c>
      <c r="P13" t="s">
        <v>230</v>
      </c>
      <c r="Q13">
        <v>1</v>
      </c>
      <c r="W13">
        <v>0</v>
      </c>
      <c r="X13">
        <v>-1936699058</v>
      </c>
      <c r="Y13">
        <f>((AT13*1.15)*1.15)</f>
        <v>21.556750000000001</v>
      </c>
      <c r="AA13">
        <v>0</v>
      </c>
      <c r="AB13">
        <v>0</v>
      </c>
      <c r="AC13">
        <v>0</v>
      </c>
      <c r="AD13">
        <v>419.22</v>
      </c>
      <c r="AE13">
        <v>0</v>
      </c>
      <c r="AF13">
        <v>0</v>
      </c>
      <c r="AG13">
        <v>0</v>
      </c>
      <c r="AH13">
        <v>9.92</v>
      </c>
      <c r="AI13">
        <v>1</v>
      </c>
      <c r="AJ13">
        <v>1</v>
      </c>
      <c r="AK13">
        <v>1</v>
      </c>
      <c r="AL13">
        <v>42.26</v>
      </c>
      <c r="AM13">
        <v>4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16.3</v>
      </c>
      <c r="AU13" t="s">
        <v>104</v>
      </c>
      <c r="AV13">
        <v>1</v>
      </c>
      <c r="AW13">
        <v>2</v>
      </c>
      <c r="AX13">
        <v>146452727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ROUND(Y13*Source!I67,9)</f>
        <v>19.401074999999999</v>
      </c>
      <c r="CY13">
        <f>AD13</f>
        <v>419.22</v>
      </c>
      <c r="CZ13">
        <f>AH13</f>
        <v>9.92</v>
      </c>
      <c r="DA13">
        <f>AL13</f>
        <v>42.26</v>
      </c>
      <c r="DB13">
        <f>ROUND(((ROUND(AT13*CZ13,2)*1.15)*1.15),2)</f>
        <v>213.85</v>
      </c>
      <c r="DC13">
        <f>ROUND(((ROUND(AT13*AG13,2)*1.15)*1.15),2)</f>
        <v>0</v>
      </c>
      <c r="DD13" t="s">
        <v>3</v>
      </c>
      <c r="DE13" t="s">
        <v>3</v>
      </c>
      <c r="DF13">
        <f t="shared" ref="DF13:DF20" si="12">ROUND(ROUND(AE13,2)*CX13,2)</f>
        <v>0</v>
      </c>
      <c r="DG13">
        <f t="shared" si="11"/>
        <v>0</v>
      </c>
      <c r="DH13">
        <f>ROUND(ROUND(AG13,2)*CX13,2)</f>
        <v>0</v>
      </c>
      <c r="DI13">
        <f>ROUND(ROUND(AH13*AL13,2)*CX13,2)</f>
        <v>8133.32</v>
      </c>
      <c r="DJ13">
        <f>DI13</f>
        <v>8133.32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ROW(Source!A67)</f>
        <v>67</v>
      </c>
      <c r="B14">
        <v>146437721</v>
      </c>
      <c r="C14">
        <v>146439036</v>
      </c>
      <c r="D14">
        <v>140760225</v>
      </c>
      <c r="E14">
        <v>70</v>
      </c>
      <c r="F14">
        <v>1</v>
      </c>
      <c r="G14">
        <v>1</v>
      </c>
      <c r="H14">
        <v>1</v>
      </c>
      <c r="I14" t="s">
        <v>231</v>
      </c>
      <c r="J14" t="s">
        <v>3</v>
      </c>
      <c r="K14" t="s">
        <v>232</v>
      </c>
      <c r="L14">
        <v>1191</v>
      </c>
      <c r="N14">
        <v>1013</v>
      </c>
      <c r="O14" t="s">
        <v>230</v>
      </c>
      <c r="P14" t="s">
        <v>230</v>
      </c>
      <c r="Q14">
        <v>1</v>
      </c>
      <c r="W14">
        <v>0</v>
      </c>
      <c r="X14">
        <v>-1417349443</v>
      </c>
      <c r="Y14">
        <f t="shared" ref="Y14:Y20" si="13">((AT14*1.25)*1.15)</f>
        <v>4.4562499999999998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42.26</v>
      </c>
      <c r="AL14">
        <v>1</v>
      </c>
      <c r="AM14">
        <v>4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3.1</v>
      </c>
      <c r="AU14" t="s">
        <v>103</v>
      </c>
      <c r="AV14">
        <v>2</v>
      </c>
      <c r="AW14">
        <v>2</v>
      </c>
      <c r="AX14">
        <v>146452728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ROUND(Y14*Source!I67,9)</f>
        <v>4.0106250000000001</v>
      </c>
      <c r="CY14">
        <f>AD14</f>
        <v>0</v>
      </c>
      <c r="CZ14">
        <f>AH14</f>
        <v>0</v>
      </c>
      <c r="DA14">
        <f>AL14</f>
        <v>1</v>
      </c>
      <c r="DB14">
        <f t="shared" ref="DB14:DB20" si="14">ROUND(((ROUND(AT14*CZ14,2)*1.25)*1.15),2)</f>
        <v>0</v>
      </c>
      <c r="DC14">
        <f t="shared" ref="DC14:DC20" si="15">ROUND(((ROUND(AT14*AG14,2)*1.25)*1.15),2)</f>
        <v>0</v>
      </c>
      <c r="DD14" t="s">
        <v>3</v>
      </c>
      <c r="DE14" t="s">
        <v>3</v>
      </c>
      <c r="DF14">
        <f t="shared" si="12"/>
        <v>0</v>
      </c>
      <c r="DG14">
        <f t="shared" si="11"/>
        <v>0</v>
      </c>
      <c r="DH14">
        <f t="shared" ref="DH14:DH20" si="16">ROUND(ROUND(AG14*AK14,2)*CX14,2)</f>
        <v>0</v>
      </c>
      <c r="DI14">
        <f t="shared" ref="DI14:DI34" si="17">ROUND(ROUND(AH14,2)*CX14,2)</f>
        <v>0</v>
      </c>
      <c r="DJ14">
        <f>DI14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ROW(Source!A67)</f>
        <v>67</v>
      </c>
      <c r="B15">
        <v>146437721</v>
      </c>
      <c r="C15">
        <v>146439036</v>
      </c>
      <c r="D15">
        <v>140922897</v>
      </c>
      <c r="E15">
        <v>1</v>
      </c>
      <c r="F15">
        <v>1</v>
      </c>
      <c r="G15">
        <v>1</v>
      </c>
      <c r="H15">
        <v>2</v>
      </c>
      <c r="I15" t="s">
        <v>268</v>
      </c>
      <c r="J15" t="s">
        <v>269</v>
      </c>
      <c r="K15" t="s">
        <v>270</v>
      </c>
      <c r="L15">
        <v>1367</v>
      </c>
      <c r="N15">
        <v>1011</v>
      </c>
      <c r="O15" t="s">
        <v>236</v>
      </c>
      <c r="P15" t="s">
        <v>236</v>
      </c>
      <c r="Q15">
        <v>1</v>
      </c>
      <c r="W15">
        <v>0</v>
      </c>
      <c r="X15">
        <v>1142032057</v>
      </c>
      <c r="Y15">
        <f t="shared" si="13"/>
        <v>1.1499999999999999</v>
      </c>
      <c r="AA15">
        <v>0</v>
      </c>
      <c r="AB15">
        <v>4105.5600000000004</v>
      </c>
      <c r="AC15">
        <v>651.65</v>
      </c>
      <c r="AD15">
        <v>0</v>
      </c>
      <c r="AE15">
        <v>0</v>
      </c>
      <c r="AF15">
        <v>312.20999999999998</v>
      </c>
      <c r="AG15">
        <v>15.42</v>
      </c>
      <c r="AH15">
        <v>0</v>
      </c>
      <c r="AI15">
        <v>1</v>
      </c>
      <c r="AJ15">
        <v>13.15</v>
      </c>
      <c r="AK15">
        <v>42.26</v>
      </c>
      <c r="AL15">
        <v>1</v>
      </c>
      <c r="AM15">
        <v>4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0.8</v>
      </c>
      <c r="AU15" t="s">
        <v>103</v>
      </c>
      <c r="AV15">
        <v>0</v>
      </c>
      <c r="AW15">
        <v>2</v>
      </c>
      <c r="AX15">
        <v>146452729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ROUND(Y15*Source!I67,9)</f>
        <v>1.0349999999999999</v>
      </c>
      <c r="CY15">
        <f t="shared" ref="CY15:CY20" si="18">AB15</f>
        <v>4105.5600000000004</v>
      </c>
      <c r="CZ15">
        <f t="shared" ref="CZ15:CZ20" si="19">AF15</f>
        <v>312.20999999999998</v>
      </c>
      <c r="DA15">
        <f t="shared" ref="DA15:DA20" si="20">AJ15</f>
        <v>13.15</v>
      </c>
      <c r="DB15">
        <f t="shared" si="14"/>
        <v>359.04</v>
      </c>
      <c r="DC15">
        <f t="shared" si="15"/>
        <v>17.739999999999998</v>
      </c>
      <c r="DD15" t="s">
        <v>3</v>
      </c>
      <c r="DE15" t="s">
        <v>3</v>
      </c>
      <c r="DF15">
        <f t="shared" si="12"/>
        <v>0</v>
      </c>
      <c r="DG15">
        <f t="shared" ref="DG15:DG20" si="21">ROUND(ROUND(AF15*AJ15,2)*CX15,2)</f>
        <v>4249.25</v>
      </c>
      <c r="DH15">
        <f t="shared" si="16"/>
        <v>674.46</v>
      </c>
      <c r="DI15">
        <f t="shared" si="17"/>
        <v>0</v>
      </c>
      <c r="DJ15">
        <f t="shared" ref="DJ15:DJ20" si="22">DG15</f>
        <v>4249.25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ROW(Source!A67)</f>
        <v>67</v>
      </c>
      <c r="B16">
        <v>146437721</v>
      </c>
      <c r="C16">
        <v>146439036</v>
      </c>
      <c r="D16">
        <v>140922906</v>
      </c>
      <c r="E16">
        <v>1</v>
      </c>
      <c r="F16">
        <v>1</v>
      </c>
      <c r="G16">
        <v>1</v>
      </c>
      <c r="H16">
        <v>2</v>
      </c>
      <c r="I16" t="s">
        <v>271</v>
      </c>
      <c r="J16" t="s">
        <v>272</v>
      </c>
      <c r="K16" t="s">
        <v>273</v>
      </c>
      <c r="L16">
        <v>1367</v>
      </c>
      <c r="N16">
        <v>1011</v>
      </c>
      <c r="O16" t="s">
        <v>236</v>
      </c>
      <c r="P16" t="s">
        <v>236</v>
      </c>
      <c r="Q16">
        <v>1</v>
      </c>
      <c r="W16">
        <v>0</v>
      </c>
      <c r="X16">
        <v>-163180553</v>
      </c>
      <c r="Y16">
        <f t="shared" si="13"/>
        <v>2.5299999999999998</v>
      </c>
      <c r="AA16">
        <v>0</v>
      </c>
      <c r="AB16">
        <v>1581.16</v>
      </c>
      <c r="AC16">
        <v>651.65</v>
      </c>
      <c r="AD16">
        <v>0</v>
      </c>
      <c r="AE16">
        <v>0</v>
      </c>
      <c r="AF16">
        <v>120.24</v>
      </c>
      <c r="AG16">
        <v>15.42</v>
      </c>
      <c r="AH16">
        <v>0</v>
      </c>
      <c r="AI16">
        <v>1</v>
      </c>
      <c r="AJ16">
        <v>13.15</v>
      </c>
      <c r="AK16">
        <v>42.26</v>
      </c>
      <c r="AL16">
        <v>1</v>
      </c>
      <c r="AM16">
        <v>4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1.76</v>
      </c>
      <c r="AU16" t="s">
        <v>103</v>
      </c>
      <c r="AV16">
        <v>0</v>
      </c>
      <c r="AW16">
        <v>2</v>
      </c>
      <c r="AX16">
        <v>146452730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ROUND(Y16*Source!I67,9)</f>
        <v>2.2770000000000001</v>
      </c>
      <c r="CY16">
        <f t="shared" si="18"/>
        <v>1581.16</v>
      </c>
      <c r="CZ16">
        <f t="shared" si="19"/>
        <v>120.24</v>
      </c>
      <c r="DA16">
        <f t="shared" si="20"/>
        <v>13.15</v>
      </c>
      <c r="DB16">
        <f t="shared" si="14"/>
        <v>304.2</v>
      </c>
      <c r="DC16">
        <f t="shared" si="15"/>
        <v>39.01</v>
      </c>
      <c r="DD16" t="s">
        <v>3</v>
      </c>
      <c r="DE16" t="s">
        <v>3</v>
      </c>
      <c r="DF16">
        <f t="shared" si="12"/>
        <v>0</v>
      </c>
      <c r="DG16">
        <f t="shared" si="21"/>
        <v>3600.3</v>
      </c>
      <c r="DH16">
        <f t="shared" si="16"/>
        <v>1483.81</v>
      </c>
      <c r="DI16">
        <f t="shared" si="17"/>
        <v>0</v>
      </c>
      <c r="DJ16">
        <f t="shared" si="22"/>
        <v>3600.3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ROW(Source!A67)</f>
        <v>67</v>
      </c>
      <c r="B17">
        <v>146437721</v>
      </c>
      <c r="C17">
        <v>146439036</v>
      </c>
      <c r="D17">
        <v>140922951</v>
      </c>
      <c r="E17">
        <v>1</v>
      </c>
      <c r="F17">
        <v>1</v>
      </c>
      <c r="G17">
        <v>1</v>
      </c>
      <c r="H17">
        <v>2</v>
      </c>
      <c r="I17" t="s">
        <v>233</v>
      </c>
      <c r="J17" t="s">
        <v>234</v>
      </c>
      <c r="K17" t="s">
        <v>235</v>
      </c>
      <c r="L17">
        <v>1367</v>
      </c>
      <c r="N17">
        <v>1011</v>
      </c>
      <c r="O17" t="s">
        <v>236</v>
      </c>
      <c r="P17" t="s">
        <v>236</v>
      </c>
      <c r="Q17">
        <v>1</v>
      </c>
      <c r="W17">
        <v>0</v>
      </c>
      <c r="X17">
        <v>-430484415</v>
      </c>
      <c r="Y17">
        <f t="shared" si="13"/>
        <v>0.31624999999999998</v>
      </c>
      <c r="AA17">
        <v>0</v>
      </c>
      <c r="AB17">
        <v>1517.51</v>
      </c>
      <c r="AC17">
        <v>570.51</v>
      </c>
      <c r="AD17">
        <v>0</v>
      </c>
      <c r="AE17">
        <v>0</v>
      </c>
      <c r="AF17">
        <v>115.4</v>
      </c>
      <c r="AG17">
        <v>13.5</v>
      </c>
      <c r="AH17">
        <v>0</v>
      </c>
      <c r="AI17">
        <v>1</v>
      </c>
      <c r="AJ17">
        <v>13.15</v>
      </c>
      <c r="AK17">
        <v>42.26</v>
      </c>
      <c r="AL17">
        <v>1</v>
      </c>
      <c r="AM17">
        <v>4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0.22</v>
      </c>
      <c r="AU17" t="s">
        <v>103</v>
      </c>
      <c r="AV17">
        <v>0</v>
      </c>
      <c r="AW17">
        <v>2</v>
      </c>
      <c r="AX17">
        <v>146452731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ROUND(Y17*Source!I67,9)</f>
        <v>0.28462500000000002</v>
      </c>
      <c r="CY17">
        <f t="shared" si="18"/>
        <v>1517.51</v>
      </c>
      <c r="CZ17">
        <f t="shared" si="19"/>
        <v>115.4</v>
      </c>
      <c r="DA17">
        <f t="shared" si="20"/>
        <v>13.15</v>
      </c>
      <c r="DB17">
        <f t="shared" si="14"/>
        <v>36.5</v>
      </c>
      <c r="DC17">
        <f t="shared" si="15"/>
        <v>4.2699999999999996</v>
      </c>
      <c r="DD17" t="s">
        <v>3</v>
      </c>
      <c r="DE17" t="s">
        <v>3</v>
      </c>
      <c r="DF17">
        <f t="shared" si="12"/>
        <v>0</v>
      </c>
      <c r="DG17">
        <f t="shared" si="21"/>
        <v>431.92</v>
      </c>
      <c r="DH17">
        <f t="shared" si="16"/>
        <v>162.38</v>
      </c>
      <c r="DI17">
        <f t="shared" si="17"/>
        <v>0</v>
      </c>
      <c r="DJ17">
        <f t="shared" si="22"/>
        <v>431.92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ROW(Source!A67)</f>
        <v>67</v>
      </c>
      <c r="B18">
        <v>146437721</v>
      </c>
      <c r="C18">
        <v>146439036</v>
      </c>
      <c r="D18">
        <v>140923885</v>
      </c>
      <c r="E18">
        <v>1</v>
      </c>
      <c r="F18">
        <v>1</v>
      </c>
      <c r="G18">
        <v>1</v>
      </c>
      <c r="H18">
        <v>2</v>
      </c>
      <c r="I18" t="s">
        <v>274</v>
      </c>
      <c r="J18" t="s">
        <v>275</v>
      </c>
      <c r="K18" t="s">
        <v>276</v>
      </c>
      <c r="L18">
        <v>1367</v>
      </c>
      <c r="N18">
        <v>1011</v>
      </c>
      <c r="O18" t="s">
        <v>236</v>
      </c>
      <c r="P18" t="s">
        <v>236</v>
      </c>
      <c r="Q18">
        <v>1</v>
      </c>
      <c r="W18">
        <v>0</v>
      </c>
      <c r="X18">
        <v>509054691</v>
      </c>
      <c r="Y18">
        <f t="shared" si="13"/>
        <v>0.45999999999999996</v>
      </c>
      <c r="AA18">
        <v>0</v>
      </c>
      <c r="AB18">
        <v>864.09</v>
      </c>
      <c r="AC18">
        <v>490.22</v>
      </c>
      <c r="AD18">
        <v>0</v>
      </c>
      <c r="AE18">
        <v>0</v>
      </c>
      <c r="AF18">
        <v>65.709999999999994</v>
      </c>
      <c r="AG18">
        <v>11.6</v>
      </c>
      <c r="AH18">
        <v>0</v>
      </c>
      <c r="AI18">
        <v>1</v>
      </c>
      <c r="AJ18">
        <v>13.15</v>
      </c>
      <c r="AK18">
        <v>42.26</v>
      </c>
      <c r="AL18">
        <v>1</v>
      </c>
      <c r="AM18">
        <v>4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0.32</v>
      </c>
      <c r="AU18" t="s">
        <v>103</v>
      </c>
      <c r="AV18">
        <v>0</v>
      </c>
      <c r="AW18">
        <v>2</v>
      </c>
      <c r="AX18">
        <v>146452732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ROUND(Y18*Source!I67,9)</f>
        <v>0.41399999999999998</v>
      </c>
      <c r="CY18">
        <f t="shared" si="18"/>
        <v>864.09</v>
      </c>
      <c r="CZ18">
        <f t="shared" si="19"/>
        <v>65.709999999999994</v>
      </c>
      <c r="DA18">
        <f t="shared" si="20"/>
        <v>13.15</v>
      </c>
      <c r="DB18">
        <f t="shared" si="14"/>
        <v>30.23</v>
      </c>
      <c r="DC18">
        <f t="shared" si="15"/>
        <v>5.33</v>
      </c>
      <c r="DD18" t="s">
        <v>3</v>
      </c>
      <c r="DE18" t="s">
        <v>3</v>
      </c>
      <c r="DF18">
        <f t="shared" si="12"/>
        <v>0</v>
      </c>
      <c r="DG18">
        <f t="shared" si="21"/>
        <v>357.73</v>
      </c>
      <c r="DH18">
        <f t="shared" si="16"/>
        <v>202.95</v>
      </c>
      <c r="DI18">
        <f t="shared" si="17"/>
        <v>0</v>
      </c>
      <c r="DJ18">
        <f t="shared" si="22"/>
        <v>357.73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ROW(Source!A67)</f>
        <v>67</v>
      </c>
      <c r="B19">
        <v>146437721</v>
      </c>
      <c r="C19">
        <v>146439036</v>
      </c>
      <c r="D19">
        <v>140924041</v>
      </c>
      <c r="E19">
        <v>1</v>
      </c>
      <c r="F19">
        <v>1</v>
      </c>
      <c r="G19">
        <v>1</v>
      </c>
      <c r="H19">
        <v>2</v>
      </c>
      <c r="I19" t="s">
        <v>243</v>
      </c>
      <c r="J19" t="s">
        <v>244</v>
      </c>
      <c r="K19" t="s">
        <v>245</v>
      </c>
      <c r="L19">
        <v>1367</v>
      </c>
      <c r="N19">
        <v>1011</v>
      </c>
      <c r="O19" t="s">
        <v>236</v>
      </c>
      <c r="P19" t="s">
        <v>236</v>
      </c>
      <c r="Q19">
        <v>1</v>
      </c>
      <c r="W19">
        <v>0</v>
      </c>
      <c r="X19">
        <v>2077867240</v>
      </c>
      <c r="Y19">
        <f t="shared" si="13"/>
        <v>3.4212499999999992</v>
      </c>
      <c r="AA19">
        <v>0</v>
      </c>
      <c r="AB19">
        <v>15.78</v>
      </c>
      <c r="AC19">
        <v>0</v>
      </c>
      <c r="AD19">
        <v>0</v>
      </c>
      <c r="AE19">
        <v>0</v>
      </c>
      <c r="AF19">
        <v>1.2</v>
      </c>
      <c r="AG19">
        <v>0</v>
      </c>
      <c r="AH19">
        <v>0</v>
      </c>
      <c r="AI19">
        <v>1</v>
      </c>
      <c r="AJ19">
        <v>13.15</v>
      </c>
      <c r="AK19">
        <v>42.26</v>
      </c>
      <c r="AL19">
        <v>1</v>
      </c>
      <c r="AM19">
        <v>4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2.38</v>
      </c>
      <c r="AU19" t="s">
        <v>103</v>
      </c>
      <c r="AV19">
        <v>0</v>
      </c>
      <c r="AW19">
        <v>2</v>
      </c>
      <c r="AX19">
        <v>146452733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ROUND(Y19*Source!I67,9)</f>
        <v>3.0791249999999999</v>
      </c>
      <c r="CY19">
        <f t="shared" si="18"/>
        <v>15.78</v>
      </c>
      <c r="CZ19">
        <f t="shared" si="19"/>
        <v>1.2</v>
      </c>
      <c r="DA19">
        <f t="shared" si="20"/>
        <v>13.15</v>
      </c>
      <c r="DB19">
        <f t="shared" si="14"/>
        <v>4.1100000000000003</v>
      </c>
      <c r="DC19">
        <f t="shared" si="15"/>
        <v>0</v>
      </c>
      <c r="DD19" t="s">
        <v>3</v>
      </c>
      <c r="DE19" t="s">
        <v>3</v>
      </c>
      <c r="DF19">
        <f t="shared" si="12"/>
        <v>0</v>
      </c>
      <c r="DG19">
        <f t="shared" si="21"/>
        <v>48.59</v>
      </c>
      <c r="DH19">
        <f t="shared" si="16"/>
        <v>0</v>
      </c>
      <c r="DI19">
        <f t="shared" si="17"/>
        <v>0</v>
      </c>
      <c r="DJ19">
        <f t="shared" si="22"/>
        <v>48.59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ROW(Source!A67)</f>
        <v>67</v>
      </c>
      <c r="B20">
        <v>146437721</v>
      </c>
      <c r="C20">
        <v>146439036</v>
      </c>
      <c r="D20">
        <v>140924084</v>
      </c>
      <c r="E20">
        <v>1</v>
      </c>
      <c r="F20">
        <v>1</v>
      </c>
      <c r="G20">
        <v>1</v>
      </c>
      <c r="H20">
        <v>2</v>
      </c>
      <c r="I20" t="s">
        <v>277</v>
      </c>
      <c r="J20" t="s">
        <v>278</v>
      </c>
      <c r="K20" t="s">
        <v>279</v>
      </c>
      <c r="L20">
        <v>1367</v>
      </c>
      <c r="N20">
        <v>1011</v>
      </c>
      <c r="O20" t="s">
        <v>236</v>
      </c>
      <c r="P20" t="s">
        <v>236</v>
      </c>
      <c r="Q20">
        <v>1</v>
      </c>
      <c r="W20">
        <v>0</v>
      </c>
      <c r="X20">
        <v>-1866313122</v>
      </c>
      <c r="Y20">
        <f t="shared" si="13"/>
        <v>0.74749999999999994</v>
      </c>
      <c r="AA20">
        <v>0</v>
      </c>
      <c r="AB20">
        <v>161.88</v>
      </c>
      <c r="AC20">
        <v>0</v>
      </c>
      <c r="AD20">
        <v>0</v>
      </c>
      <c r="AE20">
        <v>0</v>
      </c>
      <c r="AF20">
        <v>12.31</v>
      </c>
      <c r="AG20">
        <v>0</v>
      </c>
      <c r="AH20">
        <v>0</v>
      </c>
      <c r="AI20">
        <v>1</v>
      </c>
      <c r="AJ20">
        <v>13.15</v>
      </c>
      <c r="AK20">
        <v>42.26</v>
      </c>
      <c r="AL20">
        <v>1</v>
      </c>
      <c r="AM20">
        <v>4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0.52</v>
      </c>
      <c r="AU20" t="s">
        <v>103</v>
      </c>
      <c r="AV20">
        <v>0</v>
      </c>
      <c r="AW20">
        <v>2</v>
      </c>
      <c r="AX20">
        <v>146452734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ROUND(Y20*Source!I67,9)</f>
        <v>0.67274999999999996</v>
      </c>
      <c r="CY20">
        <f t="shared" si="18"/>
        <v>161.88</v>
      </c>
      <c r="CZ20">
        <f t="shared" si="19"/>
        <v>12.31</v>
      </c>
      <c r="DA20">
        <f t="shared" si="20"/>
        <v>13.15</v>
      </c>
      <c r="DB20">
        <f t="shared" si="14"/>
        <v>9.1999999999999993</v>
      </c>
      <c r="DC20">
        <f t="shared" si="15"/>
        <v>0</v>
      </c>
      <c r="DD20" t="s">
        <v>3</v>
      </c>
      <c r="DE20" t="s">
        <v>3</v>
      </c>
      <c r="DF20">
        <f t="shared" si="12"/>
        <v>0</v>
      </c>
      <c r="DG20">
        <f t="shared" si="21"/>
        <v>108.9</v>
      </c>
      <c r="DH20">
        <f t="shared" si="16"/>
        <v>0</v>
      </c>
      <c r="DI20">
        <f t="shared" si="17"/>
        <v>0</v>
      </c>
      <c r="DJ20">
        <f t="shared" si="22"/>
        <v>108.9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ROW(Source!A67)</f>
        <v>67</v>
      </c>
      <c r="B21">
        <v>146437721</v>
      </c>
      <c r="C21">
        <v>146439036</v>
      </c>
      <c r="D21">
        <v>140771005</v>
      </c>
      <c r="E21">
        <v>1</v>
      </c>
      <c r="F21">
        <v>1</v>
      </c>
      <c r="G21">
        <v>1</v>
      </c>
      <c r="H21">
        <v>3</v>
      </c>
      <c r="I21" t="s">
        <v>252</v>
      </c>
      <c r="J21" t="s">
        <v>253</v>
      </c>
      <c r="K21" t="s">
        <v>254</v>
      </c>
      <c r="L21">
        <v>1339</v>
      </c>
      <c r="N21">
        <v>1007</v>
      </c>
      <c r="O21" t="s">
        <v>255</v>
      </c>
      <c r="P21" t="s">
        <v>255</v>
      </c>
      <c r="Q21">
        <v>1</v>
      </c>
      <c r="W21">
        <v>0</v>
      </c>
      <c r="X21">
        <v>-1761807714</v>
      </c>
      <c r="Y21">
        <f t="shared" ref="Y21:Y34" si="23">AT21</f>
        <v>1.95</v>
      </c>
      <c r="AA21">
        <v>52.12</v>
      </c>
      <c r="AB21">
        <v>0</v>
      </c>
      <c r="AC21">
        <v>0</v>
      </c>
      <c r="AD21">
        <v>0</v>
      </c>
      <c r="AE21">
        <v>6.22</v>
      </c>
      <c r="AF21">
        <v>0</v>
      </c>
      <c r="AG21">
        <v>0</v>
      </c>
      <c r="AH21">
        <v>0</v>
      </c>
      <c r="AI21">
        <v>8.3800000000000008</v>
      </c>
      <c r="AJ21">
        <v>1</v>
      </c>
      <c r="AK21">
        <v>1</v>
      </c>
      <c r="AL21">
        <v>1</v>
      </c>
      <c r="AM21">
        <v>4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1.95</v>
      </c>
      <c r="AU21" t="s">
        <v>3</v>
      </c>
      <c r="AV21">
        <v>0</v>
      </c>
      <c r="AW21">
        <v>2</v>
      </c>
      <c r="AX21">
        <v>146452735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ROUND(Y21*Source!I67,9)</f>
        <v>1.7549999999999999</v>
      </c>
      <c r="CY21">
        <f t="shared" ref="CY21:CY34" si="24">AA21</f>
        <v>52.12</v>
      </c>
      <c r="CZ21">
        <f t="shared" ref="CZ21:CZ34" si="25">AE21</f>
        <v>6.22</v>
      </c>
      <c r="DA21">
        <f t="shared" ref="DA21:DA34" si="26">AI21</f>
        <v>8.3800000000000008</v>
      </c>
      <c r="DB21">
        <f t="shared" ref="DB21:DB34" si="27">ROUND(ROUND(AT21*CZ21,2),2)</f>
        <v>12.13</v>
      </c>
      <c r="DC21">
        <f t="shared" ref="DC21:DC34" si="28">ROUND(ROUND(AT21*AG21,2),2)</f>
        <v>0</v>
      </c>
      <c r="DD21" t="s">
        <v>3</v>
      </c>
      <c r="DE21" t="s">
        <v>3</v>
      </c>
      <c r="DF21">
        <f t="shared" ref="DF21:DF34" si="29">ROUND(ROUND(AE21*AI21,2)*CX21,2)</f>
        <v>91.47</v>
      </c>
      <c r="DG21">
        <f t="shared" ref="DG21:DG36" si="30">ROUND(ROUND(AF21,2)*CX21,2)</f>
        <v>0</v>
      </c>
      <c r="DH21">
        <f t="shared" ref="DH21:DH35" si="31">ROUND(ROUND(AG21,2)*CX21,2)</f>
        <v>0</v>
      </c>
      <c r="DI21">
        <f t="shared" si="17"/>
        <v>0</v>
      </c>
      <c r="DJ21">
        <f t="shared" ref="DJ21:DJ34" si="32">DF21</f>
        <v>91.47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ROW(Source!A67)</f>
        <v>67</v>
      </c>
      <c r="B22">
        <v>146437721</v>
      </c>
      <c r="C22">
        <v>146439036</v>
      </c>
      <c r="D22">
        <v>140771011</v>
      </c>
      <c r="E22">
        <v>1</v>
      </c>
      <c r="F22">
        <v>1</v>
      </c>
      <c r="G22">
        <v>1</v>
      </c>
      <c r="H22">
        <v>3</v>
      </c>
      <c r="I22" t="s">
        <v>256</v>
      </c>
      <c r="J22" t="s">
        <v>257</v>
      </c>
      <c r="K22" t="s">
        <v>258</v>
      </c>
      <c r="L22">
        <v>1346</v>
      </c>
      <c r="N22">
        <v>1009</v>
      </c>
      <c r="O22" t="s">
        <v>259</v>
      </c>
      <c r="P22" t="s">
        <v>259</v>
      </c>
      <c r="Q22">
        <v>1</v>
      </c>
      <c r="W22">
        <v>0</v>
      </c>
      <c r="X22">
        <v>-2118006079</v>
      </c>
      <c r="Y22">
        <f t="shared" si="23"/>
        <v>0.59</v>
      </c>
      <c r="AA22">
        <v>51.03</v>
      </c>
      <c r="AB22">
        <v>0</v>
      </c>
      <c r="AC22">
        <v>0</v>
      </c>
      <c r="AD22">
        <v>0</v>
      </c>
      <c r="AE22">
        <v>6.09</v>
      </c>
      <c r="AF22">
        <v>0</v>
      </c>
      <c r="AG22">
        <v>0</v>
      </c>
      <c r="AH22">
        <v>0</v>
      </c>
      <c r="AI22">
        <v>8.3800000000000008</v>
      </c>
      <c r="AJ22">
        <v>1</v>
      </c>
      <c r="AK22">
        <v>1</v>
      </c>
      <c r="AL22">
        <v>1</v>
      </c>
      <c r="AM22">
        <v>4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0.59</v>
      </c>
      <c r="AU22" t="s">
        <v>3</v>
      </c>
      <c r="AV22">
        <v>0</v>
      </c>
      <c r="AW22">
        <v>2</v>
      </c>
      <c r="AX22">
        <v>146452736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ROUND(Y22*Source!I67,9)</f>
        <v>0.53100000000000003</v>
      </c>
      <c r="CY22">
        <f t="shared" si="24"/>
        <v>51.03</v>
      </c>
      <c r="CZ22">
        <f t="shared" si="25"/>
        <v>6.09</v>
      </c>
      <c r="DA22">
        <f t="shared" si="26"/>
        <v>8.3800000000000008</v>
      </c>
      <c r="DB22">
        <f t="shared" si="27"/>
        <v>3.59</v>
      </c>
      <c r="DC22">
        <f t="shared" si="28"/>
        <v>0</v>
      </c>
      <c r="DD22" t="s">
        <v>3</v>
      </c>
      <c r="DE22" t="s">
        <v>3</v>
      </c>
      <c r="DF22">
        <f t="shared" si="29"/>
        <v>27.1</v>
      </c>
      <c r="DG22">
        <f t="shared" si="30"/>
        <v>0</v>
      </c>
      <c r="DH22">
        <f t="shared" si="31"/>
        <v>0</v>
      </c>
      <c r="DI22">
        <f t="shared" si="17"/>
        <v>0</v>
      </c>
      <c r="DJ22">
        <f t="shared" si="32"/>
        <v>27.1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ROW(Source!A67)</f>
        <v>67</v>
      </c>
      <c r="B23">
        <v>146437721</v>
      </c>
      <c r="C23">
        <v>146439036</v>
      </c>
      <c r="D23">
        <v>140773776</v>
      </c>
      <c r="E23">
        <v>1</v>
      </c>
      <c r="F23">
        <v>1</v>
      </c>
      <c r="G23">
        <v>1</v>
      </c>
      <c r="H23">
        <v>3</v>
      </c>
      <c r="I23" t="s">
        <v>280</v>
      </c>
      <c r="J23" t="s">
        <v>281</v>
      </c>
      <c r="K23" t="s">
        <v>282</v>
      </c>
      <c r="L23">
        <v>1348</v>
      </c>
      <c r="N23">
        <v>1009</v>
      </c>
      <c r="O23" t="s">
        <v>22</v>
      </c>
      <c r="P23" t="s">
        <v>22</v>
      </c>
      <c r="Q23">
        <v>1000</v>
      </c>
      <c r="W23">
        <v>0</v>
      </c>
      <c r="X23">
        <v>1163323608</v>
      </c>
      <c r="Y23">
        <f t="shared" si="23"/>
        <v>3.0999999999999999E-3</v>
      </c>
      <c r="AA23">
        <v>86439.78</v>
      </c>
      <c r="AB23">
        <v>0</v>
      </c>
      <c r="AC23">
        <v>0</v>
      </c>
      <c r="AD23">
        <v>0</v>
      </c>
      <c r="AE23">
        <v>10315.01</v>
      </c>
      <c r="AF23">
        <v>0</v>
      </c>
      <c r="AG23">
        <v>0</v>
      </c>
      <c r="AH23">
        <v>0</v>
      </c>
      <c r="AI23">
        <v>8.3800000000000008</v>
      </c>
      <c r="AJ23">
        <v>1</v>
      </c>
      <c r="AK23">
        <v>1</v>
      </c>
      <c r="AL23">
        <v>1</v>
      </c>
      <c r="AM23">
        <v>4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3.0999999999999999E-3</v>
      </c>
      <c r="AU23" t="s">
        <v>3</v>
      </c>
      <c r="AV23">
        <v>0</v>
      </c>
      <c r="AW23">
        <v>2</v>
      </c>
      <c r="AX23">
        <v>146452737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ROUND(Y23*Source!I67,9)</f>
        <v>2.7899999999999999E-3</v>
      </c>
      <c r="CY23">
        <f t="shared" si="24"/>
        <v>86439.78</v>
      </c>
      <c r="CZ23">
        <f t="shared" si="25"/>
        <v>10315.01</v>
      </c>
      <c r="DA23">
        <f t="shared" si="26"/>
        <v>8.3800000000000008</v>
      </c>
      <c r="DB23">
        <f t="shared" si="27"/>
        <v>31.98</v>
      </c>
      <c r="DC23">
        <f t="shared" si="28"/>
        <v>0</v>
      </c>
      <c r="DD23" t="s">
        <v>3</v>
      </c>
      <c r="DE23" t="s">
        <v>3</v>
      </c>
      <c r="DF23">
        <f t="shared" si="29"/>
        <v>241.17</v>
      </c>
      <c r="DG23">
        <f t="shared" si="30"/>
        <v>0</v>
      </c>
      <c r="DH23">
        <f t="shared" si="31"/>
        <v>0</v>
      </c>
      <c r="DI23">
        <f t="shared" si="17"/>
        <v>0</v>
      </c>
      <c r="DJ23">
        <f t="shared" si="32"/>
        <v>241.17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ROW(Source!A67)</f>
        <v>67</v>
      </c>
      <c r="B24">
        <v>146437721</v>
      </c>
      <c r="C24">
        <v>146439036</v>
      </c>
      <c r="D24">
        <v>140775017</v>
      </c>
      <c r="E24">
        <v>1</v>
      </c>
      <c r="F24">
        <v>1</v>
      </c>
      <c r="G24">
        <v>1</v>
      </c>
      <c r="H24">
        <v>3</v>
      </c>
      <c r="I24" t="s">
        <v>283</v>
      </c>
      <c r="J24" t="s">
        <v>284</v>
      </c>
      <c r="K24" t="s">
        <v>285</v>
      </c>
      <c r="L24">
        <v>1346</v>
      </c>
      <c r="N24">
        <v>1009</v>
      </c>
      <c r="O24" t="s">
        <v>259</v>
      </c>
      <c r="P24" t="s">
        <v>259</v>
      </c>
      <c r="Q24">
        <v>1</v>
      </c>
      <c r="W24">
        <v>0</v>
      </c>
      <c r="X24">
        <v>-1864341761</v>
      </c>
      <c r="Y24">
        <f t="shared" si="23"/>
        <v>2.9</v>
      </c>
      <c r="AA24">
        <v>75.760000000000005</v>
      </c>
      <c r="AB24">
        <v>0</v>
      </c>
      <c r="AC24">
        <v>0</v>
      </c>
      <c r="AD24">
        <v>0</v>
      </c>
      <c r="AE24">
        <v>9.0399999999999991</v>
      </c>
      <c r="AF24">
        <v>0</v>
      </c>
      <c r="AG24">
        <v>0</v>
      </c>
      <c r="AH24">
        <v>0</v>
      </c>
      <c r="AI24">
        <v>8.3800000000000008</v>
      </c>
      <c r="AJ24">
        <v>1</v>
      </c>
      <c r="AK24">
        <v>1</v>
      </c>
      <c r="AL24">
        <v>1</v>
      </c>
      <c r="AM24">
        <v>4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2.9</v>
      </c>
      <c r="AU24" t="s">
        <v>3</v>
      </c>
      <c r="AV24">
        <v>0</v>
      </c>
      <c r="AW24">
        <v>2</v>
      </c>
      <c r="AX24">
        <v>146452738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ROUND(Y24*Source!I67,9)</f>
        <v>2.61</v>
      </c>
      <c r="CY24">
        <f t="shared" si="24"/>
        <v>75.760000000000005</v>
      </c>
      <c r="CZ24">
        <f t="shared" si="25"/>
        <v>9.0399999999999991</v>
      </c>
      <c r="DA24">
        <f t="shared" si="26"/>
        <v>8.3800000000000008</v>
      </c>
      <c r="DB24">
        <f t="shared" si="27"/>
        <v>26.22</v>
      </c>
      <c r="DC24">
        <f t="shared" si="28"/>
        <v>0</v>
      </c>
      <c r="DD24" t="s">
        <v>3</v>
      </c>
      <c r="DE24" t="s">
        <v>3</v>
      </c>
      <c r="DF24">
        <f t="shared" si="29"/>
        <v>197.73</v>
      </c>
      <c r="DG24">
        <f t="shared" si="30"/>
        <v>0</v>
      </c>
      <c r="DH24">
        <f t="shared" si="31"/>
        <v>0</v>
      </c>
      <c r="DI24">
        <f t="shared" si="17"/>
        <v>0</v>
      </c>
      <c r="DJ24">
        <f t="shared" si="32"/>
        <v>197.73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ROW(Source!A67)</f>
        <v>67</v>
      </c>
      <c r="B25">
        <v>146437721</v>
      </c>
      <c r="C25">
        <v>146439036</v>
      </c>
      <c r="D25">
        <v>140775118</v>
      </c>
      <c r="E25">
        <v>1</v>
      </c>
      <c r="F25">
        <v>1</v>
      </c>
      <c r="G25">
        <v>1</v>
      </c>
      <c r="H25">
        <v>3</v>
      </c>
      <c r="I25" t="s">
        <v>286</v>
      </c>
      <c r="J25" t="s">
        <v>287</v>
      </c>
      <c r="K25" t="s">
        <v>288</v>
      </c>
      <c r="L25">
        <v>1348</v>
      </c>
      <c r="N25">
        <v>1009</v>
      </c>
      <c r="O25" t="s">
        <v>22</v>
      </c>
      <c r="P25" t="s">
        <v>22</v>
      </c>
      <c r="Q25">
        <v>1000</v>
      </c>
      <c r="W25">
        <v>0</v>
      </c>
      <c r="X25">
        <v>-45966985</v>
      </c>
      <c r="Y25">
        <f t="shared" si="23"/>
        <v>1.0000000000000001E-5</v>
      </c>
      <c r="AA25">
        <v>100375.64</v>
      </c>
      <c r="AB25">
        <v>0</v>
      </c>
      <c r="AC25">
        <v>0</v>
      </c>
      <c r="AD25">
        <v>0</v>
      </c>
      <c r="AE25">
        <v>11978</v>
      </c>
      <c r="AF25">
        <v>0</v>
      </c>
      <c r="AG25">
        <v>0</v>
      </c>
      <c r="AH25">
        <v>0</v>
      </c>
      <c r="AI25">
        <v>8.3800000000000008</v>
      </c>
      <c r="AJ25">
        <v>1</v>
      </c>
      <c r="AK25">
        <v>1</v>
      </c>
      <c r="AL25">
        <v>1</v>
      </c>
      <c r="AM25">
        <v>4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1.0000000000000001E-5</v>
      </c>
      <c r="AU25" t="s">
        <v>3</v>
      </c>
      <c r="AV25">
        <v>0</v>
      </c>
      <c r="AW25">
        <v>2</v>
      </c>
      <c r="AX25">
        <v>146452739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ROUND(Y25*Source!I67,9)</f>
        <v>9.0000000000000002E-6</v>
      </c>
      <c r="CY25">
        <f t="shared" si="24"/>
        <v>100375.64</v>
      </c>
      <c r="CZ25">
        <f t="shared" si="25"/>
        <v>11978</v>
      </c>
      <c r="DA25">
        <f t="shared" si="26"/>
        <v>8.3800000000000008</v>
      </c>
      <c r="DB25">
        <f t="shared" si="27"/>
        <v>0.12</v>
      </c>
      <c r="DC25">
        <f t="shared" si="28"/>
        <v>0</v>
      </c>
      <c r="DD25" t="s">
        <v>3</v>
      </c>
      <c r="DE25" t="s">
        <v>3</v>
      </c>
      <c r="DF25">
        <f t="shared" si="29"/>
        <v>0.9</v>
      </c>
      <c r="DG25">
        <f t="shared" si="30"/>
        <v>0</v>
      </c>
      <c r="DH25">
        <f t="shared" si="31"/>
        <v>0</v>
      </c>
      <c r="DI25">
        <f t="shared" si="17"/>
        <v>0</v>
      </c>
      <c r="DJ25">
        <f t="shared" si="32"/>
        <v>0.9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ROW(Source!A67)</f>
        <v>67</v>
      </c>
      <c r="B26">
        <v>146437721</v>
      </c>
      <c r="C26">
        <v>146439036</v>
      </c>
      <c r="D26">
        <v>140776229</v>
      </c>
      <c r="E26">
        <v>1</v>
      </c>
      <c r="F26">
        <v>1</v>
      </c>
      <c r="G26">
        <v>1</v>
      </c>
      <c r="H26">
        <v>3</v>
      </c>
      <c r="I26" t="s">
        <v>289</v>
      </c>
      <c r="J26" t="s">
        <v>290</v>
      </c>
      <c r="K26" t="s">
        <v>291</v>
      </c>
      <c r="L26">
        <v>1348</v>
      </c>
      <c r="N26">
        <v>1009</v>
      </c>
      <c r="O26" t="s">
        <v>22</v>
      </c>
      <c r="P26" t="s">
        <v>22</v>
      </c>
      <c r="Q26">
        <v>1000</v>
      </c>
      <c r="W26">
        <v>0</v>
      </c>
      <c r="X26">
        <v>-1671348935</v>
      </c>
      <c r="Y26">
        <f t="shared" si="23"/>
        <v>1E-4</v>
      </c>
      <c r="AA26">
        <v>317602</v>
      </c>
      <c r="AB26">
        <v>0</v>
      </c>
      <c r="AC26">
        <v>0</v>
      </c>
      <c r="AD26">
        <v>0</v>
      </c>
      <c r="AE26">
        <v>37900</v>
      </c>
      <c r="AF26">
        <v>0</v>
      </c>
      <c r="AG26">
        <v>0</v>
      </c>
      <c r="AH26">
        <v>0</v>
      </c>
      <c r="AI26">
        <v>8.3800000000000008</v>
      </c>
      <c r="AJ26">
        <v>1</v>
      </c>
      <c r="AK26">
        <v>1</v>
      </c>
      <c r="AL26">
        <v>1</v>
      </c>
      <c r="AM26">
        <v>4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1E-4</v>
      </c>
      <c r="AU26" t="s">
        <v>3</v>
      </c>
      <c r="AV26">
        <v>0</v>
      </c>
      <c r="AW26">
        <v>2</v>
      </c>
      <c r="AX26">
        <v>146452740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ROUND(Y26*Source!I67,9)</f>
        <v>9.0000000000000006E-5</v>
      </c>
      <c r="CY26">
        <f t="shared" si="24"/>
        <v>317602</v>
      </c>
      <c r="CZ26">
        <f t="shared" si="25"/>
        <v>37900</v>
      </c>
      <c r="DA26">
        <f t="shared" si="26"/>
        <v>8.3800000000000008</v>
      </c>
      <c r="DB26">
        <f t="shared" si="27"/>
        <v>3.79</v>
      </c>
      <c r="DC26">
        <f t="shared" si="28"/>
        <v>0</v>
      </c>
      <c r="DD26" t="s">
        <v>3</v>
      </c>
      <c r="DE26" t="s">
        <v>3</v>
      </c>
      <c r="DF26">
        <f t="shared" si="29"/>
        <v>28.58</v>
      </c>
      <c r="DG26">
        <f t="shared" si="30"/>
        <v>0</v>
      </c>
      <c r="DH26">
        <f t="shared" si="31"/>
        <v>0</v>
      </c>
      <c r="DI26">
        <f t="shared" si="17"/>
        <v>0</v>
      </c>
      <c r="DJ26">
        <f t="shared" si="32"/>
        <v>28.58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ROW(Source!A67)</f>
        <v>67</v>
      </c>
      <c r="B27">
        <v>146437721</v>
      </c>
      <c r="C27">
        <v>146439036</v>
      </c>
      <c r="D27">
        <v>140762020</v>
      </c>
      <c r="E27">
        <v>70</v>
      </c>
      <c r="F27">
        <v>1</v>
      </c>
      <c r="G27">
        <v>1</v>
      </c>
      <c r="H27">
        <v>3</v>
      </c>
      <c r="I27" t="s">
        <v>292</v>
      </c>
      <c r="J27" t="s">
        <v>3</v>
      </c>
      <c r="K27" t="s">
        <v>293</v>
      </c>
      <c r="L27">
        <v>1348</v>
      </c>
      <c r="N27">
        <v>1009</v>
      </c>
      <c r="O27" t="s">
        <v>22</v>
      </c>
      <c r="P27" t="s">
        <v>22</v>
      </c>
      <c r="Q27">
        <v>1000</v>
      </c>
      <c r="W27">
        <v>0</v>
      </c>
      <c r="X27">
        <v>-1422279583</v>
      </c>
      <c r="Y27">
        <f t="shared" si="23"/>
        <v>1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8.3800000000000008</v>
      </c>
      <c r="AJ27">
        <v>1</v>
      </c>
      <c r="AK27">
        <v>1</v>
      </c>
      <c r="AL27">
        <v>1</v>
      </c>
      <c r="AM27">
        <v>4</v>
      </c>
      <c r="AN27">
        <v>0</v>
      </c>
      <c r="AO27">
        <v>0</v>
      </c>
      <c r="AP27">
        <v>1</v>
      </c>
      <c r="AQ27">
        <v>0</v>
      </c>
      <c r="AR27">
        <v>0</v>
      </c>
      <c r="AS27" t="s">
        <v>3</v>
      </c>
      <c r="AT27">
        <v>1</v>
      </c>
      <c r="AU27" t="s">
        <v>3</v>
      </c>
      <c r="AV27">
        <v>0</v>
      </c>
      <c r="AW27">
        <v>2</v>
      </c>
      <c r="AX27">
        <v>146452741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ROUND(Y27*Source!I67,9)</f>
        <v>0.9</v>
      </c>
      <c r="CY27">
        <f t="shared" si="24"/>
        <v>0</v>
      </c>
      <c r="CZ27">
        <f t="shared" si="25"/>
        <v>0</v>
      </c>
      <c r="DA27">
        <f t="shared" si="26"/>
        <v>8.3800000000000008</v>
      </c>
      <c r="DB27">
        <f t="shared" si="27"/>
        <v>0</v>
      </c>
      <c r="DC27">
        <f t="shared" si="28"/>
        <v>0</v>
      </c>
      <c r="DD27" t="s">
        <v>3</v>
      </c>
      <c r="DE27" t="s">
        <v>3</v>
      </c>
      <c r="DF27">
        <f t="shared" si="29"/>
        <v>0</v>
      </c>
      <c r="DG27">
        <f t="shared" si="30"/>
        <v>0</v>
      </c>
      <c r="DH27">
        <f t="shared" si="31"/>
        <v>0</v>
      </c>
      <c r="DI27">
        <f t="shared" si="17"/>
        <v>0</v>
      </c>
      <c r="DJ27">
        <f t="shared" si="32"/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ROW(Source!A67)</f>
        <v>67</v>
      </c>
      <c r="B28">
        <v>146437721</v>
      </c>
      <c r="C28">
        <v>146439036</v>
      </c>
      <c r="D28">
        <v>140789856</v>
      </c>
      <c r="E28">
        <v>1</v>
      </c>
      <c r="F28">
        <v>1</v>
      </c>
      <c r="G28">
        <v>1</v>
      </c>
      <c r="H28">
        <v>3</v>
      </c>
      <c r="I28" t="s">
        <v>294</v>
      </c>
      <c r="J28" t="s">
        <v>295</v>
      </c>
      <c r="K28" t="s">
        <v>296</v>
      </c>
      <c r="L28">
        <v>1348</v>
      </c>
      <c r="N28">
        <v>1009</v>
      </c>
      <c r="O28" t="s">
        <v>22</v>
      </c>
      <c r="P28" t="s">
        <v>22</v>
      </c>
      <c r="Q28">
        <v>1000</v>
      </c>
      <c r="W28">
        <v>0</v>
      </c>
      <c r="X28">
        <v>-1915778085</v>
      </c>
      <c r="Y28">
        <f t="shared" si="23"/>
        <v>1E-4</v>
      </c>
      <c r="AA28">
        <v>64626.559999999998</v>
      </c>
      <c r="AB28">
        <v>0</v>
      </c>
      <c r="AC28">
        <v>0</v>
      </c>
      <c r="AD28">
        <v>0</v>
      </c>
      <c r="AE28">
        <v>7712</v>
      </c>
      <c r="AF28">
        <v>0</v>
      </c>
      <c r="AG28">
        <v>0</v>
      </c>
      <c r="AH28">
        <v>0</v>
      </c>
      <c r="AI28">
        <v>8.3800000000000008</v>
      </c>
      <c r="AJ28">
        <v>1</v>
      </c>
      <c r="AK28">
        <v>1</v>
      </c>
      <c r="AL28">
        <v>1</v>
      </c>
      <c r="AM28">
        <v>4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1E-4</v>
      </c>
      <c r="AU28" t="s">
        <v>3</v>
      </c>
      <c r="AV28">
        <v>0</v>
      </c>
      <c r="AW28">
        <v>2</v>
      </c>
      <c r="AX28">
        <v>146452742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ROUND(Y28*Source!I67,9)</f>
        <v>9.0000000000000006E-5</v>
      </c>
      <c r="CY28">
        <f t="shared" si="24"/>
        <v>64626.559999999998</v>
      </c>
      <c r="CZ28">
        <f t="shared" si="25"/>
        <v>7712</v>
      </c>
      <c r="DA28">
        <f t="shared" si="26"/>
        <v>8.3800000000000008</v>
      </c>
      <c r="DB28">
        <f t="shared" si="27"/>
        <v>0.77</v>
      </c>
      <c r="DC28">
        <f t="shared" si="28"/>
        <v>0</v>
      </c>
      <c r="DD28" t="s">
        <v>3</v>
      </c>
      <c r="DE28" t="s">
        <v>3</v>
      </c>
      <c r="DF28">
        <f t="shared" si="29"/>
        <v>5.82</v>
      </c>
      <c r="DG28">
        <f t="shared" si="30"/>
        <v>0</v>
      </c>
      <c r="DH28">
        <f t="shared" si="31"/>
        <v>0</v>
      </c>
      <c r="DI28">
        <f t="shared" si="17"/>
        <v>0</v>
      </c>
      <c r="DJ28">
        <f t="shared" si="32"/>
        <v>5.82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ROW(Source!A67)</f>
        <v>67</v>
      </c>
      <c r="B29">
        <v>146437721</v>
      </c>
      <c r="C29">
        <v>146439036</v>
      </c>
      <c r="D29">
        <v>140791984</v>
      </c>
      <c r="E29">
        <v>1</v>
      </c>
      <c r="F29">
        <v>1</v>
      </c>
      <c r="G29">
        <v>1</v>
      </c>
      <c r="H29">
        <v>3</v>
      </c>
      <c r="I29" t="s">
        <v>297</v>
      </c>
      <c r="J29" t="s">
        <v>298</v>
      </c>
      <c r="K29" t="s">
        <v>299</v>
      </c>
      <c r="L29">
        <v>1302</v>
      </c>
      <c r="N29">
        <v>1003</v>
      </c>
      <c r="O29" t="s">
        <v>300</v>
      </c>
      <c r="P29" t="s">
        <v>300</v>
      </c>
      <c r="Q29">
        <v>10</v>
      </c>
      <c r="W29">
        <v>0</v>
      </c>
      <c r="X29">
        <v>581091037</v>
      </c>
      <c r="Y29">
        <f t="shared" si="23"/>
        <v>1.8700000000000001E-2</v>
      </c>
      <c r="AA29">
        <v>421.01</v>
      </c>
      <c r="AB29">
        <v>0</v>
      </c>
      <c r="AC29">
        <v>0</v>
      </c>
      <c r="AD29">
        <v>0</v>
      </c>
      <c r="AE29">
        <v>50.24</v>
      </c>
      <c r="AF29">
        <v>0</v>
      </c>
      <c r="AG29">
        <v>0</v>
      </c>
      <c r="AH29">
        <v>0</v>
      </c>
      <c r="AI29">
        <v>8.3800000000000008</v>
      </c>
      <c r="AJ29">
        <v>1</v>
      </c>
      <c r="AK29">
        <v>1</v>
      </c>
      <c r="AL29">
        <v>1</v>
      </c>
      <c r="AM29">
        <v>4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1.8700000000000001E-2</v>
      </c>
      <c r="AU29" t="s">
        <v>3</v>
      </c>
      <c r="AV29">
        <v>0</v>
      </c>
      <c r="AW29">
        <v>2</v>
      </c>
      <c r="AX29">
        <v>146452743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ROUND(Y29*Source!I67,9)</f>
        <v>1.6830000000000001E-2</v>
      </c>
      <c r="CY29">
        <f t="shared" si="24"/>
        <v>421.01</v>
      </c>
      <c r="CZ29">
        <f t="shared" si="25"/>
        <v>50.24</v>
      </c>
      <c r="DA29">
        <f t="shared" si="26"/>
        <v>8.3800000000000008</v>
      </c>
      <c r="DB29">
        <f t="shared" si="27"/>
        <v>0.94</v>
      </c>
      <c r="DC29">
        <f t="shared" si="28"/>
        <v>0</v>
      </c>
      <c r="DD29" t="s">
        <v>3</v>
      </c>
      <c r="DE29" t="s">
        <v>3</v>
      </c>
      <c r="DF29">
        <f t="shared" si="29"/>
        <v>7.09</v>
      </c>
      <c r="DG29">
        <f t="shared" si="30"/>
        <v>0</v>
      </c>
      <c r="DH29">
        <f t="shared" si="31"/>
        <v>0</v>
      </c>
      <c r="DI29">
        <f t="shared" si="17"/>
        <v>0</v>
      </c>
      <c r="DJ29">
        <f t="shared" si="32"/>
        <v>7.09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ROW(Source!A67)</f>
        <v>67</v>
      </c>
      <c r="B30">
        <v>146437721</v>
      </c>
      <c r="C30">
        <v>146439036</v>
      </c>
      <c r="D30">
        <v>140792339</v>
      </c>
      <c r="E30">
        <v>1</v>
      </c>
      <c r="F30">
        <v>1</v>
      </c>
      <c r="G30">
        <v>1</v>
      </c>
      <c r="H30">
        <v>3</v>
      </c>
      <c r="I30" t="s">
        <v>301</v>
      </c>
      <c r="J30" t="s">
        <v>302</v>
      </c>
      <c r="K30" t="s">
        <v>303</v>
      </c>
      <c r="L30">
        <v>1348</v>
      </c>
      <c r="N30">
        <v>1009</v>
      </c>
      <c r="O30" t="s">
        <v>22</v>
      </c>
      <c r="P30" t="s">
        <v>22</v>
      </c>
      <c r="Q30">
        <v>1000</v>
      </c>
      <c r="W30">
        <v>0</v>
      </c>
      <c r="X30">
        <v>-120483918</v>
      </c>
      <c r="Y30">
        <f t="shared" si="23"/>
        <v>3.0000000000000001E-5</v>
      </c>
      <c r="AA30">
        <v>37334.58</v>
      </c>
      <c r="AB30">
        <v>0</v>
      </c>
      <c r="AC30">
        <v>0</v>
      </c>
      <c r="AD30">
        <v>0</v>
      </c>
      <c r="AE30">
        <v>4455.2</v>
      </c>
      <c r="AF30">
        <v>0</v>
      </c>
      <c r="AG30">
        <v>0</v>
      </c>
      <c r="AH30">
        <v>0</v>
      </c>
      <c r="AI30">
        <v>8.3800000000000008</v>
      </c>
      <c r="AJ30">
        <v>1</v>
      </c>
      <c r="AK30">
        <v>1</v>
      </c>
      <c r="AL30">
        <v>1</v>
      </c>
      <c r="AM30">
        <v>4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3.0000000000000001E-5</v>
      </c>
      <c r="AU30" t="s">
        <v>3</v>
      </c>
      <c r="AV30">
        <v>0</v>
      </c>
      <c r="AW30">
        <v>2</v>
      </c>
      <c r="AX30">
        <v>146452744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ROUND(Y30*Source!I67,9)</f>
        <v>2.6999999999999999E-5</v>
      </c>
      <c r="CY30">
        <f t="shared" si="24"/>
        <v>37334.58</v>
      </c>
      <c r="CZ30">
        <f t="shared" si="25"/>
        <v>4455.2</v>
      </c>
      <c r="DA30">
        <f t="shared" si="26"/>
        <v>8.3800000000000008</v>
      </c>
      <c r="DB30">
        <f t="shared" si="27"/>
        <v>0.13</v>
      </c>
      <c r="DC30">
        <f t="shared" si="28"/>
        <v>0</v>
      </c>
      <c r="DD30" t="s">
        <v>3</v>
      </c>
      <c r="DE30" t="s">
        <v>3</v>
      </c>
      <c r="DF30">
        <f t="shared" si="29"/>
        <v>1.01</v>
      </c>
      <c r="DG30">
        <f t="shared" si="30"/>
        <v>0</v>
      </c>
      <c r="DH30">
        <f t="shared" si="31"/>
        <v>0</v>
      </c>
      <c r="DI30">
        <f t="shared" si="17"/>
        <v>0</v>
      </c>
      <c r="DJ30">
        <f t="shared" si="32"/>
        <v>1.01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ROW(Source!A67)</f>
        <v>67</v>
      </c>
      <c r="B31">
        <v>146437721</v>
      </c>
      <c r="C31">
        <v>146439036</v>
      </c>
      <c r="D31">
        <v>140793072</v>
      </c>
      <c r="E31">
        <v>1</v>
      </c>
      <c r="F31">
        <v>1</v>
      </c>
      <c r="G31">
        <v>1</v>
      </c>
      <c r="H31">
        <v>3</v>
      </c>
      <c r="I31" t="s">
        <v>304</v>
      </c>
      <c r="J31" t="s">
        <v>305</v>
      </c>
      <c r="K31" t="s">
        <v>306</v>
      </c>
      <c r="L31">
        <v>1348</v>
      </c>
      <c r="N31">
        <v>1009</v>
      </c>
      <c r="O31" t="s">
        <v>22</v>
      </c>
      <c r="P31" t="s">
        <v>22</v>
      </c>
      <c r="Q31">
        <v>1000</v>
      </c>
      <c r="W31">
        <v>0</v>
      </c>
      <c r="X31">
        <v>834877976</v>
      </c>
      <c r="Y31">
        <f t="shared" si="23"/>
        <v>1.9400000000000001E-3</v>
      </c>
      <c r="AA31">
        <v>41229.599999999999</v>
      </c>
      <c r="AB31">
        <v>0</v>
      </c>
      <c r="AC31">
        <v>0</v>
      </c>
      <c r="AD31">
        <v>0</v>
      </c>
      <c r="AE31">
        <v>4920</v>
      </c>
      <c r="AF31">
        <v>0</v>
      </c>
      <c r="AG31">
        <v>0</v>
      </c>
      <c r="AH31">
        <v>0</v>
      </c>
      <c r="AI31">
        <v>8.3800000000000008</v>
      </c>
      <c r="AJ31">
        <v>1</v>
      </c>
      <c r="AK31">
        <v>1</v>
      </c>
      <c r="AL31">
        <v>1</v>
      </c>
      <c r="AM31">
        <v>4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1.9400000000000001E-3</v>
      </c>
      <c r="AU31" t="s">
        <v>3</v>
      </c>
      <c r="AV31">
        <v>0</v>
      </c>
      <c r="AW31">
        <v>2</v>
      </c>
      <c r="AX31">
        <v>146452745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ROUND(Y31*Source!I67,9)</f>
        <v>1.7459999999999999E-3</v>
      </c>
      <c r="CY31">
        <f t="shared" si="24"/>
        <v>41229.599999999999</v>
      </c>
      <c r="CZ31">
        <f t="shared" si="25"/>
        <v>4920</v>
      </c>
      <c r="DA31">
        <f t="shared" si="26"/>
        <v>8.3800000000000008</v>
      </c>
      <c r="DB31">
        <f t="shared" si="27"/>
        <v>9.5399999999999991</v>
      </c>
      <c r="DC31">
        <f t="shared" si="28"/>
        <v>0</v>
      </c>
      <c r="DD31" t="s">
        <v>3</v>
      </c>
      <c r="DE31" t="s">
        <v>3</v>
      </c>
      <c r="DF31">
        <f t="shared" si="29"/>
        <v>71.989999999999995</v>
      </c>
      <c r="DG31">
        <f t="shared" si="30"/>
        <v>0</v>
      </c>
      <c r="DH31">
        <f t="shared" si="31"/>
        <v>0</v>
      </c>
      <c r="DI31">
        <f t="shared" si="17"/>
        <v>0</v>
      </c>
      <c r="DJ31">
        <f t="shared" si="32"/>
        <v>71.989999999999995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ROW(Source!A67)</f>
        <v>67</v>
      </c>
      <c r="B32">
        <v>146437721</v>
      </c>
      <c r="C32">
        <v>146439036</v>
      </c>
      <c r="D32">
        <v>140796351</v>
      </c>
      <c r="E32">
        <v>1</v>
      </c>
      <c r="F32">
        <v>1</v>
      </c>
      <c r="G32">
        <v>1</v>
      </c>
      <c r="H32">
        <v>3</v>
      </c>
      <c r="I32" t="s">
        <v>307</v>
      </c>
      <c r="J32" t="s">
        <v>308</v>
      </c>
      <c r="K32" t="s">
        <v>309</v>
      </c>
      <c r="L32">
        <v>1339</v>
      </c>
      <c r="N32">
        <v>1007</v>
      </c>
      <c r="O32" t="s">
        <v>255</v>
      </c>
      <c r="P32" t="s">
        <v>255</v>
      </c>
      <c r="Q32">
        <v>1</v>
      </c>
      <c r="W32">
        <v>0</v>
      </c>
      <c r="X32">
        <v>1758287014</v>
      </c>
      <c r="Y32">
        <f t="shared" si="23"/>
        <v>1.0300000000000001E-3</v>
      </c>
      <c r="AA32">
        <v>14246</v>
      </c>
      <c r="AB32">
        <v>0</v>
      </c>
      <c r="AC32">
        <v>0</v>
      </c>
      <c r="AD32">
        <v>0</v>
      </c>
      <c r="AE32">
        <v>1700</v>
      </c>
      <c r="AF32">
        <v>0</v>
      </c>
      <c r="AG32">
        <v>0</v>
      </c>
      <c r="AH32">
        <v>0</v>
      </c>
      <c r="AI32">
        <v>8.3800000000000008</v>
      </c>
      <c r="AJ32">
        <v>1</v>
      </c>
      <c r="AK32">
        <v>1</v>
      </c>
      <c r="AL32">
        <v>1</v>
      </c>
      <c r="AM32">
        <v>4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1.0300000000000001E-3</v>
      </c>
      <c r="AU32" t="s">
        <v>3</v>
      </c>
      <c r="AV32">
        <v>0</v>
      </c>
      <c r="AW32">
        <v>2</v>
      </c>
      <c r="AX32">
        <v>146452746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ROUND(Y32*Source!I67,9)</f>
        <v>9.2699999999999998E-4</v>
      </c>
      <c r="CY32">
        <f t="shared" si="24"/>
        <v>14246</v>
      </c>
      <c r="CZ32">
        <f t="shared" si="25"/>
        <v>1700</v>
      </c>
      <c r="DA32">
        <f t="shared" si="26"/>
        <v>8.3800000000000008</v>
      </c>
      <c r="DB32">
        <f t="shared" si="27"/>
        <v>1.75</v>
      </c>
      <c r="DC32">
        <f t="shared" si="28"/>
        <v>0</v>
      </c>
      <c r="DD32" t="s">
        <v>3</v>
      </c>
      <c r="DE32" t="s">
        <v>3</v>
      </c>
      <c r="DF32">
        <f t="shared" si="29"/>
        <v>13.21</v>
      </c>
      <c r="DG32">
        <f t="shared" si="30"/>
        <v>0</v>
      </c>
      <c r="DH32">
        <f t="shared" si="31"/>
        <v>0</v>
      </c>
      <c r="DI32">
        <f t="shared" si="17"/>
        <v>0</v>
      </c>
      <c r="DJ32">
        <f t="shared" si="32"/>
        <v>13.21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ROW(Source!A67)</f>
        <v>67</v>
      </c>
      <c r="B33">
        <v>146437721</v>
      </c>
      <c r="C33">
        <v>146439036</v>
      </c>
      <c r="D33">
        <v>140804058</v>
      </c>
      <c r="E33">
        <v>1</v>
      </c>
      <c r="F33">
        <v>1</v>
      </c>
      <c r="G33">
        <v>1</v>
      </c>
      <c r="H33">
        <v>3</v>
      </c>
      <c r="I33" t="s">
        <v>310</v>
      </c>
      <c r="J33" t="s">
        <v>311</v>
      </c>
      <c r="K33" t="s">
        <v>312</v>
      </c>
      <c r="L33">
        <v>1348</v>
      </c>
      <c r="N33">
        <v>1009</v>
      </c>
      <c r="O33" t="s">
        <v>22</v>
      </c>
      <c r="P33" t="s">
        <v>22</v>
      </c>
      <c r="Q33">
        <v>1000</v>
      </c>
      <c r="W33">
        <v>0</v>
      </c>
      <c r="X33">
        <v>264248573</v>
      </c>
      <c r="Y33">
        <f t="shared" si="23"/>
        <v>3.1E-4</v>
      </c>
      <c r="AA33">
        <v>130895.6</v>
      </c>
      <c r="AB33">
        <v>0</v>
      </c>
      <c r="AC33">
        <v>0</v>
      </c>
      <c r="AD33">
        <v>0</v>
      </c>
      <c r="AE33">
        <v>15620</v>
      </c>
      <c r="AF33">
        <v>0</v>
      </c>
      <c r="AG33">
        <v>0</v>
      </c>
      <c r="AH33">
        <v>0</v>
      </c>
      <c r="AI33">
        <v>8.3800000000000008</v>
      </c>
      <c r="AJ33">
        <v>1</v>
      </c>
      <c r="AK33">
        <v>1</v>
      </c>
      <c r="AL33">
        <v>1</v>
      </c>
      <c r="AM33">
        <v>4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3.1E-4</v>
      </c>
      <c r="AU33" t="s">
        <v>3</v>
      </c>
      <c r="AV33">
        <v>0</v>
      </c>
      <c r="AW33">
        <v>2</v>
      </c>
      <c r="AX33">
        <v>146452747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ROUND(Y33*Source!I67,9)</f>
        <v>2.7900000000000001E-4</v>
      </c>
      <c r="CY33">
        <f t="shared" si="24"/>
        <v>130895.6</v>
      </c>
      <c r="CZ33">
        <f t="shared" si="25"/>
        <v>15620</v>
      </c>
      <c r="DA33">
        <f t="shared" si="26"/>
        <v>8.3800000000000008</v>
      </c>
      <c r="DB33">
        <f t="shared" si="27"/>
        <v>4.84</v>
      </c>
      <c r="DC33">
        <f t="shared" si="28"/>
        <v>0</v>
      </c>
      <c r="DD33" t="s">
        <v>3</v>
      </c>
      <c r="DE33" t="s">
        <v>3</v>
      </c>
      <c r="DF33">
        <f t="shared" si="29"/>
        <v>36.520000000000003</v>
      </c>
      <c r="DG33">
        <f t="shared" si="30"/>
        <v>0</v>
      </c>
      <c r="DH33">
        <f t="shared" si="31"/>
        <v>0</v>
      </c>
      <c r="DI33">
        <f t="shared" si="17"/>
        <v>0</v>
      </c>
      <c r="DJ33">
        <f t="shared" si="32"/>
        <v>36.520000000000003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ROW(Source!A67)</f>
        <v>67</v>
      </c>
      <c r="B34">
        <v>146437721</v>
      </c>
      <c r="C34">
        <v>146439036</v>
      </c>
      <c r="D34">
        <v>140805182</v>
      </c>
      <c r="E34">
        <v>1</v>
      </c>
      <c r="F34">
        <v>1</v>
      </c>
      <c r="G34">
        <v>1</v>
      </c>
      <c r="H34">
        <v>3</v>
      </c>
      <c r="I34" t="s">
        <v>313</v>
      </c>
      <c r="J34" t="s">
        <v>314</v>
      </c>
      <c r="K34" t="s">
        <v>315</v>
      </c>
      <c r="L34">
        <v>1346</v>
      </c>
      <c r="N34">
        <v>1009</v>
      </c>
      <c r="O34" t="s">
        <v>259</v>
      </c>
      <c r="P34" t="s">
        <v>259</v>
      </c>
      <c r="Q34">
        <v>1</v>
      </c>
      <c r="W34">
        <v>0</v>
      </c>
      <c r="X34">
        <v>-1449230318</v>
      </c>
      <c r="Y34">
        <f t="shared" si="23"/>
        <v>0.6</v>
      </c>
      <c r="AA34">
        <v>78.94</v>
      </c>
      <c r="AB34">
        <v>0</v>
      </c>
      <c r="AC34">
        <v>0</v>
      </c>
      <c r="AD34">
        <v>0</v>
      </c>
      <c r="AE34">
        <v>9.42</v>
      </c>
      <c r="AF34">
        <v>0</v>
      </c>
      <c r="AG34">
        <v>0</v>
      </c>
      <c r="AH34">
        <v>0</v>
      </c>
      <c r="AI34">
        <v>8.3800000000000008</v>
      </c>
      <c r="AJ34">
        <v>1</v>
      </c>
      <c r="AK34">
        <v>1</v>
      </c>
      <c r="AL34">
        <v>1</v>
      </c>
      <c r="AM34">
        <v>4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0.6</v>
      </c>
      <c r="AU34" t="s">
        <v>3</v>
      </c>
      <c r="AV34">
        <v>0</v>
      </c>
      <c r="AW34">
        <v>2</v>
      </c>
      <c r="AX34">
        <v>146452748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ROUND(Y34*Source!I67,9)</f>
        <v>0.54</v>
      </c>
      <c r="CY34">
        <f t="shared" si="24"/>
        <v>78.94</v>
      </c>
      <c r="CZ34">
        <f t="shared" si="25"/>
        <v>9.42</v>
      </c>
      <c r="DA34">
        <f t="shared" si="26"/>
        <v>8.3800000000000008</v>
      </c>
      <c r="DB34">
        <f t="shared" si="27"/>
        <v>5.65</v>
      </c>
      <c r="DC34">
        <f t="shared" si="28"/>
        <v>0</v>
      </c>
      <c r="DD34" t="s">
        <v>3</v>
      </c>
      <c r="DE34" t="s">
        <v>3</v>
      </c>
      <c r="DF34">
        <f t="shared" si="29"/>
        <v>42.63</v>
      </c>
      <c r="DG34">
        <f t="shared" si="30"/>
        <v>0</v>
      </c>
      <c r="DH34">
        <f t="shared" si="31"/>
        <v>0</v>
      </c>
      <c r="DI34">
        <f t="shared" si="17"/>
        <v>0</v>
      </c>
      <c r="DJ34">
        <f t="shared" si="32"/>
        <v>42.63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ROW(Source!A68)</f>
        <v>68</v>
      </c>
      <c r="B35">
        <v>146437721</v>
      </c>
      <c r="C35">
        <v>146439129</v>
      </c>
      <c r="D35">
        <v>140759982</v>
      </c>
      <c r="E35">
        <v>70</v>
      </c>
      <c r="F35">
        <v>1</v>
      </c>
      <c r="G35">
        <v>1</v>
      </c>
      <c r="H35">
        <v>1</v>
      </c>
      <c r="I35" t="s">
        <v>316</v>
      </c>
      <c r="J35" t="s">
        <v>3</v>
      </c>
      <c r="K35" t="s">
        <v>317</v>
      </c>
      <c r="L35">
        <v>1191</v>
      </c>
      <c r="N35">
        <v>1013</v>
      </c>
      <c r="O35" t="s">
        <v>230</v>
      </c>
      <c r="P35" t="s">
        <v>230</v>
      </c>
      <c r="Q35">
        <v>1</v>
      </c>
      <c r="W35">
        <v>0</v>
      </c>
      <c r="X35">
        <v>-983457869</v>
      </c>
      <c r="Y35">
        <f>((AT35*2)*1.15)</f>
        <v>48.3</v>
      </c>
      <c r="AA35">
        <v>0</v>
      </c>
      <c r="AB35">
        <v>0</v>
      </c>
      <c r="AC35">
        <v>0</v>
      </c>
      <c r="AD35">
        <v>365.13</v>
      </c>
      <c r="AE35">
        <v>0</v>
      </c>
      <c r="AF35">
        <v>0</v>
      </c>
      <c r="AG35">
        <v>0</v>
      </c>
      <c r="AH35">
        <v>8.64</v>
      </c>
      <c r="AI35">
        <v>1</v>
      </c>
      <c r="AJ35">
        <v>1</v>
      </c>
      <c r="AK35">
        <v>1</v>
      </c>
      <c r="AL35">
        <v>42.26</v>
      </c>
      <c r="AM35">
        <v>4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21</v>
      </c>
      <c r="AU35" t="s">
        <v>118</v>
      </c>
      <c r="AV35">
        <v>1</v>
      </c>
      <c r="AW35">
        <v>2</v>
      </c>
      <c r="AX35">
        <v>146439130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ROUND(Y35*Source!I68,9)</f>
        <v>4.3470000000000004</v>
      </c>
      <c r="CY35">
        <f>AD35</f>
        <v>365.13</v>
      </c>
      <c r="CZ35">
        <f>AH35</f>
        <v>8.64</v>
      </c>
      <c r="DA35">
        <f>AL35</f>
        <v>42.26</v>
      </c>
      <c r="DB35">
        <f>ROUND(((ROUND(AT35*CZ35,2)*2)*1.15),2)</f>
        <v>417.31</v>
      </c>
      <c r="DC35">
        <f>ROUND(((ROUND(AT35*AG35,2)*2)*1.15),2)</f>
        <v>0</v>
      </c>
      <c r="DD35" t="s">
        <v>3</v>
      </c>
      <c r="DE35" t="s">
        <v>3</v>
      </c>
      <c r="DF35">
        <f>ROUND(ROUND(AE35,2)*CX35,2)</f>
        <v>0</v>
      </c>
      <c r="DG35">
        <f t="shared" si="30"/>
        <v>0</v>
      </c>
      <c r="DH35">
        <f t="shared" si="31"/>
        <v>0</v>
      </c>
      <c r="DI35">
        <f>ROUND(ROUND(AH35*AL35,2)*CX35,2)</f>
        <v>1587.22</v>
      </c>
      <c r="DJ35">
        <f>DI35</f>
        <v>1587.22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ROW(Source!A68)</f>
        <v>68</v>
      </c>
      <c r="B36">
        <v>146437721</v>
      </c>
      <c r="C36">
        <v>146439129</v>
      </c>
      <c r="D36">
        <v>140760225</v>
      </c>
      <c r="E36">
        <v>70</v>
      </c>
      <c r="F36">
        <v>1</v>
      </c>
      <c r="G36">
        <v>1</v>
      </c>
      <c r="H36">
        <v>1</v>
      </c>
      <c r="I36" t="s">
        <v>231</v>
      </c>
      <c r="J36" t="s">
        <v>3</v>
      </c>
      <c r="K36" t="s">
        <v>232</v>
      </c>
      <c r="L36">
        <v>1191</v>
      </c>
      <c r="N36">
        <v>1013</v>
      </c>
      <c r="O36" t="s">
        <v>230</v>
      </c>
      <c r="P36" t="s">
        <v>230</v>
      </c>
      <c r="Q36">
        <v>1</v>
      </c>
      <c r="W36">
        <v>0</v>
      </c>
      <c r="X36">
        <v>-1417349443</v>
      </c>
      <c r="Y36">
        <f>((AT36*2)*1.15)</f>
        <v>1.518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42.26</v>
      </c>
      <c r="AL36">
        <v>1</v>
      </c>
      <c r="AM36">
        <v>4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0.66</v>
      </c>
      <c r="AU36" t="s">
        <v>118</v>
      </c>
      <c r="AV36">
        <v>2</v>
      </c>
      <c r="AW36">
        <v>2</v>
      </c>
      <c r="AX36">
        <v>146439131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ROUND(Y36*Source!I68,9)</f>
        <v>0.13661999999999999</v>
      </c>
      <c r="CY36">
        <f>AD36</f>
        <v>0</v>
      </c>
      <c r="CZ36">
        <f>AH36</f>
        <v>0</v>
      </c>
      <c r="DA36">
        <f>AL36</f>
        <v>1</v>
      </c>
      <c r="DB36">
        <f>ROUND(((ROUND(AT36*CZ36,2)*2)*1.15),2)</f>
        <v>0</v>
      </c>
      <c r="DC36">
        <f>ROUND(((ROUND(AT36*AG36,2)*2)*1.15),2)</f>
        <v>0</v>
      </c>
      <c r="DD36" t="s">
        <v>3</v>
      </c>
      <c r="DE36" t="s">
        <v>3</v>
      </c>
      <c r="DF36">
        <f>ROUND(ROUND(AE36,2)*CX36,2)</f>
        <v>0</v>
      </c>
      <c r="DG36">
        <f t="shared" si="30"/>
        <v>0</v>
      </c>
      <c r="DH36">
        <f>ROUND(ROUND(AG36*AK36,2)*CX36,2)</f>
        <v>0</v>
      </c>
      <c r="DI36">
        <f>ROUND(ROUND(AH36,2)*CX36,2)</f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ROW(Source!A68)</f>
        <v>68</v>
      </c>
      <c r="B37">
        <v>146437721</v>
      </c>
      <c r="C37">
        <v>146439129</v>
      </c>
      <c r="D37">
        <v>140922962</v>
      </c>
      <c r="E37">
        <v>1</v>
      </c>
      <c r="F37">
        <v>1</v>
      </c>
      <c r="G37">
        <v>1</v>
      </c>
      <c r="H37">
        <v>2</v>
      </c>
      <c r="I37" t="s">
        <v>318</v>
      </c>
      <c r="J37" t="s">
        <v>319</v>
      </c>
      <c r="K37" t="s">
        <v>320</v>
      </c>
      <c r="L37">
        <v>1367</v>
      </c>
      <c r="N37">
        <v>1011</v>
      </c>
      <c r="O37" t="s">
        <v>236</v>
      </c>
      <c r="P37" t="s">
        <v>236</v>
      </c>
      <c r="Q37">
        <v>1</v>
      </c>
      <c r="W37">
        <v>0</v>
      </c>
      <c r="X37">
        <v>-1200668687</v>
      </c>
      <c r="Y37">
        <f>((AT37*2)*1.15)</f>
        <v>1.518</v>
      </c>
      <c r="AA37">
        <v>0</v>
      </c>
      <c r="AB37">
        <v>1274.0999999999999</v>
      </c>
      <c r="AC37">
        <v>570.51</v>
      </c>
      <c r="AD37">
        <v>0</v>
      </c>
      <c r="AE37">
        <v>0</v>
      </c>
      <c r="AF37">
        <v>96.89</v>
      </c>
      <c r="AG37">
        <v>13.5</v>
      </c>
      <c r="AH37">
        <v>0</v>
      </c>
      <c r="AI37">
        <v>1</v>
      </c>
      <c r="AJ37">
        <v>13.15</v>
      </c>
      <c r="AK37">
        <v>42.26</v>
      </c>
      <c r="AL37">
        <v>1</v>
      </c>
      <c r="AM37">
        <v>4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0.66</v>
      </c>
      <c r="AU37" t="s">
        <v>118</v>
      </c>
      <c r="AV37">
        <v>0</v>
      </c>
      <c r="AW37">
        <v>2</v>
      </c>
      <c r="AX37">
        <v>146439132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ROUND(Y37*Source!I68,9)</f>
        <v>0.13661999999999999</v>
      </c>
      <c r="CY37">
        <f>AB37</f>
        <v>1274.0999999999999</v>
      </c>
      <c r="CZ37">
        <f>AF37</f>
        <v>96.89</v>
      </c>
      <c r="DA37">
        <f>AJ37</f>
        <v>13.15</v>
      </c>
      <c r="DB37">
        <f>ROUND(((ROUND(AT37*CZ37,2)*2)*1.15),2)</f>
        <v>147.09</v>
      </c>
      <c r="DC37">
        <f>ROUND(((ROUND(AT37*AG37,2)*2)*1.15),2)</f>
        <v>20.49</v>
      </c>
      <c r="DD37" t="s">
        <v>3</v>
      </c>
      <c r="DE37" t="s">
        <v>3</v>
      </c>
      <c r="DF37">
        <f>ROUND(ROUND(AE37,2)*CX37,2)</f>
        <v>0</v>
      </c>
      <c r="DG37">
        <f>ROUND(ROUND(AF37*AJ37,2)*CX37,2)</f>
        <v>174.07</v>
      </c>
      <c r="DH37">
        <f>ROUND(ROUND(AG37*AK37,2)*CX37,2)</f>
        <v>77.94</v>
      </c>
      <c r="DI37">
        <f>ROUND(ROUND(AH37,2)*CX37,2)</f>
        <v>0</v>
      </c>
      <c r="DJ37">
        <f>DG37</f>
        <v>174.07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ROW(Source!A68)</f>
        <v>68</v>
      </c>
      <c r="B38">
        <v>146437721</v>
      </c>
      <c r="C38">
        <v>146439129</v>
      </c>
      <c r="D38">
        <v>140765022</v>
      </c>
      <c r="E38">
        <v>70</v>
      </c>
      <c r="F38">
        <v>1</v>
      </c>
      <c r="G38">
        <v>1</v>
      </c>
      <c r="H38">
        <v>3</v>
      </c>
      <c r="I38" t="s">
        <v>263</v>
      </c>
      <c r="J38" t="s">
        <v>3</v>
      </c>
      <c r="K38" t="s">
        <v>264</v>
      </c>
      <c r="L38">
        <v>1374</v>
      </c>
      <c r="N38">
        <v>1013</v>
      </c>
      <c r="O38" t="s">
        <v>265</v>
      </c>
      <c r="P38" t="s">
        <v>265</v>
      </c>
      <c r="Q38">
        <v>1</v>
      </c>
      <c r="W38">
        <v>0</v>
      </c>
      <c r="X38">
        <v>-1731369543</v>
      </c>
      <c r="Y38">
        <f>(AT38*2)</f>
        <v>7.26</v>
      </c>
      <c r="AA38">
        <v>8.3800000000000008</v>
      </c>
      <c r="AB38">
        <v>0</v>
      </c>
      <c r="AC38">
        <v>0</v>
      </c>
      <c r="AD38">
        <v>0</v>
      </c>
      <c r="AE38">
        <v>1</v>
      </c>
      <c r="AF38">
        <v>0</v>
      </c>
      <c r="AG38">
        <v>0</v>
      </c>
      <c r="AH38">
        <v>0</v>
      </c>
      <c r="AI38">
        <v>8.3800000000000008</v>
      </c>
      <c r="AJ38">
        <v>1</v>
      </c>
      <c r="AK38">
        <v>1</v>
      </c>
      <c r="AL38">
        <v>1</v>
      </c>
      <c r="AM38">
        <v>4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3.63</v>
      </c>
      <c r="AU38" t="s">
        <v>117</v>
      </c>
      <c r="AV38">
        <v>0</v>
      </c>
      <c r="AW38">
        <v>2</v>
      </c>
      <c r="AX38">
        <v>146439133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ROUND(Y38*Source!I68,9)</f>
        <v>0.65339999999999998</v>
      </c>
      <c r="CY38">
        <f>AA38</f>
        <v>8.3800000000000008</v>
      </c>
      <c r="CZ38">
        <f>AE38</f>
        <v>1</v>
      </c>
      <c r="DA38">
        <f>AI38</f>
        <v>8.3800000000000008</v>
      </c>
      <c r="DB38">
        <f>ROUND((ROUND(AT38*CZ38,2)*2),2)</f>
        <v>7.26</v>
      </c>
      <c r="DC38">
        <f>ROUND((ROUND(AT38*AG38,2)*2),2)</f>
        <v>0</v>
      </c>
      <c r="DD38" t="s">
        <v>3</v>
      </c>
      <c r="DE38" t="s">
        <v>3</v>
      </c>
      <c r="DF38">
        <f>ROUND(ROUND(AE38*AI38,2)*CX38,2)</f>
        <v>5.48</v>
      </c>
      <c r="DG38">
        <f>ROUND(ROUND(AF38,2)*CX38,2)</f>
        <v>0</v>
      </c>
      <c r="DH38">
        <f>ROUND(ROUND(AG38,2)*CX38,2)</f>
        <v>0</v>
      </c>
      <c r="DI38">
        <f>ROUND(ROUND(AH38,2)*CX38,2)</f>
        <v>0</v>
      </c>
      <c r="DJ38">
        <f>DF38</f>
        <v>5.48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ROW(Source!A69)</f>
        <v>69</v>
      </c>
      <c r="B39">
        <v>146437721</v>
      </c>
      <c r="C39">
        <v>146439161</v>
      </c>
      <c r="D39">
        <v>140755450</v>
      </c>
      <c r="E39">
        <v>70</v>
      </c>
      <c r="F39">
        <v>1</v>
      </c>
      <c r="G39">
        <v>1</v>
      </c>
      <c r="H39">
        <v>1</v>
      </c>
      <c r="I39" t="s">
        <v>321</v>
      </c>
      <c r="J39" t="s">
        <v>3</v>
      </c>
      <c r="K39" t="s">
        <v>322</v>
      </c>
      <c r="L39">
        <v>1191</v>
      </c>
      <c r="N39">
        <v>1013</v>
      </c>
      <c r="O39" t="s">
        <v>230</v>
      </c>
      <c r="P39" t="s">
        <v>230</v>
      </c>
      <c r="Q39">
        <v>1</v>
      </c>
      <c r="W39">
        <v>0</v>
      </c>
      <c r="X39">
        <v>-981676222</v>
      </c>
      <c r="Y39">
        <f>((AT39*1.15)*1.15)</f>
        <v>7.0224749999999982</v>
      </c>
      <c r="AA39">
        <v>0</v>
      </c>
      <c r="AB39">
        <v>0</v>
      </c>
      <c r="AC39">
        <v>0</v>
      </c>
      <c r="AD39">
        <v>450.07</v>
      </c>
      <c r="AE39">
        <v>0</v>
      </c>
      <c r="AF39">
        <v>0</v>
      </c>
      <c r="AG39">
        <v>0</v>
      </c>
      <c r="AH39">
        <v>10.65</v>
      </c>
      <c r="AI39">
        <v>1</v>
      </c>
      <c r="AJ39">
        <v>1</v>
      </c>
      <c r="AK39">
        <v>1</v>
      </c>
      <c r="AL39">
        <v>42.26</v>
      </c>
      <c r="AM39">
        <v>4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5.31</v>
      </c>
      <c r="AU39" t="s">
        <v>104</v>
      </c>
      <c r="AV39">
        <v>1</v>
      </c>
      <c r="AW39">
        <v>2</v>
      </c>
      <c r="AX39">
        <v>146439170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ROUND(Y39*Source!I69,9)</f>
        <v>1.8258435</v>
      </c>
      <c r="CY39">
        <f>AD39</f>
        <v>450.07</v>
      </c>
      <c r="CZ39">
        <f>AH39</f>
        <v>10.65</v>
      </c>
      <c r="DA39">
        <f>AL39</f>
        <v>42.26</v>
      </c>
      <c r="DB39">
        <f>ROUND(((ROUND(AT39*CZ39,2)*1.15)*1.15),2)</f>
        <v>74.790000000000006</v>
      </c>
      <c r="DC39">
        <f>ROUND(((ROUND(AT39*AG39,2)*1.15)*1.15),2)</f>
        <v>0</v>
      </c>
      <c r="DD39" t="s">
        <v>3</v>
      </c>
      <c r="DE39" t="s">
        <v>3</v>
      </c>
      <c r="DF39">
        <f t="shared" ref="DF39:DF44" si="33">ROUND(ROUND(AE39,2)*CX39,2)</f>
        <v>0</v>
      </c>
      <c r="DG39">
        <f>ROUND(ROUND(AF39,2)*CX39,2)</f>
        <v>0</v>
      </c>
      <c r="DH39">
        <f>ROUND(ROUND(AG39,2)*CX39,2)</f>
        <v>0</v>
      </c>
      <c r="DI39">
        <f>ROUND(ROUND(AH39*AL39,2)*CX39,2)</f>
        <v>821.76</v>
      </c>
      <c r="DJ39">
        <f>DI39</f>
        <v>821.76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ROW(Source!A69)</f>
        <v>69</v>
      </c>
      <c r="B40">
        <v>146437721</v>
      </c>
      <c r="C40">
        <v>146439161</v>
      </c>
      <c r="D40">
        <v>140755491</v>
      </c>
      <c r="E40">
        <v>70</v>
      </c>
      <c r="F40">
        <v>1</v>
      </c>
      <c r="G40">
        <v>1</v>
      </c>
      <c r="H40">
        <v>1</v>
      </c>
      <c r="I40" t="s">
        <v>231</v>
      </c>
      <c r="J40" t="s">
        <v>3</v>
      </c>
      <c r="K40" t="s">
        <v>232</v>
      </c>
      <c r="L40">
        <v>1191</v>
      </c>
      <c r="N40">
        <v>1013</v>
      </c>
      <c r="O40" t="s">
        <v>230</v>
      </c>
      <c r="P40" t="s">
        <v>230</v>
      </c>
      <c r="Q40">
        <v>1</v>
      </c>
      <c r="W40">
        <v>0</v>
      </c>
      <c r="X40">
        <v>-1417349443</v>
      </c>
      <c r="Y40">
        <f>((AT40*1.25)*1.15)</f>
        <v>2.8749999999999998E-2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42.26</v>
      </c>
      <c r="AL40">
        <v>1</v>
      </c>
      <c r="AM40">
        <v>4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0.02</v>
      </c>
      <c r="AU40" t="s">
        <v>103</v>
      </c>
      <c r="AV40">
        <v>2</v>
      </c>
      <c r="AW40">
        <v>2</v>
      </c>
      <c r="AX40">
        <v>146439171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ROUND(Y40*Source!I69,9)</f>
        <v>7.4749999999999999E-3</v>
      </c>
      <c r="CY40">
        <f>AD40</f>
        <v>0</v>
      </c>
      <c r="CZ40">
        <f>AH40</f>
        <v>0</v>
      </c>
      <c r="DA40">
        <f>AL40</f>
        <v>1</v>
      </c>
      <c r="DB40">
        <f>ROUND(((ROUND(AT40*CZ40,2)*1.25)*1.15),2)</f>
        <v>0</v>
      </c>
      <c r="DC40">
        <f>ROUND(((ROUND(AT40*AG40,2)*1.25)*1.15),2)</f>
        <v>0</v>
      </c>
      <c r="DD40" t="s">
        <v>3</v>
      </c>
      <c r="DE40" t="s">
        <v>3</v>
      </c>
      <c r="DF40">
        <f t="shared" si="33"/>
        <v>0</v>
      </c>
      <c r="DG40">
        <f>ROUND(ROUND(AF40,2)*CX40,2)</f>
        <v>0</v>
      </c>
      <c r="DH40">
        <f>ROUND(ROUND(AG40*AK40,2)*CX40,2)</f>
        <v>0</v>
      </c>
      <c r="DI40">
        <f t="shared" ref="DI40:DI46" si="34">ROUND(ROUND(AH40,2)*CX40,2)</f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ROW(Source!A69)</f>
        <v>69</v>
      </c>
      <c r="B41">
        <v>146437721</v>
      </c>
      <c r="C41">
        <v>146439161</v>
      </c>
      <c r="D41">
        <v>140923086</v>
      </c>
      <c r="E41">
        <v>1</v>
      </c>
      <c r="F41">
        <v>1</v>
      </c>
      <c r="G41">
        <v>1</v>
      </c>
      <c r="H41">
        <v>2</v>
      </c>
      <c r="I41" t="s">
        <v>323</v>
      </c>
      <c r="J41" t="s">
        <v>324</v>
      </c>
      <c r="K41" t="s">
        <v>325</v>
      </c>
      <c r="L41">
        <v>1367</v>
      </c>
      <c r="N41">
        <v>1011</v>
      </c>
      <c r="O41" t="s">
        <v>236</v>
      </c>
      <c r="P41" t="s">
        <v>236</v>
      </c>
      <c r="Q41">
        <v>1</v>
      </c>
      <c r="W41">
        <v>0</v>
      </c>
      <c r="X41">
        <v>208619310</v>
      </c>
      <c r="Y41">
        <f>((AT41*1.25)*1.15)</f>
        <v>1.4374999999999999E-2</v>
      </c>
      <c r="AA41">
        <v>0</v>
      </c>
      <c r="AB41">
        <v>22.36</v>
      </c>
      <c r="AC41">
        <v>0</v>
      </c>
      <c r="AD41">
        <v>0</v>
      </c>
      <c r="AE41">
        <v>0</v>
      </c>
      <c r="AF41">
        <v>1.7</v>
      </c>
      <c r="AG41">
        <v>0</v>
      </c>
      <c r="AH41">
        <v>0</v>
      </c>
      <c r="AI41">
        <v>1</v>
      </c>
      <c r="AJ41">
        <v>13.15</v>
      </c>
      <c r="AK41">
        <v>42.26</v>
      </c>
      <c r="AL41">
        <v>1</v>
      </c>
      <c r="AM41">
        <v>4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0.01</v>
      </c>
      <c r="AU41" t="s">
        <v>103</v>
      </c>
      <c r="AV41">
        <v>0</v>
      </c>
      <c r="AW41">
        <v>2</v>
      </c>
      <c r="AX41">
        <v>146439172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ROUND(Y41*Source!I69,9)</f>
        <v>3.7374999999999999E-3</v>
      </c>
      <c r="CY41">
        <f>AB41</f>
        <v>22.36</v>
      </c>
      <c r="CZ41">
        <f>AF41</f>
        <v>1.7</v>
      </c>
      <c r="DA41">
        <f>AJ41</f>
        <v>13.15</v>
      </c>
      <c r="DB41">
        <f>ROUND(((ROUND(AT41*CZ41,2)*1.25)*1.15),2)</f>
        <v>0.03</v>
      </c>
      <c r="DC41">
        <f>ROUND(((ROUND(AT41*AG41,2)*1.25)*1.15),2)</f>
        <v>0</v>
      </c>
      <c r="DD41" t="s">
        <v>3</v>
      </c>
      <c r="DE41" t="s">
        <v>3</v>
      </c>
      <c r="DF41">
        <f t="shared" si="33"/>
        <v>0</v>
      </c>
      <c r="DG41">
        <f>ROUND(ROUND(AF41*AJ41,2)*CX41,2)</f>
        <v>0.08</v>
      </c>
      <c r="DH41">
        <f>ROUND(ROUND(AG41*AK41,2)*CX41,2)</f>
        <v>0</v>
      </c>
      <c r="DI41">
        <f t="shared" si="34"/>
        <v>0</v>
      </c>
      <c r="DJ41">
        <f>DG41</f>
        <v>0.08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ROW(Source!A69)</f>
        <v>69</v>
      </c>
      <c r="B42">
        <v>146437721</v>
      </c>
      <c r="C42">
        <v>146439161</v>
      </c>
      <c r="D42">
        <v>140923105</v>
      </c>
      <c r="E42">
        <v>1</v>
      </c>
      <c r="F42">
        <v>1</v>
      </c>
      <c r="G42">
        <v>1</v>
      </c>
      <c r="H42">
        <v>2</v>
      </c>
      <c r="I42" t="s">
        <v>326</v>
      </c>
      <c r="J42" t="s">
        <v>327</v>
      </c>
      <c r="K42" t="s">
        <v>328</v>
      </c>
      <c r="L42">
        <v>1367</v>
      </c>
      <c r="N42">
        <v>1011</v>
      </c>
      <c r="O42" t="s">
        <v>236</v>
      </c>
      <c r="P42" t="s">
        <v>236</v>
      </c>
      <c r="Q42">
        <v>1</v>
      </c>
      <c r="W42">
        <v>0</v>
      </c>
      <c r="X42">
        <v>-896236776</v>
      </c>
      <c r="Y42">
        <f>((AT42*1.25)*1.15)</f>
        <v>1.4374999999999999E-2</v>
      </c>
      <c r="AA42">
        <v>0</v>
      </c>
      <c r="AB42">
        <v>1183.3699999999999</v>
      </c>
      <c r="AC42">
        <v>425.14</v>
      </c>
      <c r="AD42">
        <v>0</v>
      </c>
      <c r="AE42">
        <v>0</v>
      </c>
      <c r="AF42">
        <v>89.99</v>
      </c>
      <c r="AG42">
        <v>10.06</v>
      </c>
      <c r="AH42">
        <v>0</v>
      </c>
      <c r="AI42">
        <v>1</v>
      </c>
      <c r="AJ42">
        <v>13.15</v>
      </c>
      <c r="AK42">
        <v>42.26</v>
      </c>
      <c r="AL42">
        <v>1</v>
      </c>
      <c r="AM42">
        <v>4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0.01</v>
      </c>
      <c r="AU42" t="s">
        <v>103</v>
      </c>
      <c r="AV42">
        <v>0</v>
      </c>
      <c r="AW42">
        <v>2</v>
      </c>
      <c r="AX42">
        <v>146439173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ROUND(Y42*Source!I69,9)</f>
        <v>3.7374999999999999E-3</v>
      </c>
      <c r="CY42">
        <f>AB42</f>
        <v>1183.3699999999999</v>
      </c>
      <c r="CZ42">
        <f>AF42</f>
        <v>89.99</v>
      </c>
      <c r="DA42">
        <f>AJ42</f>
        <v>13.15</v>
      </c>
      <c r="DB42">
        <f>ROUND(((ROUND(AT42*CZ42,2)*1.25)*1.15),2)</f>
        <v>1.29</v>
      </c>
      <c r="DC42">
        <f>ROUND(((ROUND(AT42*AG42,2)*1.25)*1.15),2)</f>
        <v>0.14000000000000001</v>
      </c>
      <c r="DD42" t="s">
        <v>3</v>
      </c>
      <c r="DE42" t="s">
        <v>3</v>
      </c>
      <c r="DF42">
        <f t="shared" si="33"/>
        <v>0</v>
      </c>
      <c r="DG42">
        <f>ROUND(ROUND(AF42*AJ42,2)*CX42,2)</f>
        <v>4.42</v>
      </c>
      <c r="DH42">
        <f>ROUND(ROUND(AG42*AK42,2)*CX42,2)</f>
        <v>1.59</v>
      </c>
      <c r="DI42">
        <f t="shared" si="34"/>
        <v>0</v>
      </c>
      <c r="DJ42">
        <f>DG42</f>
        <v>4.42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ROW(Source!A69)</f>
        <v>69</v>
      </c>
      <c r="B43">
        <v>146437721</v>
      </c>
      <c r="C43">
        <v>146439161</v>
      </c>
      <c r="D43">
        <v>140923885</v>
      </c>
      <c r="E43">
        <v>1</v>
      </c>
      <c r="F43">
        <v>1</v>
      </c>
      <c r="G43">
        <v>1</v>
      </c>
      <c r="H43">
        <v>2</v>
      </c>
      <c r="I43" t="s">
        <v>274</v>
      </c>
      <c r="J43" t="s">
        <v>275</v>
      </c>
      <c r="K43" t="s">
        <v>276</v>
      </c>
      <c r="L43">
        <v>1367</v>
      </c>
      <c r="N43">
        <v>1011</v>
      </c>
      <c r="O43" t="s">
        <v>236</v>
      </c>
      <c r="P43" t="s">
        <v>236</v>
      </c>
      <c r="Q43">
        <v>1</v>
      </c>
      <c r="W43">
        <v>0</v>
      </c>
      <c r="X43">
        <v>509054691</v>
      </c>
      <c r="Y43">
        <f>((AT43*1.25)*1.15)</f>
        <v>1.4374999999999999E-2</v>
      </c>
      <c r="AA43">
        <v>0</v>
      </c>
      <c r="AB43">
        <v>864.09</v>
      </c>
      <c r="AC43">
        <v>490.22</v>
      </c>
      <c r="AD43">
        <v>0</v>
      </c>
      <c r="AE43">
        <v>0</v>
      </c>
      <c r="AF43">
        <v>65.709999999999994</v>
      </c>
      <c r="AG43">
        <v>11.6</v>
      </c>
      <c r="AH43">
        <v>0</v>
      </c>
      <c r="AI43">
        <v>1</v>
      </c>
      <c r="AJ43">
        <v>13.15</v>
      </c>
      <c r="AK43">
        <v>42.26</v>
      </c>
      <c r="AL43">
        <v>1</v>
      </c>
      <c r="AM43">
        <v>4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0.01</v>
      </c>
      <c r="AU43" t="s">
        <v>103</v>
      </c>
      <c r="AV43">
        <v>0</v>
      </c>
      <c r="AW43">
        <v>2</v>
      </c>
      <c r="AX43">
        <v>146439174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ROUND(Y43*Source!I69,9)</f>
        <v>3.7374999999999999E-3</v>
      </c>
      <c r="CY43">
        <f>AB43</f>
        <v>864.09</v>
      </c>
      <c r="CZ43">
        <f>AF43</f>
        <v>65.709999999999994</v>
      </c>
      <c r="DA43">
        <f>AJ43</f>
        <v>13.15</v>
      </c>
      <c r="DB43">
        <f>ROUND(((ROUND(AT43*CZ43,2)*1.25)*1.15),2)</f>
        <v>0.95</v>
      </c>
      <c r="DC43">
        <f>ROUND(((ROUND(AT43*AG43,2)*1.25)*1.15),2)</f>
        <v>0.17</v>
      </c>
      <c r="DD43" t="s">
        <v>3</v>
      </c>
      <c r="DE43" t="s">
        <v>3</v>
      </c>
      <c r="DF43">
        <f t="shared" si="33"/>
        <v>0</v>
      </c>
      <c r="DG43">
        <f>ROUND(ROUND(AF43*AJ43,2)*CX43,2)</f>
        <v>3.23</v>
      </c>
      <c r="DH43">
        <f>ROUND(ROUND(AG43*AK43,2)*CX43,2)</f>
        <v>1.83</v>
      </c>
      <c r="DI43">
        <f t="shared" si="34"/>
        <v>0</v>
      </c>
      <c r="DJ43">
        <f>DG43</f>
        <v>3.23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ROW(Source!A69)</f>
        <v>69</v>
      </c>
      <c r="B44">
        <v>146437721</v>
      </c>
      <c r="C44">
        <v>146439161</v>
      </c>
      <c r="D44">
        <v>140924526</v>
      </c>
      <c r="E44">
        <v>1</v>
      </c>
      <c r="F44">
        <v>1</v>
      </c>
      <c r="G44">
        <v>1</v>
      </c>
      <c r="H44">
        <v>2</v>
      </c>
      <c r="I44" t="s">
        <v>329</v>
      </c>
      <c r="J44" t="s">
        <v>330</v>
      </c>
      <c r="K44" t="s">
        <v>331</v>
      </c>
      <c r="L44">
        <v>1367</v>
      </c>
      <c r="N44">
        <v>1011</v>
      </c>
      <c r="O44" t="s">
        <v>236</v>
      </c>
      <c r="P44" t="s">
        <v>236</v>
      </c>
      <c r="Q44">
        <v>1</v>
      </c>
      <c r="W44">
        <v>0</v>
      </c>
      <c r="X44">
        <v>-1745017968</v>
      </c>
      <c r="Y44">
        <f>((AT44*1.25)*1.15)</f>
        <v>1.61</v>
      </c>
      <c r="AA44">
        <v>0</v>
      </c>
      <c r="AB44">
        <v>89.68</v>
      </c>
      <c r="AC44">
        <v>0</v>
      </c>
      <c r="AD44">
        <v>0</v>
      </c>
      <c r="AE44">
        <v>0</v>
      </c>
      <c r="AF44">
        <v>6.82</v>
      </c>
      <c r="AG44">
        <v>0</v>
      </c>
      <c r="AH44">
        <v>0</v>
      </c>
      <c r="AI44">
        <v>1</v>
      </c>
      <c r="AJ44">
        <v>13.15</v>
      </c>
      <c r="AK44">
        <v>42.26</v>
      </c>
      <c r="AL44">
        <v>1</v>
      </c>
      <c r="AM44">
        <v>4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1.1200000000000001</v>
      </c>
      <c r="AU44" t="s">
        <v>103</v>
      </c>
      <c r="AV44">
        <v>0</v>
      </c>
      <c r="AW44">
        <v>2</v>
      </c>
      <c r="AX44">
        <v>146439175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ROUND(Y44*Source!I69,9)</f>
        <v>0.41860000000000003</v>
      </c>
      <c r="CY44">
        <f>AB44</f>
        <v>89.68</v>
      </c>
      <c r="CZ44">
        <f>AF44</f>
        <v>6.82</v>
      </c>
      <c r="DA44">
        <f>AJ44</f>
        <v>13.15</v>
      </c>
      <c r="DB44">
        <f>ROUND(((ROUND(AT44*CZ44,2)*1.25)*1.15),2)</f>
        <v>10.98</v>
      </c>
      <c r="DC44">
        <f>ROUND(((ROUND(AT44*AG44,2)*1.25)*1.15),2)</f>
        <v>0</v>
      </c>
      <c r="DD44" t="s">
        <v>3</v>
      </c>
      <c r="DE44" t="s">
        <v>3</v>
      </c>
      <c r="DF44">
        <f t="shared" si="33"/>
        <v>0</v>
      </c>
      <c r="DG44">
        <f>ROUND(ROUND(AF44*AJ44,2)*CX44,2)</f>
        <v>37.54</v>
      </c>
      <c r="DH44">
        <f>ROUND(ROUND(AG44*AK44,2)*CX44,2)</f>
        <v>0</v>
      </c>
      <c r="DI44">
        <f t="shared" si="34"/>
        <v>0</v>
      </c>
      <c r="DJ44">
        <f>DG44</f>
        <v>37.54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ROW(Source!A69)</f>
        <v>69</v>
      </c>
      <c r="B45">
        <v>146437721</v>
      </c>
      <c r="C45">
        <v>146439161</v>
      </c>
      <c r="D45">
        <v>140804058</v>
      </c>
      <c r="E45">
        <v>1</v>
      </c>
      <c r="F45">
        <v>1</v>
      </c>
      <c r="G45">
        <v>1</v>
      </c>
      <c r="H45">
        <v>3</v>
      </c>
      <c r="I45" t="s">
        <v>310</v>
      </c>
      <c r="J45" t="s">
        <v>311</v>
      </c>
      <c r="K45" t="s">
        <v>312</v>
      </c>
      <c r="L45">
        <v>1348</v>
      </c>
      <c r="N45">
        <v>1009</v>
      </c>
      <c r="O45" t="s">
        <v>22</v>
      </c>
      <c r="P45" t="s">
        <v>22</v>
      </c>
      <c r="Q45">
        <v>1000</v>
      </c>
      <c r="W45">
        <v>0</v>
      </c>
      <c r="X45">
        <v>264248573</v>
      </c>
      <c r="Y45">
        <f>AT45</f>
        <v>8.9999999999999993E-3</v>
      </c>
      <c r="AA45">
        <v>130895.6</v>
      </c>
      <c r="AB45">
        <v>0</v>
      </c>
      <c r="AC45">
        <v>0</v>
      </c>
      <c r="AD45">
        <v>0</v>
      </c>
      <c r="AE45">
        <v>15620</v>
      </c>
      <c r="AF45">
        <v>0</v>
      </c>
      <c r="AG45">
        <v>0</v>
      </c>
      <c r="AH45">
        <v>0</v>
      </c>
      <c r="AI45">
        <v>8.3800000000000008</v>
      </c>
      <c r="AJ45">
        <v>1</v>
      </c>
      <c r="AK45">
        <v>1</v>
      </c>
      <c r="AL45">
        <v>1</v>
      </c>
      <c r="AM45">
        <v>4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8.9999999999999993E-3</v>
      </c>
      <c r="AU45" t="s">
        <v>3</v>
      </c>
      <c r="AV45">
        <v>0</v>
      </c>
      <c r="AW45">
        <v>2</v>
      </c>
      <c r="AX45">
        <v>146439176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ROUND(Y45*Source!I69,9)</f>
        <v>2.3400000000000001E-3</v>
      </c>
      <c r="CY45">
        <f>AA45</f>
        <v>130895.6</v>
      </c>
      <c r="CZ45">
        <f>AE45</f>
        <v>15620</v>
      </c>
      <c r="DA45">
        <f>AI45</f>
        <v>8.3800000000000008</v>
      </c>
      <c r="DB45">
        <f>ROUND(ROUND(AT45*CZ45,2),2)</f>
        <v>140.58000000000001</v>
      </c>
      <c r="DC45">
        <f>ROUND(ROUND(AT45*AG45,2),2)</f>
        <v>0</v>
      </c>
      <c r="DD45" t="s">
        <v>3</v>
      </c>
      <c r="DE45" t="s">
        <v>3</v>
      </c>
      <c r="DF45">
        <f>ROUND(ROUND(AE45*AI45,2)*CX45,2)</f>
        <v>306.3</v>
      </c>
      <c r="DG45">
        <f>ROUND(ROUND(AF45,2)*CX45,2)</f>
        <v>0</v>
      </c>
      <c r="DH45">
        <f>ROUND(ROUND(AG45,2)*CX45,2)</f>
        <v>0</v>
      </c>
      <c r="DI45">
        <f t="shared" si="34"/>
        <v>0</v>
      </c>
      <c r="DJ45">
        <f>DF45</f>
        <v>306.3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ROW(Source!A69)</f>
        <v>69</v>
      </c>
      <c r="B46">
        <v>146437721</v>
      </c>
      <c r="C46">
        <v>146439161</v>
      </c>
      <c r="D46">
        <v>140805125</v>
      </c>
      <c r="E46">
        <v>1</v>
      </c>
      <c r="F46">
        <v>1</v>
      </c>
      <c r="G46">
        <v>1</v>
      </c>
      <c r="H46">
        <v>3</v>
      </c>
      <c r="I46" t="s">
        <v>332</v>
      </c>
      <c r="J46" t="s">
        <v>333</v>
      </c>
      <c r="K46" t="s">
        <v>334</v>
      </c>
      <c r="L46">
        <v>1348</v>
      </c>
      <c r="N46">
        <v>1009</v>
      </c>
      <c r="O46" t="s">
        <v>22</v>
      </c>
      <c r="P46" t="s">
        <v>22</v>
      </c>
      <c r="Q46">
        <v>1000</v>
      </c>
      <c r="W46">
        <v>0</v>
      </c>
      <c r="X46">
        <v>151166323</v>
      </c>
      <c r="Y46">
        <f>AT46</f>
        <v>1.5E-3</v>
      </c>
      <c r="AA46">
        <v>64023.199999999997</v>
      </c>
      <c r="AB46">
        <v>0</v>
      </c>
      <c r="AC46">
        <v>0</v>
      </c>
      <c r="AD46">
        <v>0</v>
      </c>
      <c r="AE46">
        <v>7640</v>
      </c>
      <c r="AF46">
        <v>0</v>
      </c>
      <c r="AG46">
        <v>0</v>
      </c>
      <c r="AH46">
        <v>0</v>
      </c>
      <c r="AI46">
        <v>8.3800000000000008</v>
      </c>
      <c r="AJ46">
        <v>1</v>
      </c>
      <c r="AK46">
        <v>1</v>
      </c>
      <c r="AL46">
        <v>1</v>
      </c>
      <c r="AM46">
        <v>4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1.5E-3</v>
      </c>
      <c r="AU46" t="s">
        <v>3</v>
      </c>
      <c r="AV46">
        <v>0</v>
      </c>
      <c r="AW46">
        <v>2</v>
      </c>
      <c r="AX46">
        <v>146439177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ROUND(Y46*Source!I69,9)</f>
        <v>3.8999999999999999E-4</v>
      </c>
      <c r="CY46">
        <f>AA46</f>
        <v>64023.199999999997</v>
      </c>
      <c r="CZ46">
        <f>AE46</f>
        <v>7640</v>
      </c>
      <c r="DA46">
        <f>AI46</f>
        <v>8.3800000000000008</v>
      </c>
      <c r="DB46">
        <f>ROUND(ROUND(AT46*CZ46,2),2)</f>
        <v>11.46</v>
      </c>
      <c r="DC46">
        <f>ROUND(ROUND(AT46*AG46,2),2)</f>
        <v>0</v>
      </c>
      <c r="DD46" t="s">
        <v>3</v>
      </c>
      <c r="DE46" t="s">
        <v>3</v>
      </c>
      <c r="DF46">
        <f>ROUND(ROUND(AE46*AI46,2)*CX46,2)</f>
        <v>24.97</v>
      </c>
      <c r="DG46">
        <f>ROUND(ROUND(AF46,2)*CX46,2)</f>
        <v>0</v>
      </c>
      <c r="DH46">
        <f>ROUND(ROUND(AG46,2)*CX46,2)</f>
        <v>0</v>
      </c>
      <c r="DI46">
        <f t="shared" si="34"/>
        <v>0</v>
      </c>
      <c r="DJ46">
        <f>DF46</f>
        <v>24.97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ROW(Source!A70)</f>
        <v>70</v>
      </c>
      <c r="B47">
        <v>146437721</v>
      </c>
      <c r="C47">
        <v>146439142</v>
      </c>
      <c r="D47">
        <v>140760001</v>
      </c>
      <c r="E47">
        <v>70</v>
      </c>
      <c r="F47">
        <v>1</v>
      </c>
      <c r="G47">
        <v>1</v>
      </c>
      <c r="H47">
        <v>1</v>
      </c>
      <c r="I47" t="s">
        <v>335</v>
      </c>
      <c r="J47" t="s">
        <v>3</v>
      </c>
      <c r="K47" t="s">
        <v>336</v>
      </c>
      <c r="L47">
        <v>1191</v>
      </c>
      <c r="N47">
        <v>1013</v>
      </c>
      <c r="O47" t="s">
        <v>230</v>
      </c>
      <c r="P47" t="s">
        <v>230</v>
      </c>
      <c r="Q47">
        <v>1</v>
      </c>
      <c r="W47">
        <v>0</v>
      </c>
      <c r="X47">
        <v>1893946532</v>
      </c>
      <c r="Y47">
        <f>((AT47*1.15)*1.15)</f>
        <v>2.8169249999999995</v>
      </c>
      <c r="AA47">
        <v>0</v>
      </c>
      <c r="AB47">
        <v>0</v>
      </c>
      <c r="AC47">
        <v>0</v>
      </c>
      <c r="AD47">
        <v>383.3</v>
      </c>
      <c r="AE47">
        <v>0</v>
      </c>
      <c r="AF47">
        <v>0</v>
      </c>
      <c r="AG47">
        <v>0</v>
      </c>
      <c r="AH47">
        <v>9.07</v>
      </c>
      <c r="AI47">
        <v>1</v>
      </c>
      <c r="AJ47">
        <v>1</v>
      </c>
      <c r="AK47">
        <v>1</v>
      </c>
      <c r="AL47">
        <v>42.26</v>
      </c>
      <c r="AM47">
        <v>4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2.13</v>
      </c>
      <c r="AU47" t="s">
        <v>104</v>
      </c>
      <c r="AV47">
        <v>1</v>
      </c>
      <c r="AW47">
        <v>2</v>
      </c>
      <c r="AX47">
        <v>146439143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ROUND(Y47*Source!I70,9)</f>
        <v>0.73240050000000001</v>
      </c>
      <c r="CY47">
        <f>AD47</f>
        <v>383.3</v>
      </c>
      <c r="CZ47">
        <f>AH47</f>
        <v>9.07</v>
      </c>
      <c r="DA47">
        <f>AL47</f>
        <v>42.26</v>
      </c>
      <c r="DB47">
        <f>ROUND(((ROUND(AT47*CZ47,2)*1.15)*1.15),2)</f>
        <v>25.55</v>
      </c>
      <c r="DC47">
        <f>ROUND(((ROUND(AT47*AG47,2)*1.15)*1.15),2)</f>
        <v>0</v>
      </c>
      <c r="DD47" t="s">
        <v>3</v>
      </c>
      <c r="DE47" t="s">
        <v>3</v>
      </c>
      <c r="DF47">
        <f t="shared" ref="DF47:DF52" si="35">ROUND(ROUND(AE47,2)*CX47,2)</f>
        <v>0</v>
      </c>
      <c r="DG47">
        <f>ROUND(ROUND(AF47,2)*CX47,2)</f>
        <v>0</v>
      </c>
      <c r="DH47">
        <f>ROUND(ROUND(AG47,2)*CX47,2)</f>
        <v>0</v>
      </c>
      <c r="DI47">
        <f>ROUND(ROUND(AH47*AL47,2)*CX47,2)</f>
        <v>280.73</v>
      </c>
      <c r="DJ47">
        <f>DI47</f>
        <v>280.73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ROW(Source!A70)</f>
        <v>70</v>
      </c>
      <c r="B48">
        <v>146437721</v>
      </c>
      <c r="C48">
        <v>146439142</v>
      </c>
      <c r="D48">
        <v>140760225</v>
      </c>
      <c r="E48">
        <v>70</v>
      </c>
      <c r="F48">
        <v>1</v>
      </c>
      <c r="G48">
        <v>1</v>
      </c>
      <c r="H48">
        <v>1</v>
      </c>
      <c r="I48" t="s">
        <v>231</v>
      </c>
      <c r="J48" t="s">
        <v>3</v>
      </c>
      <c r="K48" t="s">
        <v>232</v>
      </c>
      <c r="L48">
        <v>1191</v>
      </c>
      <c r="N48">
        <v>1013</v>
      </c>
      <c r="O48" t="s">
        <v>230</v>
      </c>
      <c r="P48" t="s">
        <v>230</v>
      </c>
      <c r="Q48">
        <v>1</v>
      </c>
      <c r="W48">
        <v>0</v>
      </c>
      <c r="X48">
        <v>-1417349443</v>
      </c>
      <c r="Y48">
        <f>((AT48*1.25)*1.15)</f>
        <v>2.8749999999999998E-2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42.26</v>
      </c>
      <c r="AL48">
        <v>1</v>
      </c>
      <c r="AM48">
        <v>4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0.02</v>
      </c>
      <c r="AU48" t="s">
        <v>103</v>
      </c>
      <c r="AV48">
        <v>2</v>
      </c>
      <c r="AW48">
        <v>2</v>
      </c>
      <c r="AX48">
        <v>146439144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ROUND(Y48*Source!I70,9)</f>
        <v>7.4749999999999999E-3</v>
      </c>
      <c r="CY48">
        <f>AD48</f>
        <v>0</v>
      </c>
      <c r="CZ48">
        <f>AH48</f>
        <v>0</v>
      </c>
      <c r="DA48">
        <f>AL48</f>
        <v>1</v>
      </c>
      <c r="DB48">
        <f>ROUND(((ROUND(AT48*CZ48,2)*1.25)*1.15),2)</f>
        <v>0</v>
      </c>
      <c r="DC48">
        <f>ROUND(((ROUND(AT48*AG48,2)*1.25)*1.15),2)</f>
        <v>0</v>
      </c>
      <c r="DD48" t="s">
        <v>3</v>
      </c>
      <c r="DE48" t="s">
        <v>3</v>
      </c>
      <c r="DF48">
        <f t="shared" si="35"/>
        <v>0</v>
      </c>
      <c r="DG48">
        <f>ROUND(ROUND(AF48,2)*CX48,2)</f>
        <v>0</v>
      </c>
      <c r="DH48">
        <f>ROUND(ROUND(AG48*AK48,2)*CX48,2)</f>
        <v>0</v>
      </c>
      <c r="DI48">
        <f t="shared" ref="DI48:DI54" si="36">ROUND(ROUND(AH48,2)*CX48,2)</f>
        <v>0</v>
      </c>
      <c r="DJ48">
        <f>DI48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ROW(Source!A70)</f>
        <v>70</v>
      </c>
      <c r="B49">
        <v>146437721</v>
      </c>
      <c r="C49">
        <v>146439142</v>
      </c>
      <c r="D49">
        <v>140923086</v>
      </c>
      <c r="E49">
        <v>1</v>
      </c>
      <c r="F49">
        <v>1</v>
      </c>
      <c r="G49">
        <v>1</v>
      </c>
      <c r="H49">
        <v>2</v>
      </c>
      <c r="I49" t="s">
        <v>323</v>
      </c>
      <c r="J49" t="s">
        <v>324</v>
      </c>
      <c r="K49" t="s">
        <v>325</v>
      </c>
      <c r="L49">
        <v>1367</v>
      </c>
      <c r="N49">
        <v>1011</v>
      </c>
      <c r="O49" t="s">
        <v>236</v>
      </c>
      <c r="P49" t="s">
        <v>236</v>
      </c>
      <c r="Q49">
        <v>1</v>
      </c>
      <c r="W49">
        <v>0</v>
      </c>
      <c r="X49">
        <v>208619310</v>
      </c>
      <c r="Y49">
        <f>((AT49*1.25)*1.15)</f>
        <v>1.4374999999999999E-2</v>
      </c>
      <c r="AA49">
        <v>0</v>
      </c>
      <c r="AB49">
        <v>22.36</v>
      </c>
      <c r="AC49">
        <v>0</v>
      </c>
      <c r="AD49">
        <v>0</v>
      </c>
      <c r="AE49">
        <v>0</v>
      </c>
      <c r="AF49">
        <v>1.7</v>
      </c>
      <c r="AG49">
        <v>0</v>
      </c>
      <c r="AH49">
        <v>0</v>
      </c>
      <c r="AI49">
        <v>1</v>
      </c>
      <c r="AJ49">
        <v>13.15</v>
      </c>
      <c r="AK49">
        <v>42.26</v>
      </c>
      <c r="AL49">
        <v>1</v>
      </c>
      <c r="AM49">
        <v>4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0.01</v>
      </c>
      <c r="AU49" t="s">
        <v>103</v>
      </c>
      <c r="AV49">
        <v>0</v>
      </c>
      <c r="AW49">
        <v>2</v>
      </c>
      <c r="AX49">
        <v>146439145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ROUND(Y49*Source!I70,9)</f>
        <v>3.7374999999999999E-3</v>
      </c>
      <c r="CY49">
        <f>AB49</f>
        <v>22.36</v>
      </c>
      <c r="CZ49">
        <f>AF49</f>
        <v>1.7</v>
      </c>
      <c r="DA49">
        <f>AJ49</f>
        <v>13.15</v>
      </c>
      <c r="DB49">
        <f>ROUND(((ROUND(AT49*CZ49,2)*1.25)*1.15),2)</f>
        <v>0.03</v>
      </c>
      <c r="DC49">
        <f>ROUND(((ROUND(AT49*AG49,2)*1.25)*1.15),2)</f>
        <v>0</v>
      </c>
      <c r="DD49" t="s">
        <v>3</v>
      </c>
      <c r="DE49" t="s">
        <v>3</v>
      </c>
      <c r="DF49">
        <f t="shared" si="35"/>
        <v>0</v>
      </c>
      <c r="DG49">
        <f>ROUND(ROUND(AF49*AJ49,2)*CX49,2)</f>
        <v>0.08</v>
      </c>
      <c r="DH49">
        <f>ROUND(ROUND(AG49*AK49,2)*CX49,2)</f>
        <v>0</v>
      </c>
      <c r="DI49">
        <f t="shared" si="36"/>
        <v>0</v>
      </c>
      <c r="DJ49">
        <f>DG49</f>
        <v>0.08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ROW(Source!A70)</f>
        <v>70</v>
      </c>
      <c r="B50">
        <v>146437721</v>
      </c>
      <c r="C50">
        <v>146439142</v>
      </c>
      <c r="D50">
        <v>140923105</v>
      </c>
      <c r="E50">
        <v>1</v>
      </c>
      <c r="F50">
        <v>1</v>
      </c>
      <c r="G50">
        <v>1</v>
      </c>
      <c r="H50">
        <v>2</v>
      </c>
      <c r="I50" t="s">
        <v>326</v>
      </c>
      <c r="J50" t="s">
        <v>327</v>
      </c>
      <c r="K50" t="s">
        <v>328</v>
      </c>
      <c r="L50">
        <v>1367</v>
      </c>
      <c r="N50">
        <v>1011</v>
      </c>
      <c r="O50" t="s">
        <v>236</v>
      </c>
      <c r="P50" t="s">
        <v>236</v>
      </c>
      <c r="Q50">
        <v>1</v>
      </c>
      <c r="W50">
        <v>0</v>
      </c>
      <c r="X50">
        <v>-896236776</v>
      </c>
      <c r="Y50">
        <f>((AT50*1.25)*1.15)</f>
        <v>1.4374999999999999E-2</v>
      </c>
      <c r="AA50">
        <v>0</v>
      </c>
      <c r="AB50">
        <v>1183.3699999999999</v>
      </c>
      <c r="AC50">
        <v>425.14</v>
      </c>
      <c r="AD50">
        <v>0</v>
      </c>
      <c r="AE50">
        <v>0</v>
      </c>
      <c r="AF50">
        <v>89.99</v>
      </c>
      <c r="AG50">
        <v>10.06</v>
      </c>
      <c r="AH50">
        <v>0</v>
      </c>
      <c r="AI50">
        <v>1</v>
      </c>
      <c r="AJ50">
        <v>13.15</v>
      </c>
      <c r="AK50">
        <v>42.26</v>
      </c>
      <c r="AL50">
        <v>1</v>
      </c>
      <c r="AM50">
        <v>4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0.01</v>
      </c>
      <c r="AU50" t="s">
        <v>103</v>
      </c>
      <c r="AV50">
        <v>0</v>
      </c>
      <c r="AW50">
        <v>2</v>
      </c>
      <c r="AX50">
        <v>146439146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ROUND(Y50*Source!I70,9)</f>
        <v>3.7374999999999999E-3</v>
      </c>
      <c r="CY50">
        <f>AB50</f>
        <v>1183.3699999999999</v>
      </c>
      <c r="CZ50">
        <f>AF50</f>
        <v>89.99</v>
      </c>
      <c r="DA50">
        <f>AJ50</f>
        <v>13.15</v>
      </c>
      <c r="DB50">
        <f>ROUND(((ROUND(AT50*CZ50,2)*1.25)*1.15),2)</f>
        <v>1.29</v>
      </c>
      <c r="DC50">
        <f>ROUND(((ROUND(AT50*AG50,2)*1.25)*1.15),2)</f>
        <v>0.14000000000000001</v>
      </c>
      <c r="DD50" t="s">
        <v>3</v>
      </c>
      <c r="DE50" t="s">
        <v>3</v>
      </c>
      <c r="DF50">
        <f t="shared" si="35"/>
        <v>0</v>
      </c>
      <c r="DG50">
        <f>ROUND(ROUND(AF50*AJ50,2)*CX50,2)</f>
        <v>4.42</v>
      </c>
      <c r="DH50">
        <f>ROUND(ROUND(AG50*AK50,2)*CX50,2)</f>
        <v>1.59</v>
      </c>
      <c r="DI50">
        <f t="shared" si="36"/>
        <v>0</v>
      </c>
      <c r="DJ50">
        <f>DG50</f>
        <v>4.42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ROW(Source!A70)</f>
        <v>70</v>
      </c>
      <c r="B51">
        <v>146437721</v>
      </c>
      <c r="C51">
        <v>146439142</v>
      </c>
      <c r="D51">
        <v>140923885</v>
      </c>
      <c r="E51">
        <v>1</v>
      </c>
      <c r="F51">
        <v>1</v>
      </c>
      <c r="G51">
        <v>1</v>
      </c>
      <c r="H51">
        <v>2</v>
      </c>
      <c r="I51" t="s">
        <v>274</v>
      </c>
      <c r="J51" t="s">
        <v>275</v>
      </c>
      <c r="K51" t="s">
        <v>276</v>
      </c>
      <c r="L51">
        <v>1367</v>
      </c>
      <c r="N51">
        <v>1011</v>
      </c>
      <c r="O51" t="s">
        <v>236</v>
      </c>
      <c r="P51" t="s">
        <v>236</v>
      </c>
      <c r="Q51">
        <v>1</v>
      </c>
      <c r="W51">
        <v>0</v>
      </c>
      <c r="X51">
        <v>509054691</v>
      </c>
      <c r="Y51">
        <f>((AT51*1.25)*1.15)</f>
        <v>1.4374999999999999E-2</v>
      </c>
      <c r="AA51">
        <v>0</v>
      </c>
      <c r="AB51">
        <v>864.09</v>
      </c>
      <c r="AC51">
        <v>490.22</v>
      </c>
      <c r="AD51">
        <v>0</v>
      </c>
      <c r="AE51">
        <v>0</v>
      </c>
      <c r="AF51">
        <v>65.709999999999994</v>
      </c>
      <c r="AG51">
        <v>11.6</v>
      </c>
      <c r="AH51">
        <v>0</v>
      </c>
      <c r="AI51">
        <v>1</v>
      </c>
      <c r="AJ51">
        <v>13.15</v>
      </c>
      <c r="AK51">
        <v>42.26</v>
      </c>
      <c r="AL51">
        <v>1</v>
      </c>
      <c r="AM51">
        <v>4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0.01</v>
      </c>
      <c r="AU51" t="s">
        <v>103</v>
      </c>
      <c r="AV51">
        <v>0</v>
      </c>
      <c r="AW51">
        <v>2</v>
      </c>
      <c r="AX51">
        <v>146439147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ROUND(Y51*Source!I70,9)</f>
        <v>3.7374999999999999E-3</v>
      </c>
      <c r="CY51">
        <f>AB51</f>
        <v>864.09</v>
      </c>
      <c r="CZ51">
        <f>AF51</f>
        <v>65.709999999999994</v>
      </c>
      <c r="DA51">
        <f>AJ51</f>
        <v>13.15</v>
      </c>
      <c r="DB51">
        <f>ROUND(((ROUND(AT51*CZ51,2)*1.25)*1.15),2)</f>
        <v>0.95</v>
      </c>
      <c r="DC51">
        <f>ROUND(((ROUND(AT51*AG51,2)*1.25)*1.15),2)</f>
        <v>0.17</v>
      </c>
      <c r="DD51" t="s">
        <v>3</v>
      </c>
      <c r="DE51" t="s">
        <v>3</v>
      </c>
      <c r="DF51">
        <f t="shared" si="35"/>
        <v>0</v>
      </c>
      <c r="DG51">
        <f>ROUND(ROUND(AF51*AJ51,2)*CX51,2)</f>
        <v>3.23</v>
      </c>
      <c r="DH51">
        <f>ROUND(ROUND(AG51*AK51,2)*CX51,2)</f>
        <v>1.83</v>
      </c>
      <c r="DI51">
        <f t="shared" si="36"/>
        <v>0</v>
      </c>
      <c r="DJ51">
        <f>DG51</f>
        <v>3.23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ROW(Source!A70)</f>
        <v>70</v>
      </c>
      <c r="B52">
        <v>146437721</v>
      </c>
      <c r="C52">
        <v>146439142</v>
      </c>
      <c r="D52">
        <v>140924526</v>
      </c>
      <c r="E52">
        <v>1</v>
      </c>
      <c r="F52">
        <v>1</v>
      </c>
      <c r="G52">
        <v>1</v>
      </c>
      <c r="H52">
        <v>2</v>
      </c>
      <c r="I52" t="s">
        <v>329</v>
      </c>
      <c r="J52" t="s">
        <v>330</v>
      </c>
      <c r="K52" t="s">
        <v>331</v>
      </c>
      <c r="L52">
        <v>1367</v>
      </c>
      <c r="N52">
        <v>1011</v>
      </c>
      <c r="O52" t="s">
        <v>236</v>
      </c>
      <c r="P52" t="s">
        <v>236</v>
      </c>
      <c r="Q52">
        <v>1</v>
      </c>
      <c r="W52">
        <v>0</v>
      </c>
      <c r="X52">
        <v>-1745017968</v>
      </c>
      <c r="Y52">
        <f>((AT52*1.25)*1.15)</f>
        <v>0.93437499999999996</v>
      </c>
      <c r="AA52">
        <v>0</v>
      </c>
      <c r="AB52">
        <v>89.68</v>
      </c>
      <c r="AC52">
        <v>0</v>
      </c>
      <c r="AD52">
        <v>0</v>
      </c>
      <c r="AE52">
        <v>0</v>
      </c>
      <c r="AF52">
        <v>6.82</v>
      </c>
      <c r="AG52">
        <v>0</v>
      </c>
      <c r="AH52">
        <v>0</v>
      </c>
      <c r="AI52">
        <v>1</v>
      </c>
      <c r="AJ52">
        <v>13.15</v>
      </c>
      <c r="AK52">
        <v>42.26</v>
      </c>
      <c r="AL52">
        <v>1</v>
      </c>
      <c r="AM52">
        <v>4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0.65</v>
      </c>
      <c r="AU52" t="s">
        <v>103</v>
      </c>
      <c r="AV52">
        <v>0</v>
      </c>
      <c r="AW52">
        <v>2</v>
      </c>
      <c r="AX52">
        <v>146439148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ROUND(Y52*Source!I70,9)</f>
        <v>0.2429375</v>
      </c>
      <c r="CY52">
        <f>AB52</f>
        <v>89.68</v>
      </c>
      <c r="CZ52">
        <f>AF52</f>
        <v>6.82</v>
      </c>
      <c r="DA52">
        <f>AJ52</f>
        <v>13.15</v>
      </c>
      <c r="DB52">
        <f>ROUND(((ROUND(AT52*CZ52,2)*1.25)*1.15),2)</f>
        <v>6.37</v>
      </c>
      <c r="DC52">
        <f>ROUND(((ROUND(AT52*AG52,2)*1.25)*1.15),2)</f>
        <v>0</v>
      </c>
      <c r="DD52" t="s">
        <v>3</v>
      </c>
      <c r="DE52" t="s">
        <v>3</v>
      </c>
      <c r="DF52">
        <f t="shared" si="35"/>
        <v>0</v>
      </c>
      <c r="DG52">
        <f>ROUND(ROUND(AF52*AJ52,2)*CX52,2)</f>
        <v>21.79</v>
      </c>
      <c r="DH52">
        <f>ROUND(ROUND(AG52*AK52,2)*CX52,2)</f>
        <v>0</v>
      </c>
      <c r="DI52">
        <f t="shared" si="36"/>
        <v>0</v>
      </c>
      <c r="DJ52">
        <f>DG52</f>
        <v>21.79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ROW(Source!A70)</f>
        <v>70</v>
      </c>
      <c r="B53">
        <v>146437721</v>
      </c>
      <c r="C53">
        <v>146439142</v>
      </c>
      <c r="D53">
        <v>140804609</v>
      </c>
      <c r="E53">
        <v>1</v>
      </c>
      <c r="F53">
        <v>1</v>
      </c>
      <c r="G53">
        <v>1</v>
      </c>
      <c r="H53">
        <v>3</v>
      </c>
      <c r="I53" t="s">
        <v>337</v>
      </c>
      <c r="J53" t="s">
        <v>338</v>
      </c>
      <c r="K53" t="s">
        <v>339</v>
      </c>
      <c r="L53">
        <v>1348</v>
      </c>
      <c r="N53">
        <v>1009</v>
      </c>
      <c r="O53" t="s">
        <v>22</v>
      </c>
      <c r="P53" t="s">
        <v>22</v>
      </c>
      <c r="Q53">
        <v>1000</v>
      </c>
      <c r="W53">
        <v>0</v>
      </c>
      <c r="X53">
        <v>499358224</v>
      </c>
      <c r="Y53">
        <f>AT53</f>
        <v>8.9999999999999993E-3</v>
      </c>
      <c r="AA53">
        <v>119941.85</v>
      </c>
      <c r="AB53">
        <v>0</v>
      </c>
      <c r="AC53">
        <v>0</v>
      </c>
      <c r="AD53">
        <v>0</v>
      </c>
      <c r="AE53">
        <v>14312.87</v>
      </c>
      <c r="AF53">
        <v>0</v>
      </c>
      <c r="AG53">
        <v>0</v>
      </c>
      <c r="AH53">
        <v>0</v>
      </c>
      <c r="AI53">
        <v>8.3800000000000008</v>
      </c>
      <c r="AJ53">
        <v>1</v>
      </c>
      <c r="AK53">
        <v>1</v>
      </c>
      <c r="AL53">
        <v>1</v>
      </c>
      <c r="AM53">
        <v>4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8.9999999999999993E-3</v>
      </c>
      <c r="AU53" t="s">
        <v>3</v>
      </c>
      <c r="AV53">
        <v>0</v>
      </c>
      <c r="AW53">
        <v>2</v>
      </c>
      <c r="AX53">
        <v>146439149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ROUND(Y53*Source!I70,9)</f>
        <v>2.3400000000000001E-3</v>
      </c>
      <c r="CY53">
        <f>AA53</f>
        <v>119941.85</v>
      </c>
      <c r="CZ53">
        <f>AE53</f>
        <v>14312.87</v>
      </c>
      <c r="DA53">
        <f>AI53</f>
        <v>8.3800000000000008</v>
      </c>
      <c r="DB53">
        <f>ROUND(ROUND(AT53*CZ53,2),2)</f>
        <v>128.82</v>
      </c>
      <c r="DC53">
        <f>ROUND(ROUND(AT53*AG53,2),2)</f>
        <v>0</v>
      </c>
      <c r="DD53" t="s">
        <v>3</v>
      </c>
      <c r="DE53" t="s">
        <v>3</v>
      </c>
      <c r="DF53">
        <f>ROUND(ROUND(AE53*AI53,2)*CX53,2)</f>
        <v>280.66000000000003</v>
      </c>
      <c r="DG53">
        <f>ROUND(ROUND(AF53,2)*CX53,2)</f>
        <v>0</v>
      </c>
      <c r="DH53">
        <f>ROUND(ROUND(AG53,2)*CX53,2)</f>
        <v>0</v>
      </c>
      <c r="DI53">
        <f t="shared" si="36"/>
        <v>0</v>
      </c>
      <c r="DJ53">
        <f>DF53</f>
        <v>280.66000000000003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ROW(Source!A70)</f>
        <v>70</v>
      </c>
      <c r="B54">
        <v>146437721</v>
      </c>
      <c r="C54">
        <v>146439142</v>
      </c>
      <c r="D54">
        <v>140805221</v>
      </c>
      <c r="E54">
        <v>1</v>
      </c>
      <c r="F54">
        <v>1</v>
      </c>
      <c r="G54">
        <v>1</v>
      </c>
      <c r="H54">
        <v>3</v>
      </c>
      <c r="I54" t="s">
        <v>340</v>
      </c>
      <c r="J54" t="s">
        <v>341</v>
      </c>
      <c r="K54" t="s">
        <v>342</v>
      </c>
      <c r="L54">
        <v>1346</v>
      </c>
      <c r="N54">
        <v>1009</v>
      </c>
      <c r="O54" t="s">
        <v>259</v>
      </c>
      <c r="P54" t="s">
        <v>259</v>
      </c>
      <c r="Q54">
        <v>1</v>
      </c>
      <c r="W54">
        <v>0</v>
      </c>
      <c r="X54">
        <v>58056778</v>
      </c>
      <c r="Y54">
        <f>AT54</f>
        <v>1.4</v>
      </c>
      <c r="AA54">
        <v>55.89</v>
      </c>
      <c r="AB54">
        <v>0</v>
      </c>
      <c r="AC54">
        <v>0</v>
      </c>
      <c r="AD54">
        <v>0</v>
      </c>
      <c r="AE54">
        <v>6.67</v>
      </c>
      <c r="AF54">
        <v>0</v>
      </c>
      <c r="AG54">
        <v>0</v>
      </c>
      <c r="AH54">
        <v>0</v>
      </c>
      <c r="AI54">
        <v>8.3800000000000008</v>
      </c>
      <c r="AJ54">
        <v>1</v>
      </c>
      <c r="AK54">
        <v>1</v>
      </c>
      <c r="AL54">
        <v>1</v>
      </c>
      <c r="AM54">
        <v>4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1.4</v>
      </c>
      <c r="AU54" t="s">
        <v>3</v>
      </c>
      <c r="AV54">
        <v>0</v>
      </c>
      <c r="AW54">
        <v>2</v>
      </c>
      <c r="AX54">
        <v>146439150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ROUND(Y54*Source!I70,9)</f>
        <v>0.36399999999999999</v>
      </c>
      <c r="CY54">
        <f>AA54</f>
        <v>55.89</v>
      </c>
      <c r="CZ54">
        <f>AE54</f>
        <v>6.67</v>
      </c>
      <c r="DA54">
        <f>AI54</f>
        <v>8.3800000000000008</v>
      </c>
      <c r="DB54">
        <f>ROUND(ROUND(AT54*CZ54,2),2)</f>
        <v>9.34</v>
      </c>
      <c r="DC54">
        <f>ROUND(ROUND(AT54*AG54,2),2)</f>
        <v>0</v>
      </c>
      <c r="DD54" t="s">
        <v>3</v>
      </c>
      <c r="DE54" t="s">
        <v>3</v>
      </c>
      <c r="DF54">
        <f>ROUND(ROUND(AE54*AI54,2)*CX54,2)</f>
        <v>20.34</v>
      </c>
      <c r="DG54">
        <f>ROUND(ROUND(AF54,2)*CX54,2)</f>
        <v>0</v>
      </c>
      <c r="DH54">
        <f>ROUND(ROUND(AG54,2)*CX54,2)</f>
        <v>0</v>
      </c>
      <c r="DI54">
        <f t="shared" si="36"/>
        <v>0</v>
      </c>
      <c r="DJ54">
        <f>DF54</f>
        <v>20.34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ROW(Source!A71)</f>
        <v>71</v>
      </c>
      <c r="B55">
        <v>146437721</v>
      </c>
      <c r="C55">
        <v>146453347</v>
      </c>
      <c r="D55">
        <v>140759982</v>
      </c>
      <c r="E55">
        <v>70</v>
      </c>
      <c r="F55">
        <v>1</v>
      </c>
      <c r="G55">
        <v>1</v>
      </c>
      <c r="H55">
        <v>1</v>
      </c>
      <c r="I55" t="s">
        <v>316</v>
      </c>
      <c r="J55" t="s">
        <v>3</v>
      </c>
      <c r="K55" t="s">
        <v>317</v>
      </c>
      <c r="L55">
        <v>1191</v>
      </c>
      <c r="N55">
        <v>1013</v>
      </c>
      <c r="O55" t="s">
        <v>230</v>
      </c>
      <c r="P55" t="s">
        <v>230</v>
      </c>
      <c r="Q55">
        <v>1</v>
      </c>
      <c r="W55">
        <v>0</v>
      </c>
      <c r="X55">
        <v>-983457869</v>
      </c>
      <c r="Y55">
        <f>((AT55*1.15)*1.15)</f>
        <v>92.839500000000001</v>
      </c>
      <c r="AA55">
        <v>0</v>
      </c>
      <c r="AB55">
        <v>0</v>
      </c>
      <c r="AC55">
        <v>0</v>
      </c>
      <c r="AD55">
        <v>365.13</v>
      </c>
      <c r="AE55">
        <v>0</v>
      </c>
      <c r="AF55">
        <v>0</v>
      </c>
      <c r="AG55">
        <v>0</v>
      </c>
      <c r="AH55">
        <v>8.64</v>
      </c>
      <c r="AI55">
        <v>1</v>
      </c>
      <c r="AJ55">
        <v>1</v>
      </c>
      <c r="AK55">
        <v>1</v>
      </c>
      <c r="AL55">
        <v>42.26</v>
      </c>
      <c r="AM55">
        <v>4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70.2</v>
      </c>
      <c r="AU55" t="s">
        <v>104</v>
      </c>
      <c r="AV55">
        <v>1</v>
      </c>
      <c r="AW55">
        <v>2</v>
      </c>
      <c r="AX55">
        <v>146453348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ROUND(Y55*Source!I71,9)</f>
        <v>16.711110000000001</v>
      </c>
      <c r="CY55">
        <f>AD55</f>
        <v>365.13</v>
      </c>
      <c r="CZ55">
        <f>AH55</f>
        <v>8.64</v>
      </c>
      <c r="DA55">
        <f>AL55</f>
        <v>42.26</v>
      </c>
      <c r="DB55">
        <f>ROUND(((ROUND(AT55*CZ55,2)*1.15)*1.15),2)</f>
        <v>802.14</v>
      </c>
      <c r="DC55">
        <f>ROUND(((ROUND(AT55*AG55,2)*1.15)*1.15),2)</f>
        <v>0</v>
      </c>
      <c r="DD55" t="s">
        <v>3</v>
      </c>
      <c r="DE55" t="s">
        <v>3</v>
      </c>
      <c r="DF55">
        <f>ROUND(ROUND(AE55,2)*CX55,2)</f>
        <v>0</v>
      </c>
      <c r="DG55">
        <f>ROUND(ROUND(AF55,2)*CX55,2)</f>
        <v>0</v>
      </c>
      <c r="DH55">
        <f>ROUND(ROUND(AG55,2)*CX55,2)</f>
        <v>0</v>
      </c>
      <c r="DI55">
        <f>ROUND(ROUND(AH55*AL55,2)*CX55,2)</f>
        <v>6101.73</v>
      </c>
      <c r="DJ55">
        <f>DI55</f>
        <v>6101.73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ROW(Source!A71)</f>
        <v>71</v>
      </c>
      <c r="B56">
        <v>146437721</v>
      </c>
      <c r="C56">
        <v>146453347</v>
      </c>
      <c r="D56">
        <v>140760225</v>
      </c>
      <c r="E56">
        <v>70</v>
      </c>
      <c r="F56">
        <v>1</v>
      </c>
      <c r="G56">
        <v>1</v>
      </c>
      <c r="H56">
        <v>1</v>
      </c>
      <c r="I56" t="s">
        <v>231</v>
      </c>
      <c r="J56" t="s">
        <v>3</v>
      </c>
      <c r="K56" t="s">
        <v>232</v>
      </c>
      <c r="L56">
        <v>1191</v>
      </c>
      <c r="N56">
        <v>1013</v>
      </c>
      <c r="O56" t="s">
        <v>230</v>
      </c>
      <c r="P56" t="s">
        <v>230</v>
      </c>
      <c r="Q56">
        <v>1</v>
      </c>
      <c r="W56">
        <v>0</v>
      </c>
      <c r="X56">
        <v>-1417349443</v>
      </c>
      <c r="Y56">
        <f>((AT56*1.25)*1.15)</f>
        <v>0.25874999999999998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42.26</v>
      </c>
      <c r="AL56">
        <v>1</v>
      </c>
      <c r="AM56">
        <v>4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0.18</v>
      </c>
      <c r="AU56" t="s">
        <v>103</v>
      </c>
      <c r="AV56">
        <v>2</v>
      </c>
      <c r="AW56">
        <v>2</v>
      </c>
      <c r="AX56">
        <v>146453349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ROUND(Y56*Source!I71,9)</f>
        <v>4.6574999999999998E-2</v>
      </c>
      <c r="CY56">
        <f>AD56</f>
        <v>0</v>
      </c>
      <c r="CZ56">
        <f>AH56</f>
        <v>0</v>
      </c>
      <c r="DA56">
        <f>AL56</f>
        <v>1</v>
      </c>
      <c r="DB56">
        <f>ROUND(((ROUND(AT56*CZ56,2)*1.25)*1.15),2)</f>
        <v>0</v>
      </c>
      <c r="DC56">
        <f>ROUND(((ROUND(AT56*AG56,2)*1.25)*1.15),2)</f>
        <v>0</v>
      </c>
      <c r="DD56" t="s">
        <v>3</v>
      </c>
      <c r="DE56" t="s">
        <v>3</v>
      </c>
      <c r="DF56">
        <f>ROUND(ROUND(AE56,2)*CX56,2)</f>
        <v>0</v>
      </c>
      <c r="DG56">
        <f>ROUND(ROUND(AF56,2)*CX56,2)</f>
        <v>0</v>
      </c>
      <c r="DH56">
        <f>ROUND(ROUND(AG56*AK56,2)*CX56,2)</f>
        <v>0</v>
      </c>
      <c r="DI56">
        <f>ROUND(ROUND(AH56,2)*CX56,2)</f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ROW(Source!A71)</f>
        <v>71</v>
      </c>
      <c r="B57">
        <v>146437721</v>
      </c>
      <c r="C57">
        <v>146453347</v>
      </c>
      <c r="D57">
        <v>140923885</v>
      </c>
      <c r="E57">
        <v>1</v>
      </c>
      <c r="F57">
        <v>1</v>
      </c>
      <c r="G57">
        <v>1</v>
      </c>
      <c r="H57">
        <v>2</v>
      </c>
      <c r="I57" t="s">
        <v>274</v>
      </c>
      <c r="J57" t="s">
        <v>275</v>
      </c>
      <c r="K57" t="s">
        <v>276</v>
      </c>
      <c r="L57">
        <v>1367</v>
      </c>
      <c r="N57">
        <v>1011</v>
      </c>
      <c r="O57" t="s">
        <v>236</v>
      </c>
      <c r="P57" t="s">
        <v>236</v>
      </c>
      <c r="Q57">
        <v>1</v>
      </c>
      <c r="W57">
        <v>0</v>
      </c>
      <c r="X57">
        <v>509054691</v>
      </c>
      <c r="Y57">
        <f>((AT57*1.25)*1.15)</f>
        <v>0.25874999999999998</v>
      </c>
      <c r="AA57">
        <v>0</v>
      </c>
      <c r="AB57">
        <v>864.09</v>
      </c>
      <c r="AC57">
        <v>490.22</v>
      </c>
      <c r="AD57">
        <v>0</v>
      </c>
      <c r="AE57">
        <v>0</v>
      </c>
      <c r="AF57">
        <v>65.709999999999994</v>
      </c>
      <c r="AG57">
        <v>11.6</v>
      </c>
      <c r="AH57">
        <v>0</v>
      </c>
      <c r="AI57">
        <v>1</v>
      </c>
      <c r="AJ57">
        <v>13.15</v>
      </c>
      <c r="AK57">
        <v>42.26</v>
      </c>
      <c r="AL57">
        <v>1</v>
      </c>
      <c r="AM57">
        <v>4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0.18</v>
      </c>
      <c r="AU57" t="s">
        <v>103</v>
      </c>
      <c r="AV57">
        <v>0</v>
      </c>
      <c r="AW57">
        <v>2</v>
      </c>
      <c r="AX57">
        <v>146453350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ROUND(Y57*Source!I71,9)</f>
        <v>4.6574999999999998E-2</v>
      </c>
      <c r="CY57">
        <f>AB57</f>
        <v>864.09</v>
      </c>
      <c r="CZ57">
        <f>AF57</f>
        <v>65.709999999999994</v>
      </c>
      <c r="DA57">
        <f>AJ57</f>
        <v>13.15</v>
      </c>
      <c r="DB57">
        <f>ROUND(((ROUND(AT57*CZ57,2)*1.25)*1.15),2)</f>
        <v>17.010000000000002</v>
      </c>
      <c r="DC57">
        <f>ROUND(((ROUND(AT57*AG57,2)*1.25)*1.15),2)</f>
        <v>3</v>
      </c>
      <c r="DD57" t="s">
        <v>3</v>
      </c>
      <c r="DE57" t="s">
        <v>3</v>
      </c>
      <c r="DF57">
        <f>ROUND(ROUND(AE57,2)*CX57,2)</f>
        <v>0</v>
      </c>
      <c r="DG57">
        <f>ROUND(ROUND(AF57*AJ57,2)*CX57,2)</f>
        <v>40.24</v>
      </c>
      <c r="DH57">
        <f>ROUND(ROUND(AG57*AK57,2)*CX57,2)</f>
        <v>22.83</v>
      </c>
      <c r="DI57">
        <f>ROUND(ROUND(AH57,2)*CX57,2)</f>
        <v>0</v>
      </c>
      <c r="DJ57">
        <f>DG57</f>
        <v>40.24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ROW(Source!A71)</f>
        <v>71</v>
      </c>
      <c r="B58">
        <v>146437721</v>
      </c>
      <c r="C58">
        <v>146453347</v>
      </c>
      <c r="D58">
        <v>140775571</v>
      </c>
      <c r="E58">
        <v>1</v>
      </c>
      <c r="F58">
        <v>1</v>
      </c>
      <c r="G58">
        <v>1</v>
      </c>
      <c r="H58">
        <v>3</v>
      </c>
      <c r="I58" t="s">
        <v>343</v>
      </c>
      <c r="J58" t="s">
        <v>344</v>
      </c>
      <c r="K58" t="s">
        <v>345</v>
      </c>
      <c r="L58">
        <v>1339</v>
      </c>
      <c r="N58">
        <v>1007</v>
      </c>
      <c r="O58" t="s">
        <v>255</v>
      </c>
      <c r="P58" t="s">
        <v>255</v>
      </c>
      <c r="Q58">
        <v>1</v>
      </c>
      <c r="W58">
        <v>0</v>
      </c>
      <c r="X58">
        <v>793530824</v>
      </c>
      <c r="Y58">
        <f>(AT58*0)</f>
        <v>0</v>
      </c>
      <c r="AA58">
        <v>9218</v>
      </c>
      <c r="AB58">
        <v>0</v>
      </c>
      <c r="AC58">
        <v>0</v>
      </c>
      <c r="AD58">
        <v>0</v>
      </c>
      <c r="AE58">
        <v>1100</v>
      </c>
      <c r="AF58">
        <v>0</v>
      </c>
      <c r="AG58">
        <v>0</v>
      </c>
      <c r="AH58">
        <v>0</v>
      </c>
      <c r="AI58">
        <v>8.3800000000000008</v>
      </c>
      <c r="AJ58">
        <v>1</v>
      </c>
      <c r="AK58">
        <v>1</v>
      </c>
      <c r="AL58">
        <v>1</v>
      </c>
      <c r="AM58">
        <v>4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8.0000000000000002E-3</v>
      </c>
      <c r="AU58" t="s">
        <v>143</v>
      </c>
      <c r="AV58">
        <v>0</v>
      </c>
      <c r="AW58">
        <v>2</v>
      </c>
      <c r="AX58">
        <v>146453351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ROUND(Y58*Source!I71,9)</f>
        <v>0</v>
      </c>
      <c r="CY58">
        <f>AA58</f>
        <v>9218</v>
      </c>
      <c r="CZ58">
        <f>AE58</f>
        <v>1100</v>
      </c>
      <c r="DA58">
        <f>AI58</f>
        <v>8.3800000000000008</v>
      </c>
      <c r="DB58">
        <f>ROUND((ROUND(AT58*CZ58,2)*0),2)</f>
        <v>0</v>
      </c>
      <c r="DC58">
        <f>ROUND((ROUND(AT58*AG58,2)*0),2)</f>
        <v>0</v>
      </c>
      <c r="DD58" t="s">
        <v>3</v>
      </c>
      <c r="DE58" t="s">
        <v>3</v>
      </c>
      <c r="DF58">
        <f>ROUND(ROUND(AE58*AI58,2)*CX58,2)</f>
        <v>0</v>
      </c>
      <c r="DG58">
        <f>ROUND(ROUND(AF58,2)*CX58,2)</f>
        <v>0</v>
      </c>
      <c r="DH58">
        <f>ROUND(ROUND(AG58,2)*CX58,2)</f>
        <v>0</v>
      </c>
      <c r="DI58">
        <f>ROUND(ROUND(AH58,2)*CX58,2)</f>
        <v>0</v>
      </c>
      <c r="DJ58">
        <f>DF58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ROW(Source!A71)</f>
        <v>71</v>
      </c>
      <c r="B59">
        <v>146437721</v>
      </c>
      <c r="C59">
        <v>146453347</v>
      </c>
      <c r="D59">
        <v>140775573</v>
      </c>
      <c r="E59">
        <v>1</v>
      </c>
      <c r="F59">
        <v>1</v>
      </c>
      <c r="G59">
        <v>1</v>
      </c>
      <c r="H59">
        <v>3</v>
      </c>
      <c r="I59" t="s">
        <v>346</v>
      </c>
      <c r="J59" t="s">
        <v>347</v>
      </c>
      <c r="K59" t="s">
        <v>348</v>
      </c>
      <c r="L59">
        <v>1348</v>
      </c>
      <c r="N59">
        <v>1009</v>
      </c>
      <c r="O59" t="s">
        <v>22</v>
      </c>
      <c r="P59" t="s">
        <v>22</v>
      </c>
      <c r="Q59">
        <v>1000</v>
      </c>
      <c r="W59">
        <v>0</v>
      </c>
      <c r="X59">
        <v>-322404577</v>
      </c>
      <c r="Y59">
        <f>(AT59*0)</f>
        <v>0</v>
      </c>
      <c r="AA59">
        <v>51134.76</v>
      </c>
      <c r="AB59">
        <v>0</v>
      </c>
      <c r="AC59">
        <v>0</v>
      </c>
      <c r="AD59">
        <v>0</v>
      </c>
      <c r="AE59">
        <v>6102</v>
      </c>
      <c r="AF59">
        <v>0</v>
      </c>
      <c r="AG59">
        <v>0</v>
      </c>
      <c r="AH59">
        <v>0</v>
      </c>
      <c r="AI59">
        <v>8.3800000000000008</v>
      </c>
      <c r="AJ59">
        <v>1</v>
      </c>
      <c r="AK59">
        <v>1</v>
      </c>
      <c r="AL59">
        <v>1</v>
      </c>
      <c r="AM59">
        <v>4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2.9000000000000001E-2</v>
      </c>
      <c r="AU59" t="s">
        <v>143</v>
      </c>
      <c r="AV59">
        <v>0</v>
      </c>
      <c r="AW59">
        <v>2</v>
      </c>
      <c r="AX59">
        <v>146453352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ROUND(Y59*Source!I71,9)</f>
        <v>0</v>
      </c>
      <c r="CY59">
        <f>AA59</f>
        <v>51134.76</v>
      </c>
      <c r="CZ59">
        <f>AE59</f>
        <v>6102</v>
      </c>
      <c r="DA59">
        <f>AI59</f>
        <v>8.3800000000000008</v>
      </c>
      <c r="DB59">
        <f>ROUND((ROUND(AT59*CZ59,2)*0),2)</f>
        <v>0</v>
      </c>
      <c r="DC59">
        <f>ROUND((ROUND(AT59*AG59,2)*0),2)</f>
        <v>0</v>
      </c>
      <c r="DD59" t="s">
        <v>3</v>
      </c>
      <c r="DE59" t="s">
        <v>3</v>
      </c>
      <c r="DF59">
        <f>ROUND(ROUND(AE59*AI59,2)*CX59,2)</f>
        <v>0</v>
      </c>
      <c r="DG59">
        <f>ROUND(ROUND(AF59,2)*CX59,2)</f>
        <v>0</v>
      </c>
      <c r="DH59">
        <f>ROUND(ROUND(AG59,2)*CX59,2)</f>
        <v>0</v>
      </c>
      <c r="DI59">
        <f>ROUND(ROUND(AH59,2)*CX59,2)</f>
        <v>0</v>
      </c>
      <c r="DJ59">
        <f>DF59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ROW(Source!A71)</f>
        <v>71</v>
      </c>
      <c r="B60">
        <v>146437721</v>
      </c>
      <c r="C60">
        <v>146453347</v>
      </c>
      <c r="D60">
        <v>140797739</v>
      </c>
      <c r="E60">
        <v>1</v>
      </c>
      <c r="F60">
        <v>1</v>
      </c>
      <c r="G60">
        <v>1</v>
      </c>
      <c r="H60">
        <v>3</v>
      </c>
      <c r="I60" t="s">
        <v>349</v>
      </c>
      <c r="J60" t="s">
        <v>350</v>
      </c>
      <c r="K60" t="s">
        <v>351</v>
      </c>
      <c r="L60">
        <v>1327</v>
      </c>
      <c r="N60">
        <v>1005</v>
      </c>
      <c r="O60" t="s">
        <v>352</v>
      </c>
      <c r="P60" t="s">
        <v>352</v>
      </c>
      <c r="Q60">
        <v>1</v>
      </c>
      <c r="W60">
        <v>0</v>
      </c>
      <c r="X60">
        <v>-1971970762</v>
      </c>
      <c r="Y60">
        <f>(AT60*0)</f>
        <v>0</v>
      </c>
      <c r="AA60">
        <v>295.14</v>
      </c>
      <c r="AB60">
        <v>0</v>
      </c>
      <c r="AC60">
        <v>0</v>
      </c>
      <c r="AD60">
        <v>0</v>
      </c>
      <c r="AE60">
        <v>35.22</v>
      </c>
      <c r="AF60">
        <v>0</v>
      </c>
      <c r="AG60">
        <v>0</v>
      </c>
      <c r="AH60">
        <v>0</v>
      </c>
      <c r="AI60">
        <v>8.3800000000000008</v>
      </c>
      <c r="AJ60">
        <v>1</v>
      </c>
      <c r="AK60">
        <v>1</v>
      </c>
      <c r="AL60">
        <v>1</v>
      </c>
      <c r="AM60">
        <v>4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5.5</v>
      </c>
      <c r="AU60" t="s">
        <v>143</v>
      </c>
      <c r="AV60">
        <v>0</v>
      </c>
      <c r="AW60">
        <v>2</v>
      </c>
      <c r="AX60">
        <v>146453353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ROUND(Y60*Source!I71,9)</f>
        <v>0</v>
      </c>
      <c r="CY60">
        <f>AA60</f>
        <v>295.14</v>
      </c>
      <c r="CZ60">
        <f>AE60</f>
        <v>35.22</v>
      </c>
      <c r="DA60">
        <f>AI60</f>
        <v>8.3800000000000008</v>
      </c>
      <c r="DB60">
        <f>ROUND((ROUND(AT60*CZ60,2)*0),2)</f>
        <v>0</v>
      </c>
      <c r="DC60">
        <f>ROUND((ROUND(AT60*AG60,2)*0),2)</f>
        <v>0</v>
      </c>
      <c r="DD60" t="s">
        <v>3</v>
      </c>
      <c r="DE60" t="s">
        <v>3</v>
      </c>
      <c r="DF60">
        <f>ROUND(ROUND(AE60*AI60,2)*CX60,2)</f>
        <v>0</v>
      </c>
      <c r="DG60">
        <f>ROUND(ROUND(AF60,2)*CX60,2)</f>
        <v>0</v>
      </c>
      <c r="DH60">
        <f>ROUND(ROUND(AG60,2)*CX60,2)</f>
        <v>0</v>
      </c>
      <c r="DI60">
        <f>ROUND(ROUND(AH60,2)*CX60,2)</f>
        <v>0</v>
      </c>
      <c r="DJ60">
        <f>DF60</f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ROW(Source!A72)</f>
        <v>72</v>
      </c>
      <c r="B61">
        <v>146437721</v>
      </c>
      <c r="C61">
        <v>146453354</v>
      </c>
      <c r="D61">
        <v>140759982</v>
      </c>
      <c r="E61">
        <v>70</v>
      </c>
      <c r="F61">
        <v>1</v>
      </c>
      <c r="G61">
        <v>1</v>
      </c>
      <c r="H61">
        <v>1</v>
      </c>
      <c r="I61" t="s">
        <v>316</v>
      </c>
      <c r="J61" t="s">
        <v>3</v>
      </c>
      <c r="K61" t="s">
        <v>317</v>
      </c>
      <c r="L61">
        <v>1191</v>
      </c>
      <c r="N61">
        <v>1013</v>
      </c>
      <c r="O61" t="s">
        <v>230</v>
      </c>
      <c r="P61" t="s">
        <v>230</v>
      </c>
      <c r="Q61">
        <v>1</v>
      </c>
      <c r="W61">
        <v>0</v>
      </c>
      <c r="X61">
        <v>-983457869</v>
      </c>
      <c r="Y61">
        <f>((AT61*1.15)*1.15)</f>
        <v>8.7284999999999986</v>
      </c>
      <c r="AA61">
        <v>0</v>
      </c>
      <c r="AB61">
        <v>0</v>
      </c>
      <c r="AC61">
        <v>0</v>
      </c>
      <c r="AD61">
        <v>365.13</v>
      </c>
      <c r="AE61">
        <v>0</v>
      </c>
      <c r="AF61">
        <v>0</v>
      </c>
      <c r="AG61">
        <v>0</v>
      </c>
      <c r="AH61">
        <v>8.64</v>
      </c>
      <c r="AI61">
        <v>1</v>
      </c>
      <c r="AJ61">
        <v>1</v>
      </c>
      <c r="AK61">
        <v>1</v>
      </c>
      <c r="AL61">
        <v>42.26</v>
      </c>
      <c r="AM61">
        <v>4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6.6</v>
      </c>
      <c r="AU61" t="s">
        <v>104</v>
      </c>
      <c r="AV61">
        <v>1</v>
      </c>
      <c r="AW61">
        <v>2</v>
      </c>
      <c r="AX61">
        <v>146453355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ROUND(Y61*Source!I72,9)</f>
        <v>1.5711299999999999</v>
      </c>
      <c r="CY61">
        <f>AD61</f>
        <v>365.13</v>
      </c>
      <c r="CZ61">
        <f>AH61</f>
        <v>8.64</v>
      </c>
      <c r="DA61">
        <f>AL61</f>
        <v>42.26</v>
      </c>
      <c r="DB61">
        <f>ROUND(((ROUND(AT61*CZ61,2)*1.15)*1.15),2)</f>
        <v>75.41</v>
      </c>
      <c r="DC61">
        <f>ROUND(((ROUND(AT61*AG61,2)*1.15)*1.15),2)</f>
        <v>0</v>
      </c>
      <c r="DD61" t="s">
        <v>3</v>
      </c>
      <c r="DE61" t="s">
        <v>3</v>
      </c>
      <c r="DF61">
        <f>ROUND(ROUND(AE61,2)*CX61,2)</f>
        <v>0</v>
      </c>
      <c r="DG61">
        <f>ROUND(ROUND(AF61,2)*CX61,2)</f>
        <v>0</v>
      </c>
      <c r="DH61">
        <f>ROUND(ROUND(AG61,2)*CX61,2)</f>
        <v>0</v>
      </c>
      <c r="DI61">
        <f>ROUND(ROUND(AH61*AL61,2)*CX61,2)</f>
        <v>573.66999999999996</v>
      </c>
      <c r="DJ61">
        <f>DI61</f>
        <v>573.66999999999996</v>
      </c>
      <c r="DK61">
        <v>0</v>
      </c>
      <c r="DL61" t="s">
        <v>3</v>
      </c>
      <c r="DM61">
        <v>0</v>
      </c>
      <c r="DN61" t="s">
        <v>3</v>
      </c>
      <c r="DO6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6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ROW(Source!A65)</f>
        <v>65</v>
      </c>
      <c r="B1">
        <v>146486448</v>
      </c>
      <c r="C1">
        <v>146486423</v>
      </c>
      <c r="D1">
        <v>140760031</v>
      </c>
      <c r="E1">
        <v>70</v>
      </c>
      <c r="F1">
        <v>1</v>
      </c>
      <c r="G1">
        <v>1</v>
      </c>
      <c r="H1">
        <v>1</v>
      </c>
      <c r="I1" t="s">
        <v>228</v>
      </c>
      <c r="J1" t="s">
        <v>3</v>
      </c>
      <c r="K1" t="s">
        <v>229</v>
      </c>
      <c r="L1">
        <v>1191</v>
      </c>
      <c r="N1">
        <v>1013</v>
      </c>
      <c r="O1" t="s">
        <v>230</v>
      </c>
      <c r="P1" t="s">
        <v>230</v>
      </c>
      <c r="Q1">
        <v>1</v>
      </c>
      <c r="X1">
        <v>27.8</v>
      </c>
      <c r="Y1">
        <v>0</v>
      </c>
      <c r="Z1">
        <v>0</v>
      </c>
      <c r="AA1">
        <v>0</v>
      </c>
      <c r="AB1">
        <v>9.6199999999999992</v>
      </c>
      <c r="AC1">
        <v>0</v>
      </c>
      <c r="AD1">
        <v>1</v>
      </c>
      <c r="AE1">
        <v>1</v>
      </c>
      <c r="AF1" t="s">
        <v>3</v>
      </c>
      <c r="AG1">
        <v>27.8</v>
      </c>
      <c r="AH1">
        <v>2</v>
      </c>
      <c r="AI1">
        <v>146486448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ROW(Source!A65)</f>
        <v>65</v>
      </c>
      <c r="B2">
        <v>146486449</v>
      </c>
      <c r="C2">
        <v>146486423</v>
      </c>
      <c r="D2">
        <v>140760225</v>
      </c>
      <c r="E2">
        <v>70</v>
      </c>
      <c r="F2">
        <v>1</v>
      </c>
      <c r="G2">
        <v>1</v>
      </c>
      <c r="H2">
        <v>1</v>
      </c>
      <c r="I2" t="s">
        <v>231</v>
      </c>
      <c r="J2" t="s">
        <v>3</v>
      </c>
      <c r="K2" t="s">
        <v>232</v>
      </c>
      <c r="L2">
        <v>1191</v>
      </c>
      <c r="N2">
        <v>1013</v>
      </c>
      <c r="O2" t="s">
        <v>230</v>
      </c>
      <c r="P2" t="s">
        <v>230</v>
      </c>
      <c r="Q2">
        <v>1</v>
      </c>
      <c r="X2">
        <v>3.02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3.02</v>
      </c>
      <c r="AH2">
        <v>2</v>
      </c>
      <c r="AI2">
        <v>146486449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ROW(Source!A65)</f>
        <v>65</v>
      </c>
      <c r="B3">
        <v>146486450</v>
      </c>
      <c r="C3">
        <v>146486423</v>
      </c>
      <c r="D3">
        <v>140922951</v>
      </c>
      <c r="E3">
        <v>1</v>
      </c>
      <c r="F3">
        <v>1</v>
      </c>
      <c r="G3">
        <v>1</v>
      </c>
      <c r="H3">
        <v>2</v>
      </c>
      <c r="I3" t="s">
        <v>233</v>
      </c>
      <c r="J3" t="s">
        <v>234</v>
      </c>
      <c r="K3" t="s">
        <v>235</v>
      </c>
      <c r="L3">
        <v>1367</v>
      </c>
      <c r="N3">
        <v>1011</v>
      </c>
      <c r="O3" t="s">
        <v>236</v>
      </c>
      <c r="P3" t="s">
        <v>236</v>
      </c>
      <c r="Q3">
        <v>1</v>
      </c>
      <c r="X3">
        <v>0.5</v>
      </c>
      <c r="Y3">
        <v>0</v>
      </c>
      <c r="Z3">
        <v>115.4</v>
      </c>
      <c r="AA3">
        <v>13.5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0.5</v>
      </c>
      <c r="AH3">
        <v>2</v>
      </c>
      <c r="AI3">
        <v>146486450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ROW(Source!A65)</f>
        <v>65</v>
      </c>
      <c r="B4">
        <v>146486451</v>
      </c>
      <c r="C4">
        <v>146486423</v>
      </c>
      <c r="D4">
        <v>140923082</v>
      </c>
      <c r="E4">
        <v>1</v>
      </c>
      <c r="F4">
        <v>1</v>
      </c>
      <c r="G4">
        <v>1</v>
      </c>
      <c r="H4">
        <v>2</v>
      </c>
      <c r="I4" t="s">
        <v>237</v>
      </c>
      <c r="J4" t="s">
        <v>238</v>
      </c>
      <c r="K4" t="s">
        <v>239</v>
      </c>
      <c r="L4">
        <v>1367</v>
      </c>
      <c r="N4">
        <v>1011</v>
      </c>
      <c r="O4" t="s">
        <v>236</v>
      </c>
      <c r="P4" t="s">
        <v>236</v>
      </c>
      <c r="Q4">
        <v>1</v>
      </c>
      <c r="X4">
        <v>2.02</v>
      </c>
      <c r="Y4">
        <v>0</v>
      </c>
      <c r="Z4">
        <v>29.08</v>
      </c>
      <c r="AA4">
        <v>10.06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2.02</v>
      </c>
      <c r="AH4">
        <v>2</v>
      </c>
      <c r="AI4">
        <v>146486451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ROW(Source!A65)</f>
        <v>65</v>
      </c>
      <c r="B5">
        <v>146486452</v>
      </c>
      <c r="C5">
        <v>146486423</v>
      </c>
      <c r="D5">
        <v>140923886</v>
      </c>
      <c r="E5">
        <v>1</v>
      </c>
      <c r="F5">
        <v>1</v>
      </c>
      <c r="G5">
        <v>1</v>
      </c>
      <c r="H5">
        <v>2</v>
      </c>
      <c r="I5" t="s">
        <v>240</v>
      </c>
      <c r="J5" t="s">
        <v>241</v>
      </c>
      <c r="K5" t="s">
        <v>242</v>
      </c>
      <c r="L5">
        <v>1367</v>
      </c>
      <c r="N5">
        <v>1011</v>
      </c>
      <c r="O5" t="s">
        <v>236</v>
      </c>
      <c r="P5" t="s">
        <v>236</v>
      </c>
      <c r="Q5">
        <v>1</v>
      </c>
      <c r="X5">
        <v>0.5</v>
      </c>
      <c r="Y5">
        <v>0</v>
      </c>
      <c r="Z5">
        <v>85.84</v>
      </c>
      <c r="AA5">
        <v>11.6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0.5</v>
      </c>
      <c r="AH5">
        <v>2</v>
      </c>
      <c r="AI5">
        <v>146486452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ROW(Source!A65)</f>
        <v>65</v>
      </c>
      <c r="B6">
        <v>146486453</v>
      </c>
      <c r="C6">
        <v>146486423</v>
      </c>
      <c r="D6">
        <v>140924041</v>
      </c>
      <c r="E6">
        <v>1</v>
      </c>
      <c r="F6">
        <v>1</v>
      </c>
      <c r="G6">
        <v>1</v>
      </c>
      <c r="H6">
        <v>2</v>
      </c>
      <c r="I6" t="s">
        <v>243</v>
      </c>
      <c r="J6" t="s">
        <v>244</v>
      </c>
      <c r="K6" t="s">
        <v>245</v>
      </c>
      <c r="L6">
        <v>1367</v>
      </c>
      <c r="N6">
        <v>1011</v>
      </c>
      <c r="O6" t="s">
        <v>236</v>
      </c>
      <c r="P6" t="s">
        <v>236</v>
      </c>
      <c r="Q6">
        <v>1</v>
      </c>
      <c r="X6">
        <v>1.2</v>
      </c>
      <c r="Y6">
        <v>0</v>
      </c>
      <c r="Z6">
        <v>1.2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1.2</v>
      </c>
      <c r="AH6">
        <v>2</v>
      </c>
      <c r="AI6">
        <v>146486453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ROW(Source!A65)</f>
        <v>65</v>
      </c>
      <c r="B7">
        <v>146486454</v>
      </c>
      <c r="C7">
        <v>146486423</v>
      </c>
      <c r="D7">
        <v>140924098</v>
      </c>
      <c r="E7">
        <v>1</v>
      </c>
      <c r="F7">
        <v>1</v>
      </c>
      <c r="G7">
        <v>1</v>
      </c>
      <c r="H7">
        <v>2</v>
      </c>
      <c r="I7" t="s">
        <v>246</v>
      </c>
      <c r="J7" t="s">
        <v>247</v>
      </c>
      <c r="K7" t="s">
        <v>248</v>
      </c>
      <c r="L7">
        <v>1367</v>
      </c>
      <c r="N7">
        <v>1011</v>
      </c>
      <c r="O7" t="s">
        <v>236</v>
      </c>
      <c r="P7" t="s">
        <v>236</v>
      </c>
      <c r="Q7">
        <v>1</v>
      </c>
      <c r="X7">
        <v>7.18</v>
      </c>
      <c r="Y7">
        <v>0</v>
      </c>
      <c r="Z7">
        <v>8.1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7.18</v>
      </c>
      <c r="AH7">
        <v>2</v>
      </c>
      <c r="AI7">
        <v>146486454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ROW(Source!A65)</f>
        <v>65</v>
      </c>
      <c r="B8">
        <v>146486455</v>
      </c>
      <c r="C8">
        <v>146486423</v>
      </c>
      <c r="D8">
        <v>140924652</v>
      </c>
      <c r="E8">
        <v>1</v>
      </c>
      <c r="F8">
        <v>1</v>
      </c>
      <c r="G8">
        <v>1</v>
      </c>
      <c r="H8">
        <v>2</v>
      </c>
      <c r="I8" t="s">
        <v>249</v>
      </c>
      <c r="J8" t="s">
        <v>250</v>
      </c>
      <c r="K8" t="s">
        <v>251</v>
      </c>
      <c r="L8">
        <v>1367</v>
      </c>
      <c r="N8">
        <v>1011</v>
      </c>
      <c r="O8" t="s">
        <v>236</v>
      </c>
      <c r="P8" t="s">
        <v>236</v>
      </c>
      <c r="Q8">
        <v>1</v>
      </c>
      <c r="X8">
        <v>4.7</v>
      </c>
      <c r="Y8">
        <v>0</v>
      </c>
      <c r="Z8">
        <v>2.36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4.7</v>
      </c>
      <c r="AH8">
        <v>2</v>
      </c>
      <c r="AI8">
        <v>146486455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ROW(Source!A65)</f>
        <v>65</v>
      </c>
      <c r="B9">
        <v>146486456</v>
      </c>
      <c r="C9">
        <v>146486423</v>
      </c>
      <c r="D9">
        <v>140771005</v>
      </c>
      <c r="E9">
        <v>1</v>
      </c>
      <c r="F9">
        <v>1</v>
      </c>
      <c r="G9">
        <v>1</v>
      </c>
      <c r="H9">
        <v>3</v>
      </c>
      <c r="I9" t="s">
        <v>252</v>
      </c>
      <c r="J9" t="s">
        <v>253</v>
      </c>
      <c r="K9" t="s">
        <v>254</v>
      </c>
      <c r="L9">
        <v>1339</v>
      </c>
      <c r="N9">
        <v>1007</v>
      </c>
      <c r="O9" t="s">
        <v>255</v>
      </c>
      <c r="P9" t="s">
        <v>255</v>
      </c>
      <c r="Q9">
        <v>1</v>
      </c>
      <c r="X9">
        <v>0.6</v>
      </c>
      <c r="Y9">
        <v>6.22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0.6</v>
      </c>
      <c r="AH9">
        <v>2</v>
      </c>
      <c r="AI9">
        <v>146486456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ROW(Source!A65)</f>
        <v>65</v>
      </c>
      <c r="B10">
        <v>146486457</v>
      </c>
      <c r="C10">
        <v>146486423</v>
      </c>
      <c r="D10">
        <v>140771011</v>
      </c>
      <c r="E10">
        <v>1</v>
      </c>
      <c r="F10">
        <v>1</v>
      </c>
      <c r="G10">
        <v>1</v>
      </c>
      <c r="H10">
        <v>3</v>
      </c>
      <c r="I10" t="s">
        <v>256</v>
      </c>
      <c r="J10" t="s">
        <v>257</v>
      </c>
      <c r="K10" t="s">
        <v>258</v>
      </c>
      <c r="L10">
        <v>1346</v>
      </c>
      <c r="N10">
        <v>1009</v>
      </c>
      <c r="O10" t="s">
        <v>259</v>
      </c>
      <c r="P10" t="s">
        <v>259</v>
      </c>
      <c r="Q10">
        <v>1</v>
      </c>
      <c r="X10">
        <v>0.2</v>
      </c>
      <c r="Y10">
        <v>6.09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0.2</v>
      </c>
      <c r="AH10">
        <v>2</v>
      </c>
      <c r="AI10">
        <v>146486457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ROW(Source!A65)</f>
        <v>65</v>
      </c>
      <c r="B11">
        <v>146486458</v>
      </c>
      <c r="C11">
        <v>146486423</v>
      </c>
      <c r="D11">
        <v>140773788</v>
      </c>
      <c r="E11">
        <v>1</v>
      </c>
      <c r="F11">
        <v>1</v>
      </c>
      <c r="G11">
        <v>1</v>
      </c>
      <c r="H11">
        <v>3</v>
      </c>
      <c r="I11" t="s">
        <v>260</v>
      </c>
      <c r="J11" t="s">
        <v>261</v>
      </c>
      <c r="K11" t="s">
        <v>262</v>
      </c>
      <c r="L11">
        <v>1348</v>
      </c>
      <c r="N11">
        <v>1009</v>
      </c>
      <c r="O11" t="s">
        <v>22</v>
      </c>
      <c r="P11" t="s">
        <v>22</v>
      </c>
      <c r="Q11">
        <v>1000</v>
      </c>
      <c r="X11">
        <v>3.2000000000000002E-3</v>
      </c>
      <c r="Y11">
        <v>9765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3.2000000000000002E-3</v>
      </c>
      <c r="AH11">
        <v>2</v>
      </c>
      <c r="AI11">
        <v>146486458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ROW(Source!A65)</f>
        <v>65</v>
      </c>
      <c r="B12">
        <v>146486459</v>
      </c>
      <c r="C12">
        <v>146486423</v>
      </c>
      <c r="D12">
        <v>140765022</v>
      </c>
      <c r="E12">
        <v>70</v>
      </c>
      <c r="F12">
        <v>1</v>
      </c>
      <c r="G12">
        <v>1</v>
      </c>
      <c r="H12">
        <v>3</v>
      </c>
      <c r="I12" t="s">
        <v>263</v>
      </c>
      <c r="J12" t="s">
        <v>3</v>
      </c>
      <c r="K12" t="s">
        <v>264</v>
      </c>
      <c r="L12">
        <v>1374</v>
      </c>
      <c r="N12">
        <v>1013</v>
      </c>
      <c r="O12" t="s">
        <v>265</v>
      </c>
      <c r="P12" t="s">
        <v>265</v>
      </c>
      <c r="Q12">
        <v>1</v>
      </c>
      <c r="X12">
        <v>5.35</v>
      </c>
      <c r="Y12">
        <v>1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5.35</v>
      </c>
      <c r="AH12">
        <v>2</v>
      </c>
      <c r="AI12">
        <v>146486459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ROW(Source!A67)</f>
        <v>67</v>
      </c>
      <c r="B13">
        <v>146452727</v>
      </c>
      <c r="C13">
        <v>146439036</v>
      </c>
      <c r="D13">
        <v>140760043</v>
      </c>
      <c r="E13">
        <v>70</v>
      </c>
      <c r="F13">
        <v>1</v>
      </c>
      <c r="G13">
        <v>1</v>
      </c>
      <c r="H13">
        <v>1</v>
      </c>
      <c r="I13" t="s">
        <v>266</v>
      </c>
      <c r="J13" t="s">
        <v>3</v>
      </c>
      <c r="K13" t="s">
        <v>267</v>
      </c>
      <c r="L13">
        <v>1191</v>
      </c>
      <c r="N13">
        <v>1013</v>
      </c>
      <c r="O13" t="s">
        <v>230</v>
      </c>
      <c r="P13" t="s">
        <v>230</v>
      </c>
      <c r="Q13">
        <v>1</v>
      </c>
      <c r="X13">
        <v>16.3</v>
      </c>
      <c r="Y13">
        <v>0</v>
      </c>
      <c r="Z13">
        <v>0</v>
      </c>
      <c r="AA13">
        <v>0</v>
      </c>
      <c r="AB13">
        <v>9.92</v>
      </c>
      <c r="AC13">
        <v>0</v>
      </c>
      <c r="AD13">
        <v>1</v>
      </c>
      <c r="AE13">
        <v>1</v>
      </c>
      <c r="AF13" t="s">
        <v>104</v>
      </c>
      <c r="AG13">
        <v>21.556750000000001</v>
      </c>
      <c r="AH13">
        <v>2</v>
      </c>
      <c r="AI13">
        <v>146452727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ROW(Source!A67)</f>
        <v>67</v>
      </c>
      <c r="B14">
        <v>146452728</v>
      </c>
      <c r="C14">
        <v>146439036</v>
      </c>
      <c r="D14">
        <v>140760225</v>
      </c>
      <c r="E14">
        <v>70</v>
      </c>
      <c r="F14">
        <v>1</v>
      </c>
      <c r="G14">
        <v>1</v>
      </c>
      <c r="H14">
        <v>1</v>
      </c>
      <c r="I14" t="s">
        <v>231</v>
      </c>
      <c r="J14" t="s">
        <v>3</v>
      </c>
      <c r="K14" t="s">
        <v>232</v>
      </c>
      <c r="L14">
        <v>1191</v>
      </c>
      <c r="N14">
        <v>1013</v>
      </c>
      <c r="O14" t="s">
        <v>230</v>
      </c>
      <c r="P14" t="s">
        <v>230</v>
      </c>
      <c r="Q14">
        <v>1</v>
      </c>
      <c r="X14">
        <v>3.1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2</v>
      </c>
      <c r="AF14" t="s">
        <v>103</v>
      </c>
      <c r="AG14">
        <v>4.4562499999999998</v>
      </c>
      <c r="AH14">
        <v>2</v>
      </c>
      <c r="AI14">
        <v>146452728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ROW(Source!A67)</f>
        <v>67</v>
      </c>
      <c r="B15">
        <v>146452729</v>
      </c>
      <c r="C15">
        <v>146439036</v>
      </c>
      <c r="D15">
        <v>140922897</v>
      </c>
      <c r="E15">
        <v>1</v>
      </c>
      <c r="F15">
        <v>1</v>
      </c>
      <c r="G15">
        <v>1</v>
      </c>
      <c r="H15">
        <v>2</v>
      </c>
      <c r="I15" t="s">
        <v>268</v>
      </c>
      <c r="J15" t="s">
        <v>269</v>
      </c>
      <c r="K15" t="s">
        <v>270</v>
      </c>
      <c r="L15">
        <v>1367</v>
      </c>
      <c r="N15">
        <v>1011</v>
      </c>
      <c r="O15" t="s">
        <v>236</v>
      </c>
      <c r="P15" t="s">
        <v>236</v>
      </c>
      <c r="Q15">
        <v>1</v>
      </c>
      <c r="X15">
        <v>0.8</v>
      </c>
      <c r="Y15">
        <v>0</v>
      </c>
      <c r="Z15">
        <v>312.20999999999998</v>
      </c>
      <c r="AA15">
        <v>15.42</v>
      </c>
      <c r="AB15">
        <v>0</v>
      </c>
      <c r="AC15">
        <v>0</v>
      </c>
      <c r="AD15">
        <v>1</v>
      </c>
      <c r="AE15">
        <v>0</v>
      </c>
      <c r="AF15" t="s">
        <v>103</v>
      </c>
      <c r="AG15">
        <v>1.1499999999999999</v>
      </c>
      <c r="AH15">
        <v>2</v>
      </c>
      <c r="AI15">
        <v>146452729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ROW(Source!A67)</f>
        <v>67</v>
      </c>
      <c r="B16">
        <v>146452730</v>
      </c>
      <c r="C16">
        <v>146439036</v>
      </c>
      <c r="D16">
        <v>140922906</v>
      </c>
      <c r="E16">
        <v>1</v>
      </c>
      <c r="F16">
        <v>1</v>
      </c>
      <c r="G16">
        <v>1</v>
      </c>
      <c r="H16">
        <v>2</v>
      </c>
      <c r="I16" t="s">
        <v>271</v>
      </c>
      <c r="J16" t="s">
        <v>272</v>
      </c>
      <c r="K16" t="s">
        <v>273</v>
      </c>
      <c r="L16">
        <v>1367</v>
      </c>
      <c r="N16">
        <v>1011</v>
      </c>
      <c r="O16" t="s">
        <v>236</v>
      </c>
      <c r="P16" t="s">
        <v>236</v>
      </c>
      <c r="Q16">
        <v>1</v>
      </c>
      <c r="X16">
        <v>1.76</v>
      </c>
      <c r="Y16">
        <v>0</v>
      </c>
      <c r="Z16">
        <v>120.24</v>
      </c>
      <c r="AA16">
        <v>15.42</v>
      </c>
      <c r="AB16">
        <v>0</v>
      </c>
      <c r="AC16">
        <v>0</v>
      </c>
      <c r="AD16">
        <v>1</v>
      </c>
      <c r="AE16">
        <v>0</v>
      </c>
      <c r="AF16" t="s">
        <v>103</v>
      </c>
      <c r="AG16">
        <v>2.5299999999999998</v>
      </c>
      <c r="AH16">
        <v>2</v>
      </c>
      <c r="AI16">
        <v>146452730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ROW(Source!A67)</f>
        <v>67</v>
      </c>
      <c r="B17">
        <v>146452731</v>
      </c>
      <c r="C17">
        <v>146439036</v>
      </c>
      <c r="D17">
        <v>140922951</v>
      </c>
      <c r="E17">
        <v>1</v>
      </c>
      <c r="F17">
        <v>1</v>
      </c>
      <c r="G17">
        <v>1</v>
      </c>
      <c r="H17">
        <v>2</v>
      </c>
      <c r="I17" t="s">
        <v>233</v>
      </c>
      <c r="J17" t="s">
        <v>234</v>
      </c>
      <c r="K17" t="s">
        <v>235</v>
      </c>
      <c r="L17">
        <v>1367</v>
      </c>
      <c r="N17">
        <v>1011</v>
      </c>
      <c r="O17" t="s">
        <v>236</v>
      </c>
      <c r="P17" t="s">
        <v>236</v>
      </c>
      <c r="Q17">
        <v>1</v>
      </c>
      <c r="X17">
        <v>0.22</v>
      </c>
      <c r="Y17">
        <v>0</v>
      </c>
      <c r="Z17">
        <v>115.4</v>
      </c>
      <c r="AA17">
        <v>13.5</v>
      </c>
      <c r="AB17">
        <v>0</v>
      </c>
      <c r="AC17">
        <v>0</v>
      </c>
      <c r="AD17">
        <v>1</v>
      </c>
      <c r="AE17">
        <v>0</v>
      </c>
      <c r="AF17" t="s">
        <v>103</v>
      </c>
      <c r="AG17">
        <v>0.31624999999999998</v>
      </c>
      <c r="AH17">
        <v>2</v>
      </c>
      <c r="AI17">
        <v>146452731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ROW(Source!A67)</f>
        <v>67</v>
      </c>
      <c r="B18">
        <v>146452732</v>
      </c>
      <c r="C18">
        <v>146439036</v>
      </c>
      <c r="D18">
        <v>140923885</v>
      </c>
      <c r="E18">
        <v>1</v>
      </c>
      <c r="F18">
        <v>1</v>
      </c>
      <c r="G18">
        <v>1</v>
      </c>
      <c r="H18">
        <v>2</v>
      </c>
      <c r="I18" t="s">
        <v>274</v>
      </c>
      <c r="J18" t="s">
        <v>275</v>
      </c>
      <c r="K18" t="s">
        <v>276</v>
      </c>
      <c r="L18">
        <v>1367</v>
      </c>
      <c r="N18">
        <v>1011</v>
      </c>
      <c r="O18" t="s">
        <v>236</v>
      </c>
      <c r="P18" t="s">
        <v>236</v>
      </c>
      <c r="Q18">
        <v>1</v>
      </c>
      <c r="X18">
        <v>0.32</v>
      </c>
      <c r="Y18">
        <v>0</v>
      </c>
      <c r="Z18">
        <v>65.709999999999994</v>
      </c>
      <c r="AA18">
        <v>11.6</v>
      </c>
      <c r="AB18">
        <v>0</v>
      </c>
      <c r="AC18">
        <v>0</v>
      </c>
      <c r="AD18">
        <v>1</v>
      </c>
      <c r="AE18">
        <v>0</v>
      </c>
      <c r="AF18" t="s">
        <v>103</v>
      </c>
      <c r="AG18">
        <v>0.45999999999999996</v>
      </c>
      <c r="AH18">
        <v>2</v>
      </c>
      <c r="AI18">
        <v>146452732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ROW(Source!A67)</f>
        <v>67</v>
      </c>
      <c r="B19">
        <v>146452733</v>
      </c>
      <c r="C19">
        <v>146439036</v>
      </c>
      <c r="D19">
        <v>140924041</v>
      </c>
      <c r="E19">
        <v>1</v>
      </c>
      <c r="F19">
        <v>1</v>
      </c>
      <c r="G19">
        <v>1</v>
      </c>
      <c r="H19">
        <v>2</v>
      </c>
      <c r="I19" t="s">
        <v>243</v>
      </c>
      <c r="J19" t="s">
        <v>244</v>
      </c>
      <c r="K19" t="s">
        <v>245</v>
      </c>
      <c r="L19">
        <v>1367</v>
      </c>
      <c r="N19">
        <v>1011</v>
      </c>
      <c r="O19" t="s">
        <v>236</v>
      </c>
      <c r="P19" t="s">
        <v>236</v>
      </c>
      <c r="Q19">
        <v>1</v>
      </c>
      <c r="X19">
        <v>2.38</v>
      </c>
      <c r="Y19">
        <v>0</v>
      </c>
      <c r="Z19">
        <v>1.2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103</v>
      </c>
      <c r="AG19">
        <v>3.4212499999999992</v>
      </c>
      <c r="AH19">
        <v>2</v>
      </c>
      <c r="AI19">
        <v>146452733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ROW(Source!A67)</f>
        <v>67</v>
      </c>
      <c r="B20">
        <v>146452734</v>
      </c>
      <c r="C20">
        <v>146439036</v>
      </c>
      <c r="D20">
        <v>140924084</v>
      </c>
      <c r="E20">
        <v>1</v>
      </c>
      <c r="F20">
        <v>1</v>
      </c>
      <c r="G20">
        <v>1</v>
      </c>
      <c r="H20">
        <v>2</v>
      </c>
      <c r="I20" t="s">
        <v>277</v>
      </c>
      <c r="J20" t="s">
        <v>278</v>
      </c>
      <c r="K20" t="s">
        <v>279</v>
      </c>
      <c r="L20">
        <v>1367</v>
      </c>
      <c r="N20">
        <v>1011</v>
      </c>
      <c r="O20" t="s">
        <v>236</v>
      </c>
      <c r="P20" t="s">
        <v>236</v>
      </c>
      <c r="Q20">
        <v>1</v>
      </c>
      <c r="X20">
        <v>0.52</v>
      </c>
      <c r="Y20">
        <v>0</v>
      </c>
      <c r="Z20">
        <v>12.31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103</v>
      </c>
      <c r="AG20">
        <v>0.74749999999999994</v>
      </c>
      <c r="AH20">
        <v>2</v>
      </c>
      <c r="AI20">
        <v>146452734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ROW(Source!A67)</f>
        <v>67</v>
      </c>
      <c r="B21">
        <v>146452735</v>
      </c>
      <c r="C21">
        <v>146439036</v>
      </c>
      <c r="D21">
        <v>140771005</v>
      </c>
      <c r="E21">
        <v>1</v>
      </c>
      <c r="F21">
        <v>1</v>
      </c>
      <c r="G21">
        <v>1</v>
      </c>
      <c r="H21">
        <v>3</v>
      </c>
      <c r="I21" t="s">
        <v>252</v>
      </c>
      <c r="J21" t="s">
        <v>253</v>
      </c>
      <c r="K21" t="s">
        <v>254</v>
      </c>
      <c r="L21">
        <v>1339</v>
      </c>
      <c r="N21">
        <v>1007</v>
      </c>
      <c r="O21" t="s">
        <v>255</v>
      </c>
      <c r="P21" t="s">
        <v>255</v>
      </c>
      <c r="Q21">
        <v>1</v>
      </c>
      <c r="X21">
        <v>1.95</v>
      </c>
      <c r="Y21">
        <v>6.22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1.95</v>
      </c>
      <c r="AH21">
        <v>2</v>
      </c>
      <c r="AI21">
        <v>146452735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ROW(Source!A67)</f>
        <v>67</v>
      </c>
      <c r="B22">
        <v>146452736</v>
      </c>
      <c r="C22">
        <v>146439036</v>
      </c>
      <c r="D22">
        <v>140771011</v>
      </c>
      <c r="E22">
        <v>1</v>
      </c>
      <c r="F22">
        <v>1</v>
      </c>
      <c r="G22">
        <v>1</v>
      </c>
      <c r="H22">
        <v>3</v>
      </c>
      <c r="I22" t="s">
        <v>256</v>
      </c>
      <c r="J22" t="s">
        <v>257</v>
      </c>
      <c r="K22" t="s">
        <v>258</v>
      </c>
      <c r="L22">
        <v>1346</v>
      </c>
      <c r="N22">
        <v>1009</v>
      </c>
      <c r="O22" t="s">
        <v>259</v>
      </c>
      <c r="P22" t="s">
        <v>259</v>
      </c>
      <c r="Q22">
        <v>1</v>
      </c>
      <c r="X22">
        <v>0.59</v>
      </c>
      <c r="Y22">
        <v>6.09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0.59</v>
      </c>
      <c r="AH22">
        <v>2</v>
      </c>
      <c r="AI22">
        <v>146452736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ROW(Source!A67)</f>
        <v>67</v>
      </c>
      <c r="B23">
        <v>146452737</v>
      </c>
      <c r="C23">
        <v>146439036</v>
      </c>
      <c r="D23">
        <v>140773776</v>
      </c>
      <c r="E23">
        <v>1</v>
      </c>
      <c r="F23">
        <v>1</v>
      </c>
      <c r="G23">
        <v>1</v>
      </c>
      <c r="H23">
        <v>3</v>
      </c>
      <c r="I23" t="s">
        <v>280</v>
      </c>
      <c r="J23" t="s">
        <v>281</v>
      </c>
      <c r="K23" t="s">
        <v>282</v>
      </c>
      <c r="L23">
        <v>1348</v>
      </c>
      <c r="N23">
        <v>1009</v>
      </c>
      <c r="O23" t="s">
        <v>22</v>
      </c>
      <c r="P23" t="s">
        <v>22</v>
      </c>
      <c r="Q23">
        <v>1000</v>
      </c>
      <c r="X23">
        <v>3.0999999999999999E-3</v>
      </c>
      <c r="Y23">
        <v>10315.01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3.0999999999999999E-3</v>
      </c>
      <c r="AH23">
        <v>2</v>
      </c>
      <c r="AI23">
        <v>146452737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ROW(Source!A67)</f>
        <v>67</v>
      </c>
      <c r="B24">
        <v>146452738</v>
      </c>
      <c r="C24">
        <v>146439036</v>
      </c>
      <c r="D24">
        <v>140775017</v>
      </c>
      <c r="E24">
        <v>1</v>
      </c>
      <c r="F24">
        <v>1</v>
      </c>
      <c r="G24">
        <v>1</v>
      </c>
      <c r="H24">
        <v>3</v>
      </c>
      <c r="I24" t="s">
        <v>283</v>
      </c>
      <c r="J24" t="s">
        <v>284</v>
      </c>
      <c r="K24" t="s">
        <v>285</v>
      </c>
      <c r="L24">
        <v>1346</v>
      </c>
      <c r="N24">
        <v>1009</v>
      </c>
      <c r="O24" t="s">
        <v>259</v>
      </c>
      <c r="P24" t="s">
        <v>259</v>
      </c>
      <c r="Q24">
        <v>1</v>
      </c>
      <c r="X24">
        <v>2.9</v>
      </c>
      <c r="Y24">
        <v>9.0399999999999991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2.9</v>
      </c>
      <c r="AH24">
        <v>2</v>
      </c>
      <c r="AI24">
        <v>146452738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ROW(Source!A67)</f>
        <v>67</v>
      </c>
      <c r="B25">
        <v>146452739</v>
      </c>
      <c r="C25">
        <v>146439036</v>
      </c>
      <c r="D25">
        <v>140775118</v>
      </c>
      <c r="E25">
        <v>1</v>
      </c>
      <c r="F25">
        <v>1</v>
      </c>
      <c r="G25">
        <v>1</v>
      </c>
      <c r="H25">
        <v>3</v>
      </c>
      <c r="I25" t="s">
        <v>286</v>
      </c>
      <c r="J25" t="s">
        <v>287</v>
      </c>
      <c r="K25" t="s">
        <v>288</v>
      </c>
      <c r="L25">
        <v>1348</v>
      </c>
      <c r="N25">
        <v>1009</v>
      </c>
      <c r="O25" t="s">
        <v>22</v>
      </c>
      <c r="P25" t="s">
        <v>22</v>
      </c>
      <c r="Q25">
        <v>1000</v>
      </c>
      <c r="X25">
        <v>1.0000000000000001E-5</v>
      </c>
      <c r="Y25">
        <v>11978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1.0000000000000001E-5</v>
      </c>
      <c r="AH25">
        <v>2</v>
      </c>
      <c r="AI25">
        <v>146452739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ROW(Source!A67)</f>
        <v>67</v>
      </c>
      <c r="B26">
        <v>146452740</v>
      </c>
      <c r="C26">
        <v>146439036</v>
      </c>
      <c r="D26">
        <v>140776229</v>
      </c>
      <c r="E26">
        <v>1</v>
      </c>
      <c r="F26">
        <v>1</v>
      </c>
      <c r="G26">
        <v>1</v>
      </c>
      <c r="H26">
        <v>3</v>
      </c>
      <c r="I26" t="s">
        <v>289</v>
      </c>
      <c r="J26" t="s">
        <v>290</v>
      </c>
      <c r="K26" t="s">
        <v>291</v>
      </c>
      <c r="L26">
        <v>1348</v>
      </c>
      <c r="N26">
        <v>1009</v>
      </c>
      <c r="O26" t="s">
        <v>22</v>
      </c>
      <c r="P26" t="s">
        <v>22</v>
      </c>
      <c r="Q26">
        <v>1000</v>
      </c>
      <c r="X26">
        <v>1E-4</v>
      </c>
      <c r="Y26">
        <v>37900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1E-4</v>
      </c>
      <c r="AH26">
        <v>2</v>
      </c>
      <c r="AI26">
        <v>146452740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ROW(Source!A67)</f>
        <v>67</v>
      </c>
      <c r="B27">
        <v>146452741</v>
      </c>
      <c r="C27">
        <v>146439036</v>
      </c>
      <c r="D27">
        <v>140762020</v>
      </c>
      <c r="E27">
        <v>70</v>
      </c>
      <c r="F27">
        <v>1</v>
      </c>
      <c r="G27">
        <v>1</v>
      </c>
      <c r="H27">
        <v>3</v>
      </c>
      <c r="I27" t="s">
        <v>292</v>
      </c>
      <c r="J27" t="s">
        <v>3</v>
      </c>
      <c r="K27" t="s">
        <v>293</v>
      </c>
      <c r="L27">
        <v>1348</v>
      </c>
      <c r="N27">
        <v>1009</v>
      </c>
      <c r="O27" t="s">
        <v>22</v>
      </c>
      <c r="P27" t="s">
        <v>22</v>
      </c>
      <c r="Q27">
        <v>1000</v>
      </c>
      <c r="X27">
        <v>1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 t="s">
        <v>3</v>
      </c>
      <c r="AG27">
        <v>1</v>
      </c>
      <c r="AH27">
        <v>2</v>
      </c>
      <c r="AI27">
        <v>146452741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ROW(Source!A67)</f>
        <v>67</v>
      </c>
      <c r="B28">
        <v>146452742</v>
      </c>
      <c r="C28">
        <v>146439036</v>
      </c>
      <c r="D28">
        <v>140789856</v>
      </c>
      <c r="E28">
        <v>1</v>
      </c>
      <c r="F28">
        <v>1</v>
      </c>
      <c r="G28">
        <v>1</v>
      </c>
      <c r="H28">
        <v>3</v>
      </c>
      <c r="I28" t="s">
        <v>294</v>
      </c>
      <c r="J28" t="s">
        <v>295</v>
      </c>
      <c r="K28" t="s">
        <v>296</v>
      </c>
      <c r="L28">
        <v>1348</v>
      </c>
      <c r="N28">
        <v>1009</v>
      </c>
      <c r="O28" t="s">
        <v>22</v>
      </c>
      <c r="P28" t="s">
        <v>22</v>
      </c>
      <c r="Q28">
        <v>1000</v>
      </c>
      <c r="X28">
        <v>1E-4</v>
      </c>
      <c r="Y28">
        <v>7712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1E-4</v>
      </c>
      <c r="AH28">
        <v>2</v>
      </c>
      <c r="AI28">
        <v>146452742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ROW(Source!A67)</f>
        <v>67</v>
      </c>
      <c r="B29">
        <v>146452743</v>
      </c>
      <c r="C29">
        <v>146439036</v>
      </c>
      <c r="D29">
        <v>140791984</v>
      </c>
      <c r="E29">
        <v>1</v>
      </c>
      <c r="F29">
        <v>1</v>
      </c>
      <c r="G29">
        <v>1</v>
      </c>
      <c r="H29">
        <v>3</v>
      </c>
      <c r="I29" t="s">
        <v>297</v>
      </c>
      <c r="J29" t="s">
        <v>298</v>
      </c>
      <c r="K29" t="s">
        <v>299</v>
      </c>
      <c r="L29">
        <v>1302</v>
      </c>
      <c r="N29">
        <v>1003</v>
      </c>
      <c r="O29" t="s">
        <v>300</v>
      </c>
      <c r="P29" t="s">
        <v>300</v>
      </c>
      <c r="Q29">
        <v>10</v>
      </c>
      <c r="X29">
        <v>1.8700000000000001E-2</v>
      </c>
      <c r="Y29">
        <v>50.24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1.8700000000000001E-2</v>
      </c>
      <c r="AH29">
        <v>2</v>
      </c>
      <c r="AI29">
        <v>146452743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ROW(Source!A67)</f>
        <v>67</v>
      </c>
      <c r="B30">
        <v>146452744</v>
      </c>
      <c r="C30">
        <v>146439036</v>
      </c>
      <c r="D30">
        <v>140792339</v>
      </c>
      <c r="E30">
        <v>1</v>
      </c>
      <c r="F30">
        <v>1</v>
      </c>
      <c r="G30">
        <v>1</v>
      </c>
      <c r="H30">
        <v>3</v>
      </c>
      <c r="I30" t="s">
        <v>301</v>
      </c>
      <c r="J30" t="s">
        <v>302</v>
      </c>
      <c r="K30" t="s">
        <v>303</v>
      </c>
      <c r="L30">
        <v>1348</v>
      </c>
      <c r="N30">
        <v>1009</v>
      </c>
      <c r="O30" t="s">
        <v>22</v>
      </c>
      <c r="P30" t="s">
        <v>22</v>
      </c>
      <c r="Q30">
        <v>1000</v>
      </c>
      <c r="X30">
        <v>3.0000000000000001E-5</v>
      </c>
      <c r="Y30">
        <v>4455.2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3.0000000000000001E-5</v>
      </c>
      <c r="AH30">
        <v>2</v>
      </c>
      <c r="AI30">
        <v>146452744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ROW(Source!A67)</f>
        <v>67</v>
      </c>
      <c r="B31">
        <v>146452745</v>
      </c>
      <c r="C31">
        <v>146439036</v>
      </c>
      <c r="D31">
        <v>140793072</v>
      </c>
      <c r="E31">
        <v>1</v>
      </c>
      <c r="F31">
        <v>1</v>
      </c>
      <c r="G31">
        <v>1</v>
      </c>
      <c r="H31">
        <v>3</v>
      </c>
      <c r="I31" t="s">
        <v>304</v>
      </c>
      <c r="J31" t="s">
        <v>305</v>
      </c>
      <c r="K31" t="s">
        <v>306</v>
      </c>
      <c r="L31">
        <v>1348</v>
      </c>
      <c r="N31">
        <v>1009</v>
      </c>
      <c r="O31" t="s">
        <v>22</v>
      </c>
      <c r="P31" t="s">
        <v>22</v>
      </c>
      <c r="Q31">
        <v>1000</v>
      </c>
      <c r="X31">
        <v>1.9400000000000001E-3</v>
      </c>
      <c r="Y31">
        <v>4920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1.9400000000000001E-3</v>
      </c>
      <c r="AH31">
        <v>2</v>
      </c>
      <c r="AI31">
        <v>146452745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ROW(Source!A67)</f>
        <v>67</v>
      </c>
      <c r="B32">
        <v>146452746</v>
      </c>
      <c r="C32">
        <v>146439036</v>
      </c>
      <c r="D32">
        <v>140796351</v>
      </c>
      <c r="E32">
        <v>1</v>
      </c>
      <c r="F32">
        <v>1</v>
      </c>
      <c r="G32">
        <v>1</v>
      </c>
      <c r="H32">
        <v>3</v>
      </c>
      <c r="I32" t="s">
        <v>307</v>
      </c>
      <c r="J32" t="s">
        <v>308</v>
      </c>
      <c r="K32" t="s">
        <v>309</v>
      </c>
      <c r="L32">
        <v>1339</v>
      </c>
      <c r="N32">
        <v>1007</v>
      </c>
      <c r="O32" t="s">
        <v>255</v>
      </c>
      <c r="P32" t="s">
        <v>255</v>
      </c>
      <c r="Q32">
        <v>1</v>
      </c>
      <c r="X32">
        <v>1.0300000000000001E-3</v>
      </c>
      <c r="Y32">
        <v>1700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1.0300000000000001E-3</v>
      </c>
      <c r="AH32">
        <v>2</v>
      </c>
      <c r="AI32">
        <v>146452746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ROW(Source!A67)</f>
        <v>67</v>
      </c>
      <c r="B33">
        <v>146452747</v>
      </c>
      <c r="C33">
        <v>146439036</v>
      </c>
      <c r="D33">
        <v>140804058</v>
      </c>
      <c r="E33">
        <v>1</v>
      </c>
      <c r="F33">
        <v>1</v>
      </c>
      <c r="G33">
        <v>1</v>
      </c>
      <c r="H33">
        <v>3</v>
      </c>
      <c r="I33" t="s">
        <v>310</v>
      </c>
      <c r="J33" t="s">
        <v>311</v>
      </c>
      <c r="K33" t="s">
        <v>312</v>
      </c>
      <c r="L33">
        <v>1348</v>
      </c>
      <c r="N33">
        <v>1009</v>
      </c>
      <c r="O33" t="s">
        <v>22</v>
      </c>
      <c r="P33" t="s">
        <v>22</v>
      </c>
      <c r="Q33">
        <v>1000</v>
      </c>
      <c r="X33">
        <v>3.1E-4</v>
      </c>
      <c r="Y33">
        <v>15620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3.1E-4</v>
      </c>
      <c r="AH33">
        <v>2</v>
      </c>
      <c r="AI33">
        <v>146452747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ROW(Source!A67)</f>
        <v>67</v>
      </c>
      <c r="B34">
        <v>146452748</v>
      </c>
      <c r="C34">
        <v>146439036</v>
      </c>
      <c r="D34">
        <v>140805182</v>
      </c>
      <c r="E34">
        <v>1</v>
      </c>
      <c r="F34">
        <v>1</v>
      </c>
      <c r="G34">
        <v>1</v>
      </c>
      <c r="H34">
        <v>3</v>
      </c>
      <c r="I34" t="s">
        <v>313</v>
      </c>
      <c r="J34" t="s">
        <v>314</v>
      </c>
      <c r="K34" t="s">
        <v>315</v>
      </c>
      <c r="L34">
        <v>1346</v>
      </c>
      <c r="N34">
        <v>1009</v>
      </c>
      <c r="O34" t="s">
        <v>259</v>
      </c>
      <c r="P34" t="s">
        <v>259</v>
      </c>
      <c r="Q34">
        <v>1</v>
      </c>
      <c r="X34">
        <v>0.6</v>
      </c>
      <c r="Y34">
        <v>9.42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0.6</v>
      </c>
      <c r="AH34">
        <v>2</v>
      </c>
      <c r="AI34">
        <v>146452748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ROW(Source!A68)</f>
        <v>68</v>
      </c>
      <c r="B35">
        <v>146439130</v>
      </c>
      <c r="C35">
        <v>146439129</v>
      </c>
      <c r="D35">
        <v>140759982</v>
      </c>
      <c r="E35">
        <v>70</v>
      </c>
      <c r="F35">
        <v>1</v>
      </c>
      <c r="G35">
        <v>1</v>
      </c>
      <c r="H35">
        <v>1</v>
      </c>
      <c r="I35" t="s">
        <v>316</v>
      </c>
      <c r="J35" t="s">
        <v>3</v>
      </c>
      <c r="K35" t="s">
        <v>317</v>
      </c>
      <c r="L35">
        <v>1191</v>
      </c>
      <c r="N35">
        <v>1013</v>
      </c>
      <c r="O35" t="s">
        <v>230</v>
      </c>
      <c r="P35" t="s">
        <v>230</v>
      </c>
      <c r="Q35">
        <v>1</v>
      </c>
      <c r="X35">
        <v>21</v>
      </c>
      <c r="Y35">
        <v>0</v>
      </c>
      <c r="Z35">
        <v>0</v>
      </c>
      <c r="AA35">
        <v>0</v>
      </c>
      <c r="AB35">
        <v>8.64</v>
      </c>
      <c r="AC35">
        <v>0</v>
      </c>
      <c r="AD35">
        <v>1</v>
      </c>
      <c r="AE35">
        <v>1</v>
      </c>
      <c r="AF35" t="s">
        <v>118</v>
      </c>
      <c r="AG35">
        <v>48.3</v>
      </c>
      <c r="AH35">
        <v>2</v>
      </c>
      <c r="AI35">
        <v>146439130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ROW(Source!A68)</f>
        <v>68</v>
      </c>
      <c r="B36">
        <v>146439131</v>
      </c>
      <c r="C36">
        <v>146439129</v>
      </c>
      <c r="D36">
        <v>140760225</v>
      </c>
      <c r="E36">
        <v>70</v>
      </c>
      <c r="F36">
        <v>1</v>
      </c>
      <c r="G36">
        <v>1</v>
      </c>
      <c r="H36">
        <v>1</v>
      </c>
      <c r="I36" t="s">
        <v>231</v>
      </c>
      <c r="J36" t="s">
        <v>3</v>
      </c>
      <c r="K36" t="s">
        <v>232</v>
      </c>
      <c r="L36">
        <v>1191</v>
      </c>
      <c r="N36">
        <v>1013</v>
      </c>
      <c r="O36" t="s">
        <v>230</v>
      </c>
      <c r="P36" t="s">
        <v>230</v>
      </c>
      <c r="Q36">
        <v>1</v>
      </c>
      <c r="X36">
        <v>0.66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2</v>
      </c>
      <c r="AF36" t="s">
        <v>118</v>
      </c>
      <c r="AG36">
        <v>1.518</v>
      </c>
      <c r="AH36">
        <v>2</v>
      </c>
      <c r="AI36">
        <v>146439131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ROW(Source!A68)</f>
        <v>68</v>
      </c>
      <c r="B37">
        <v>146439132</v>
      </c>
      <c r="C37">
        <v>146439129</v>
      </c>
      <c r="D37">
        <v>140922962</v>
      </c>
      <c r="E37">
        <v>1</v>
      </c>
      <c r="F37">
        <v>1</v>
      </c>
      <c r="G37">
        <v>1</v>
      </c>
      <c r="H37">
        <v>2</v>
      </c>
      <c r="I37" t="s">
        <v>318</v>
      </c>
      <c r="J37" t="s">
        <v>319</v>
      </c>
      <c r="K37" t="s">
        <v>320</v>
      </c>
      <c r="L37">
        <v>1367</v>
      </c>
      <c r="N37">
        <v>1011</v>
      </c>
      <c r="O37" t="s">
        <v>236</v>
      </c>
      <c r="P37" t="s">
        <v>236</v>
      </c>
      <c r="Q37">
        <v>1</v>
      </c>
      <c r="X37">
        <v>0.66</v>
      </c>
      <c r="Y37">
        <v>0</v>
      </c>
      <c r="Z37">
        <v>96.89</v>
      </c>
      <c r="AA37">
        <v>13.5</v>
      </c>
      <c r="AB37">
        <v>0</v>
      </c>
      <c r="AC37">
        <v>0</v>
      </c>
      <c r="AD37">
        <v>1</v>
      </c>
      <c r="AE37">
        <v>0</v>
      </c>
      <c r="AF37" t="s">
        <v>118</v>
      </c>
      <c r="AG37">
        <v>1.518</v>
      </c>
      <c r="AH37">
        <v>2</v>
      </c>
      <c r="AI37">
        <v>146439132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ROW(Source!A68)</f>
        <v>68</v>
      </c>
      <c r="B38">
        <v>146439133</v>
      </c>
      <c r="C38">
        <v>146439129</v>
      </c>
      <c r="D38">
        <v>140765022</v>
      </c>
      <c r="E38">
        <v>70</v>
      </c>
      <c r="F38">
        <v>1</v>
      </c>
      <c r="G38">
        <v>1</v>
      </c>
      <c r="H38">
        <v>3</v>
      </c>
      <c r="I38" t="s">
        <v>263</v>
      </c>
      <c r="J38" t="s">
        <v>3</v>
      </c>
      <c r="K38" t="s">
        <v>264</v>
      </c>
      <c r="L38">
        <v>1374</v>
      </c>
      <c r="N38">
        <v>1013</v>
      </c>
      <c r="O38" t="s">
        <v>265</v>
      </c>
      <c r="P38" t="s">
        <v>265</v>
      </c>
      <c r="Q38">
        <v>1</v>
      </c>
      <c r="X38">
        <v>3.63</v>
      </c>
      <c r="Y38">
        <v>1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117</v>
      </c>
      <c r="AG38">
        <v>7.26</v>
      </c>
      <c r="AH38">
        <v>2</v>
      </c>
      <c r="AI38">
        <v>146439133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ROW(Source!A69)</f>
        <v>69</v>
      </c>
      <c r="B39">
        <v>146439170</v>
      </c>
      <c r="C39">
        <v>146439161</v>
      </c>
      <c r="D39">
        <v>140755450</v>
      </c>
      <c r="E39">
        <v>70</v>
      </c>
      <c r="F39">
        <v>1</v>
      </c>
      <c r="G39">
        <v>1</v>
      </c>
      <c r="H39">
        <v>1</v>
      </c>
      <c r="I39" t="s">
        <v>321</v>
      </c>
      <c r="J39" t="s">
        <v>3</v>
      </c>
      <c r="K39" t="s">
        <v>322</v>
      </c>
      <c r="L39">
        <v>1191</v>
      </c>
      <c r="N39">
        <v>1013</v>
      </c>
      <c r="O39" t="s">
        <v>230</v>
      </c>
      <c r="P39" t="s">
        <v>230</v>
      </c>
      <c r="Q39">
        <v>1</v>
      </c>
      <c r="X39">
        <v>5.31</v>
      </c>
      <c r="Y39">
        <v>0</v>
      </c>
      <c r="Z39">
        <v>0</v>
      </c>
      <c r="AA39">
        <v>0</v>
      </c>
      <c r="AB39">
        <v>10.65</v>
      </c>
      <c r="AC39">
        <v>0</v>
      </c>
      <c r="AD39">
        <v>1</v>
      </c>
      <c r="AE39">
        <v>1</v>
      </c>
      <c r="AF39" t="s">
        <v>104</v>
      </c>
      <c r="AG39">
        <v>7.0224749999999982</v>
      </c>
      <c r="AH39">
        <v>2</v>
      </c>
      <c r="AI39">
        <v>146439162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ROW(Source!A69)</f>
        <v>69</v>
      </c>
      <c r="B40">
        <v>146439171</v>
      </c>
      <c r="C40">
        <v>146439161</v>
      </c>
      <c r="D40">
        <v>140755491</v>
      </c>
      <c r="E40">
        <v>70</v>
      </c>
      <c r="F40">
        <v>1</v>
      </c>
      <c r="G40">
        <v>1</v>
      </c>
      <c r="H40">
        <v>1</v>
      </c>
      <c r="I40" t="s">
        <v>231</v>
      </c>
      <c r="J40" t="s">
        <v>3</v>
      </c>
      <c r="K40" t="s">
        <v>232</v>
      </c>
      <c r="L40">
        <v>1191</v>
      </c>
      <c r="N40">
        <v>1013</v>
      </c>
      <c r="O40" t="s">
        <v>230</v>
      </c>
      <c r="P40" t="s">
        <v>230</v>
      </c>
      <c r="Q40">
        <v>1</v>
      </c>
      <c r="X40">
        <v>0.02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2</v>
      </c>
      <c r="AF40" t="s">
        <v>103</v>
      </c>
      <c r="AG40">
        <v>2.8749999999999998E-2</v>
      </c>
      <c r="AH40">
        <v>2</v>
      </c>
      <c r="AI40">
        <v>146439163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ROW(Source!A69)</f>
        <v>69</v>
      </c>
      <c r="B41">
        <v>146439172</v>
      </c>
      <c r="C41">
        <v>146439161</v>
      </c>
      <c r="D41">
        <v>140923086</v>
      </c>
      <c r="E41">
        <v>1</v>
      </c>
      <c r="F41">
        <v>1</v>
      </c>
      <c r="G41">
        <v>1</v>
      </c>
      <c r="H41">
        <v>2</v>
      </c>
      <c r="I41" t="s">
        <v>323</v>
      </c>
      <c r="J41" t="s">
        <v>324</v>
      </c>
      <c r="K41" t="s">
        <v>325</v>
      </c>
      <c r="L41">
        <v>1367</v>
      </c>
      <c r="N41">
        <v>1011</v>
      </c>
      <c r="O41" t="s">
        <v>236</v>
      </c>
      <c r="P41" t="s">
        <v>236</v>
      </c>
      <c r="Q41">
        <v>1</v>
      </c>
      <c r="X41">
        <v>0.01</v>
      </c>
      <c r="Y41">
        <v>0</v>
      </c>
      <c r="Z41">
        <v>1.7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103</v>
      </c>
      <c r="AG41">
        <v>1.4374999999999999E-2</v>
      </c>
      <c r="AH41">
        <v>2</v>
      </c>
      <c r="AI41">
        <v>146439164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ROW(Source!A69)</f>
        <v>69</v>
      </c>
      <c r="B42">
        <v>146439173</v>
      </c>
      <c r="C42">
        <v>146439161</v>
      </c>
      <c r="D42">
        <v>140923105</v>
      </c>
      <c r="E42">
        <v>1</v>
      </c>
      <c r="F42">
        <v>1</v>
      </c>
      <c r="G42">
        <v>1</v>
      </c>
      <c r="H42">
        <v>2</v>
      </c>
      <c r="I42" t="s">
        <v>326</v>
      </c>
      <c r="J42" t="s">
        <v>327</v>
      </c>
      <c r="K42" t="s">
        <v>328</v>
      </c>
      <c r="L42">
        <v>1367</v>
      </c>
      <c r="N42">
        <v>1011</v>
      </c>
      <c r="O42" t="s">
        <v>236</v>
      </c>
      <c r="P42" t="s">
        <v>236</v>
      </c>
      <c r="Q42">
        <v>1</v>
      </c>
      <c r="X42">
        <v>0.01</v>
      </c>
      <c r="Y42">
        <v>0</v>
      </c>
      <c r="Z42">
        <v>89.99</v>
      </c>
      <c r="AA42">
        <v>10.06</v>
      </c>
      <c r="AB42">
        <v>0</v>
      </c>
      <c r="AC42">
        <v>0</v>
      </c>
      <c r="AD42">
        <v>1</v>
      </c>
      <c r="AE42">
        <v>0</v>
      </c>
      <c r="AF42" t="s">
        <v>103</v>
      </c>
      <c r="AG42">
        <v>1.4374999999999999E-2</v>
      </c>
      <c r="AH42">
        <v>2</v>
      </c>
      <c r="AI42">
        <v>146439165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ROW(Source!A69)</f>
        <v>69</v>
      </c>
      <c r="B43">
        <v>146439174</v>
      </c>
      <c r="C43">
        <v>146439161</v>
      </c>
      <c r="D43">
        <v>140923885</v>
      </c>
      <c r="E43">
        <v>1</v>
      </c>
      <c r="F43">
        <v>1</v>
      </c>
      <c r="G43">
        <v>1</v>
      </c>
      <c r="H43">
        <v>2</v>
      </c>
      <c r="I43" t="s">
        <v>274</v>
      </c>
      <c r="J43" t="s">
        <v>275</v>
      </c>
      <c r="K43" t="s">
        <v>276</v>
      </c>
      <c r="L43">
        <v>1367</v>
      </c>
      <c r="N43">
        <v>1011</v>
      </c>
      <c r="O43" t="s">
        <v>236</v>
      </c>
      <c r="P43" t="s">
        <v>236</v>
      </c>
      <c r="Q43">
        <v>1</v>
      </c>
      <c r="X43">
        <v>0.01</v>
      </c>
      <c r="Y43">
        <v>0</v>
      </c>
      <c r="Z43">
        <v>65.709999999999994</v>
      </c>
      <c r="AA43">
        <v>11.6</v>
      </c>
      <c r="AB43">
        <v>0</v>
      </c>
      <c r="AC43">
        <v>0</v>
      </c>
      <c r="AD43">
        <v>1</v>
      </c>
      <c r="AE43">
        <v>0</v>
      </c>
      <c r="AF43" t="s">
        <v>103</v>
      </c>
      <c r="AG43">
        <v>1.4374999999999999E-2</v>
      </c>
      <c r="AH43">
        <v>2</v>
      </c>
      <c r="AI43">
        <v>146439166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ROW(Source!A69)</f>
        <v>69</v>
      </c>
      <c r="B44">
        <v>146439175</v>
      </c>
      <c r="C44">
        <v>146439161</v>
      </c>
      <c r="D44">
        <v>140924526</v>
      </c>
      <c r="E44">
        <v>1</v>
      </c>
      <c r="F44">
        <v>1</v>
      </c>
      <c r="G44">
        <v>1</v>
      </c>
      <c r="H44">
        <v>2</v>
      </c>
      <c r="I44" t="s">
        <v>329</v>
      </c>
      <c r="J44" t="s">
        <v>330</v>
      </c>
      <c r="K44" t="s">
        <v>331</v>
      </c>
      <c r="L44">
        <v>1367</v>
      </c>
      <c r="N44">
        <v>1011</v>
      </c>
      <c r="O44" t="s">
        <v>236</v>
      </c>
      <c r="P44" t="s">
        <v>236</v>
      </c>
      <c r="Q44">
        <v>1</v>
      </c>
      <c r="X44">
        <v>1.1200000000000001</v>
      </c>
      <c r="Y44">
        <v>0</v>
      </c>
      <c r="Z44">
        <v>6.82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103</v>
      </c>
      <c r="AG44">
        <v>1.61</v>
      </c>
      <c r="AH44">
        <v>2</v>
      </c>
      <c r="AI44">
        <v>146439167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ROW(Source!A69)</f>
        <v>69</v>
      </c>
      <c r="B45">
        <v>146439176</v>
      </c>
      <c r="C45">
        <v>146439161</v>
      </c>
      <c r="D45">
        <v>140804058</v>
      </c>
      <c r="E45">
        <v>1</v>
      </c>
      <c r="F45">
        <v>1</v>
      </c>
      <c r="G45">
        <v>1</v>
      </c>
      <c r="H45">
        <v>3</v>
      </c>
      <c r="I45" t="s">
        <v>310</v>
      </c>
      <c r="J45" t="s">
        <v>311</v>
      </c>
      <c r="K45" t="s">
        <v>312</v>
      </c>
      <c r="L45">
        <v>1348</v>
      </c>
      <c r="N45">
        <v>1009</v>
      </c>
      <c r="O45" t="s">
        <v>22</v>
      </c>
      <c r="P45" t="s">
        <v>22</v>
      </c>
      <c r="Q45">
        <v>1000</v>
      </c>
      <c r="X45">
        <v>8.9999999999999993E-3</v>
      </c>
      <c r="Y45">
        <v>15620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8.9999999999999993E-3</v>
      </c>
      <c r="AH45">
        <v>2</v>
      </c>
      <c r="AI45">
        <v>146439168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ROW(Source!A69)</f>
        <v>69</v>
      </c>
      <c r="B46">
        <v>146439177</v>
      </c>
      <c r="C46">
        <v>146439161</v>
      </c>
      <c r="D46">
        <v>140805125</v>
      </c>
      <c r="E46">
        <v>1</v>
      </c>
      <c r="F46">
        <v>1</v>
      </c>
      <c r="G46">
        <v>1</v>
      </c>
      <c r="H46">
        <v>3</v>
      </c>
      <c r="I46" t="s">
        <v>332</v>
      </c>
      <c r="J46" t="s">
        <v>333</v>
      </c>
      <c r="K46" t="s">
        <v>334</v>
      </c>
      <c r="L46">
        <v>1348</v>
      </c>
      <c r="N46">
        <v>1009</v>
      </c>
      <c r="O46" t="s">
        <v>22</v>
      </c>
      <c r="P46" t="s">
        <v>22</v>
      </c>
      <c r="Q46">
        <v>1000</v>
      </c>
      <c r="X46">
        <v>1.5E-3</v>
      </c>
      <c r="Y46">
        <v>7640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1.5E-3</v>
      </c>
      <c r="AH46">
        <v>2</v>
      </c>
      <c r="AI46">
        <v>146439169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ROW(Source!A70)</f>
        <v>70</v>
      </c>
      <c r="B47">
        <v>146439143</v>
      </c>
      <c r="C47">
        <v>146439142</v>
      </c>
      <c r="D47">
        <v>140760001</v>
      </c>
      <c r="E47">
        <v>70</v>
      </c>
      <c r="F47">
        <v>1</v>
      </c>
      <c r="G47">
        <v>1</v>
      </c>
      <c r="H47">
        <v>1</v>
      </c>
      <c r="I47" t="s">
        <v>335</v>
      </c>
      <c r="J47" t="s">
        <v>3</v>
      </c>
      <c r="K47" t="s">
        <v>336</v>
      </c>
      <c r="L47">
        <v>1191</v>
      </c>
      <c r="N47">
        <v>1013</v>
      </c>
      <c r="O47" t="s">
        <v>230</v>
      </c>
      <c r="P47" t="s">
        <v>230</v>
      </c>
      <c r="Q47">
        <v>1</v>
      </c>
      <c r="X47">
        <v>2.13</v>
      </c>
      <c r="Y47">
        <v>0</v>
      </c>
      <c r="Z47">
        <v>0</v>
      </c>
      <c r="AA47">
        <v>0</v>
      </c>
      <c r="AB47">
        <v>9.07</v>
      </c>
      <c r="AC47">
        <v>0</v>
      </c>
      <c r="AD47">
        <v>1</v>
      </c>
      <c r="AE47">
        <v>1</v>
      </c>
      <c r="AF47" t="s">
        <v>104</v>
      </c>
      <c r="AG47">
        <v>2.8169249999999995</v>
      </c>
      <c r="AH47">
        <v>2</v>
      </c>
      <c r="AI47">
        <v>146439143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ROW(Source!A70)</f>
        <v>70</v>
      </c>
      <c r="B48">
        <v>146439144</v>
      </c>
      <c r="C48">
        <v>146439142</v>
      </c>
      <c r="D48">
        <v>140760225</v>
      </c>
      <c r="E48">
        <v>70</v>
      </c>
      <c r="F48">
        <v>1</v>
      </c>
      <c r="G48">
        <v>1</v>
      </c>
      <c r="H48">
        <v>1</v>
      </c>
      <c r="I48" t="s">
        <v>231</v>
      </c>
      <c r="J48" t="s">
        <v>3</v>
      </c>
      <c r="K48" t="s">
        <v>232</v>
      </c>
      <c r="L48">
        <v>1191</v>
      </c>
      <c r="N48">
        <v>1013</v>
      </c>
      <c r="O48" t="s">
        <v>230</v>
      </c>
      <c r="P48" t="s">
        <v>230</v>
      </c>
      <c r="Q48">
        <v>1</v>
      </c>
      <c r="X48">
        <v>0.02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103</v>
      </c>
      <c r="AG48">
        <v>2.8749999999999998E-2</v>
      </c>
      <c r="AH48">
        <v>2</v>
      </c>
      <c r="AI48">
        <v>146439144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ROW(Source!A70)</f>
        <v>70</v>
      </c>
      <c r="B49">
        <v>146439145</v>
      </c>
      <c r="C49">
        <v>146439142</v>
      </c>
      <c r="D49">
        <v>140923086</v>
      </c>
      <c r="E49">
        <v>1</v>
      </c>
      <c r="F49">
        <v>1</v>
      </c>
      <c r="G49">
        <v>1</v>
      </c>
      <c r="H49">
        <v>2</v>
      </c>
      <c r="I49" t="s">
        <v>323</v>
      </c>
      <c r="J49" t="s">
        <v>324</v>
      </c>
      <c r="K49" t="s">
        <v>325</v>
      </c>
      <c r="L49">
        <v>1367</v>
      </c>
      <c r="N49">
        <v>1011</v>
      </c>
      <c r="O49" t="s">
        <v>236</v>
      </c>
      <c r="P49" t="s">
        <v>236</v>
      </c>
      <c r="Q49">
        <v>1</v>
      </c>
      <c r="X49">
        <v>0.01</v>
      </c>
      <c r="Y49">
        <v>0</v>
      </c>
      <c r="Z49">
        <v>1.7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103</v>
      </c>
      <c r="AG49">
        <v>1.4374999999999999E-2</v>
      </c>
      <c r="AH49">
        <v>2</v>
      </c>
      <c r="AI49">
        <v>146439145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ROW(Source!A70)</f>
        <v>70</v>
      </c>
      <c r="B50">
        <v>146439146</v>
      </c>
      <c r="C50">
        <v>146439142</v>
      </c>
      <c r="D50">
        <v>140923105</v>
      </c>
      <c r="E50">
        <v>1</v>
      </c>
      <c r="F50">
        <v>1</v>
      </c>
      <c r="G50">
        <v>1</v>
      </c>
      <c r="H50">
        <v>2</v>
      </c>
      <c r="I50" t="s">
        <v>326</v>
      </c>
      <c r="J50" t="s">
        <v>327</v>
      </c>
      <c r="K50" t="s">
        <v>328</v>
      </c>
      <c r="L50">
        <v>1367</v>
      </c>
      <c r="N50">
        <v>1011</v>
      </c>
      <c r="O50" t="s">
        <v>236</v>
      </c>
      <c r="P50" t="s">
        <v>236</v>
      </c>
      <c r="Q50">
        <v>1</v>
      </c>
      <c r="X50">
        <v>0.01</v>
      </c>
      <c r="Y50">
        <v>0</v>
      </c>
      <c r="Z50">
        <v>89.99</v>
      </c>
      <c r="AA50">
        <v>10.06</v>
      </c>
      <c r="AB50">
        <v>0</v>
      </c>
      <c r="AC50">
        <v>0</v>
      </c>
      <c r="AD50">
        <v>1</v>
      </c>
      <c r="AE50">
        <v>0</v>
      </c>
      <c r="AF50" t="s">
        <v>103</v>
      </c>
      <c r="AG50">
        <v>1.4374999999999999E-2</v>
      </c>
      <c r="AH50">
        <v>2</v>
      </c>
      <c r="AI50">
        <v>146439146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ROW(Source!A70)</f>
        <v>70</v>
      </c>
      <c r="B51">
        <v>146439147</v>
      </c>
      <c r="C51">
        <v>146439142</v>
      </c>
      <c r="D51">
        <v>140923885</v>
      </c>
      <c r="E51">
        <v>1</v>
      </c>
      <c r="F51">
        <v>1</v>
      </c>
      <c r="G51">
        <v>1</v>
      </c>
      <c r="H51">
        <v>2</v>
      </c>
      <c r="I51" t="s">
        <v>274</v>
      </c>
      <c r="J51" t="s">
        <v>275</v>
      </c>
      <c r="K51" t="s">
        <v>276</v>
      </c>
      <c r="L51">
        <v>1367</v>
      </c>
      <c r="N51">
        <v>1011</v>
      </c>
      <c r="O51" t="s">
        <v>236</v>
      </c>
      <c r="P51" t="s">
        <v>236</v>
      </c>
      <c r="Q51">
        <v>1</v>
      </c>
      <c r="X51">
        <v>0.01</v>
      </c>
      <c r="Y51">
        <v>0</v>
      </c>
      <c r="Z51">
        <v>65.709999999999994</v>
      </c>
      <c r="AA51">
        <v>11.6</v>
      </c>
      <c r="AB51">
        <v>0</v>
      </c>
      <c r="AC51">
        <v>0</v>
      </c>
      <c r="AD51">
        <v>1</v>
      </c>
      <c r="AE51">
        <v>0</v>
      </c>
      <c r="AF51" t="s">
        <v>103</v>
      </c>
      <c r="AG51">
        <v>1.4374999999999999E-2</v>
      </c>
      <c r="AH51">
        <v>2</v>
      </c>
      <c r="AI51">
        <v>146439147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ROW(Source!A70)</f>
        <v>70</v>
      </c>
      <c r="B52">
        <v>146439148</v>
      </c>
      <c r="C52">
        <v>146439142</v>
      </c>
      <c r="D52">
        <v>140924526</v>
      </c>
      <c r="E52">
        <v>1</v>
      </c>
      <c r="F52">
        <v>1</v>
      </c>
      <c r="G52">
        <v>1</v>
      </c>
      <c r="H52">
        <v>2</v>
      </c>
      <c r="I52" t="s">
        <v>329</v>
      </c>
      <c r="J52" t="s">
        <v>330</v>
      </c>
      <c r="K52" t="s">
        <v>331</v>
      </c>
      <c r="L52">
        <v>1367</v>
      </c>
      <c r="N52">
        <v>1011</v>
      </c>
      <c r="O52" t="s">
        <v>236</v>
      </c>
      <c r="P52" t="s">
        <v>236</v>
      </c>
      <c r="Q52">
        <v>1</v>
      </c>
      <c r="X52">
        <v>0.65</v>
      </c>
      <c r="Y52">
        <v>0</v>
      </c>
      <c r="Z52">
        <v>6.82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103</v>
      </c>
      <c r="AG52">
        <v>0.93437499999999996</v>
      </c>
      <c r="AH52">
        <v>2</v>
      </c>
      <c r="AI52">
        <v>146439148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ROW(Source!A70)</f>
        <v>70</v>
      </c>
      <c r="B53">
        <v>146439149</v>
      </c>
      <c r="C53">
        <v>146439142</v>
      </c>
      <c r="D53">
        <v>140804609</v>
      </c>
      <c r="E53">
        <v>1</v>
      </c>
      <c r="F53">
        <v>1</v>
      </c>
      <c r="G53">
        <v>1</v>
      </c>
      <c r="H53">
        <v>3</v>
      </c>
      <c r="I53" t="s">
        <v>337</v>
      </c>
      <c r="J53" t="s">
        <v>338</v>
      </c>
      <c r="K53" t="s">
        <v>339</v>
      </c>
      <c r="L53">
        <v>1348</v>
      </c>
      <c r="N53">
        <v>1009</v>
      </c>
      <c r="O53" t="s">
        <v>22</v>
      </c>
      <c r="P53" t="s">
        <v>22</v>
      </c>
      <c r="Q53">
        <v>1000</v>
      </c>
      <c r="X53">
        <v>8.9999999999999993E-3</v>
      </c>
      <c r="Y53">
        <v>14312.87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8.9999999999999993E-3</v>
      </c>
      <c r="AH53">
        <v>2</v>
      </c>
      <c r="AI53">
        <v>146439149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ROW(Source!A70)</f>
        <v>70</v>
      </c>
      <c r="B54">
        <v>146439150</v>
      </c>
      <c r="C54">
        <v>146439142</v>
      </c>
      <c r="D54">
        <v>140805221</v>
      </c>
      <c r="E54">
        <v>1</v>
      </c>
      <c r="F54">
        <v>1</v>
      </c>
      <c r="G54">
        <v>1</v>
      </c>
      <c r="H54">
        <v>3</v>
      </c>
      <c r="I54" t="s">
        <v>340</v>
      </c>
      <c r="J54" t="s">
        <v>341</v>
      </c>
      <c r="K54" t="s">
        <v>342</v>
      </c>
      <c r="L54">
        <v>1346</v>
      </c>
      <c r="N54">
        <v>1009</v>
      </c>
      <c r="O54" t="s">
        <v>259</v>
      </c>
      <c r="P54" t="s">
        <v>259</v>
      </c>
      <c r="Q54">
        <v>1</v>
      </c>
      <c r="X54">
        <v>1.4</v>
      </c>
      <c r="Y54">
        <v>6.67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1.4</v>
      </c>
      <c r="AH54">
        <v>2</v>
      </c>
      <c r="AI54">
        <v>146439150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ROW(Source!A71)</f>
        <v>71</v>
      </c>
      <c r="B55">
        <v>146453348</v>
      </c>
      <c r="C55">
        <v>146453347</v>
      </c>
      <c r="D55">
        <v>140759982</v>
      </c>
      <c r="E55">
        <v>70</v>
      </c>
      <c r="F55">
        <v>1</v>
      </c>
      <c r="G55">
        <v>1</v>
      </c>
      <c r="H55">
        <v>1</v>
      </c>
      <c r="I55" t="s">
        <v>316</v>
      </c>
      <c r="J55" t="s">
        <v>3</v>
      </c>
      <c r="K55" t="s">
        <v>317</v>
      </c>
      <c r="L55">
        <v>1191</v>
      </c>
      <c r="N55">
        <v>1013</v>
      </c>
      <c r="O55" t="s">
        <v>230</v>
      </c>
      <c r="P55" t="s">
        <v>230</v>
      </c>
      <c r="Q55">
        <v>1</v>
      </c>
      <c r="X55">
        <v>70.2</v>
      </c>
      <c r="Y55">
        <v>0</v>
      </c>
      <c r="Z55">
        <v>0</v>
      </c>
      <c r="AA55">
        <v>0</v>
      </c>
      <c r="AB55">
        <v>8.64</v>
      </c>
      <c r="AC55">
        <v>0</v>
      </c>
      <c r="AD55">
        <v>1</v>
      </c>
      <c r="AE55">
        <v>1</v>
      </c>
      <c r="AF55" t="s">
        <v>104</v>
      </c>
      <c r="AG55">
        <v>92.839500000000001</v>
      </c>
      <c r="AH55">
        <v>2</v>
      </c>
      <c r="AI55">
        <v>146453348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ROW(Source!A71)</f>
        <v>71</v>
      </c>
      <c r="B56">
        <v>146453349</v>
      </c>
      <c r="C56">
        <v>146453347</v>
      </c>
      <c r="D56">
        <v>140760225</v>
      </c>
      <c r="E56">
        <v>70</v>
      </c>
      <c r="F56">
        <v>1</v>
      </c>
      <c r="G56">
        <v>1</v>
      </c>
      <c r="H56">
        <v>1</v>
      </c>
      <c r="I56" t="s">
        <v>231</v>
      </c>
      <c r="J56" t="s">
        <v>3</v>
      </c>
      <c r="K56" t="s">
        <v>232</v>
      </c>
      <c r="L56">
        <v>1191</v>
      </c>
      <c r="N56">
        <v>1013</v>
      </c>
      <c r="O56" t="s">
        <v>230</v>
      </c>
      <c r="P56" t="s">
        <v>230</v>
      </c>
      <c r="Q56">
        <v>1</v>
      </c>
      <c r="X56">
        <v>0.18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2</v>
      </c>
      <c r="AF56" t="s">
        <v>103</v>
      </c>
      <c r="AG56">
        <v>0.25874999999999998</v>
      </c>
      <c r="AH56">
        <v>2</v>
      </c>
      <c r="AI56">
        <v>146453349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ROW(Source!A71)</f>
        <v>71</v>
      </c>
      <c r="B57">
        <v>146453350</v>
      </c>
      <c r="C57">
        <v>146453347</v>
      </c>
      <c r="D57">
        <v>140923885</v>
      </c>
      <c r="E57">
        <v>1</v>
      </c>
      <c r="F57">
        <v>1</v>
      </c>
      <c r="G57">
        <v>1</v>
      </c>
      <c r="H57">
        <v>2</v>
      </c>
      <c r="I57" t="s">
        <v>274</v>
      </c>
      <c r="J57" t="s">
        <v>275</v>
      </c>
      <c r="K57" t="s">
        <v>276</v>
      </c>
      <c r="L57">
        <v>1367</v>
      </c>
      <c r="N57">
        <v>1011</v>
      </c>
      <c r="O57" t="s">
        <v>236</v>
      </c>
      <c r="P57" t="s">
        <v>236</v>
      </c>
      <c r="Q57">
        <v>1</v>
      </c>
      <c r="X57">
        <v>0.18</v>
      </c>
      <c r="Y57">
        <v>0</v>
      </c>
      <c r="Z57">
        <v>65.709999999999994</v>
      </c>
      <c r="AA57">
        <v>11.6</v>
      </c>
      <c r="AB57">
        <v>0</v>
      </c>
      <c r="AC57">
        <v>0</v>
      </c>
      <c r="AD57">
        <v>1</v>
      </c>
      <c r="AE57">
        <v>0</v>
      </c>
      <c r="AF57" t="s">
        <v>103</v>
      </c>
      <c r="AG57">
        <v>0.25874999999999998</v>
      </c>
      <c r="AH57">
        <v>2</v>
      </c>
      <c r="AI57">
        <v>146453350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ROW(Source!A71)</f>
        <v>71</v>
      </c>
      <c r="B58">
        <v>146453351</v>
      </c>
      <c r="C58">
        <v>146453347</v>
      </c>
      <c r="D58">
        <v>140775571</v>
      </c>
      <c r="E58">
        <v>1</v>
      </c>
      <c r="F58">
        <v>1</v>
      </c>
      <c r="G58">
        <v>1</v>
      </c>
      <c r="H58">
        <v>3</v>
      </c>
      <c r="I58" t="s">
        <v>343</v>
      </c>
      <c r="J58" t="s">
        <v>344</v>
      </c>
      <c r="K58" t="s">
        <v>345</v>
      </c>
      <c r="L58">
        <v>1339</v>
      </c>
      <c r="N58">
        <v>1007</v>
      </c>
      <c r="O58" t="s">
        <v>255</v>
      </c>
      <c r="P58" t="s">
        <v>255</v>
      </c>
      <c r="Q58">
        <v>1</v>
      </c>
      <c r="X58">
        <v>8.0000000000000002E-3</v>
      </c>
      <c r="Y58">
        <v>1100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143</v>
      </c>
      <c r="AG58">
        <v>0</v>
      </c>
      <c r="AH58">
        <v>2</v>
      </c>
      <c r="AI58">
        <v>146453351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ROW(Source!A71)</f>
        <v>71</v>
      </c>
      <c r="B59">
        <v>146453352</v>
      </c>
      <c r="C59">
        <v>146453347</v>
      </c>
      <c r="D59">
        <v>140775573</v>
      </c>
      <c r="E59">
        <v>1</v>
      </c>
      <c r="F59">
        <v>1</v>
      </c>
      <c r="G59">
        <v>1</v>
      </c>
      <c r="H59">
        <v>3</v>
      </c>
      <c r="I59" t="s">
        <v>346</v>
      </c>
      <c r="J59" t="s">
        <v>347</v>
      </c>
      <c r="K59" t="s">
        <v>348</v>
      </c>
      <c r="L59">
        <v>1348</v>
      </c>
      <c r="N59">
        <v>1009</v>
      </c>
      <c r="O59" t="s">
        <v>22</v>
      </c>
      <c r="P59" t="s">
        <v>22</v>
      </c>
      <c r="Q59">
        <v>1000</v>
      </c>
      <c r="X59">
        <v>2.9000000000000001E-2</v>
      </c>
      <c r="Y59">
        <v>6102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143</v>
      </c>
      <c r="AG59">
        <v>0</v>
      </c>
      <c r="AH59">
        <v>2</v>
      </c>
      <c r="AI59">
        <v>146453352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ROW(Source!A71)</f>
        <v>71</v>
      </c>
      <c r="B60">
        <v>146453353</v>
      </c>
      <c r="C60">
        <v>146453347</v>
      </c>
      <c r="D60">
        <v>140797739</v>
      </c>
      <c r="E60">
        <v>1</v>
      </c>
      <c r="F60">
        <v>1</v>
      </c>
      <c r="G60">
        <v>1</v>
      </c>
      <c r="H60">
        <v>3</v>
      </c>
      <c r="I60" t="s">
        <v>349</v>
      </c>
      <c r="J60" t="s">
        <v>350</v>
      </c>
      <c r="K60" t="s">
        <v>351</v>
      </c>
      <c r="L60">
        <v>1327</v>
      </c>
      <c r="N60">
        <v>1005</v>
      </c>
      <c r="O60" t="s">
        <v>352</v>
      </c>
      <c r="P60" t="s">
        <v>352</v>
      </c>
      <c r="Q60">
        <v>1</v>
      </c>
      <c r="X60">
        <v>5.5</v>
      </c>
      <c r="Y60">
        <v>35.22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143</v>
      </c>
      <c r="AG60">
        <v>0</v>
      </c>
      <c r="AH60">
        <v>2</v>
      </c>
      <c r="AI60">
        <v>146453353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ROW(Source!A72)</f>
        <v>72</v>
      </c>
      <c r="B61">
        <v>146453355</v>
      </c>
      <c r="C61">
        <v>146453354</v>
      </c>
      <c r="D61">
        <v>140759982</v>
      </c>
      <c r="E61">
        <v>70</v>
      </c>
      <c r="F61">
        <v>1</v>
      </c>
      <c r="G61">
        <v>1</v>
      </c>
      <c r="H61">
        <v>1</v>
      </c>
      <c r="I61" t="s">
        <v>316</v>
      </c>
      <c r="J61" t="s">
        <v>3</v>
      </c>
      <c r="K61" t="s">
        <v>317</v>
      </c>
      <c r="L61">
        <v>1191</v>
      </c>
      <c r="N61">
        <v>1013</v>
      </c>
      <c r="O61" t="s">
        <v>230</v>
      </c>
      <c r="P61" t="s">
        <v>230</v>
      </c>
      <c r="Q61">
        <v>1</v>
      </c>
      <c r="X61">
        <v>6.6</v>
      </c>
      <c r="Y61">
        <v>0</v>
      </c>
      <c r="Z61">
        <v>0</v>
      </c>
      <c r="AA61">
        <v>0</v>
      </c>
      <c r="AB61">
        <v>8.64</v>
      </c>
      <c r="AC61">
        <v>0</v>
      </c>
      <c r="AD61">
        <v>1</v>
      </c>
      <c r="AE61">
        <v>1</v>
      </c>
      <c r="AF61" t="s">
        <v>104</v>
      </c>
      <c r="AG61">
        <v>8.7284999999999986</v>
      </c>
      <c r="AH61">
        <v>2</v>
      </c>
      <c r="AI61">
        <v>146453355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12 гр. по ФЕР</vt:lpstr>
      <vt:lpstr>Source</vt:lpstr>
      <vt:lpstr>SourceObSm</vt:lpstr>
      <vt:lpstr>SmtRes</vt:lpstr>
      <vt:lpstr>EtalonRes</vt:lpstr>
      <vt:lpstr>SrcKA</vt:lpstr>
      <vt:lpstr>'Смета 12 гр. по ФЕР'!Заголовки_для_печати</vt:lpstr>
      <vt:lpstr>'Смета 12 гр. по ФЕР'!Область_печати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 Денис Алексеевич</dc:creator>
  <cp:lastModifiedBy>Дружинина Ксения Евгеньевна</cp:lastModifiedBy>
  <dcterms:created xsi:type="dcterms:W3CDTF">2024-09-12T11:14:42Z</dcterms:created>
  <dcterms:modified xsi:type="dcterms:W3CDTF">2024-09-27T05:13:43Z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