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tabRatio="782" activeTab="0"/>
  </bookViews>
  <sheets>
    <sheet name="Отделка, эл.снабжение освещение" sheetId="1" r:id="rId1"/>
  </sheets>
  <definedNames>
    <definedName name="_xlnm._FilterDatabase" localSheetId="0" hidden="1">'Отделка, эл.снабжение освещение'!$I$1:$I$226</definedName>
    <definedName name="_xlnm.Print_Area" localSheetId="0">'Отделка, эл.снабжение освещение'!$A$1:$I$224</definedName>
  </definedNames>
  <calcPr fullCalcOnLoad="1"/>
</workbook>
</file>

<file path=xl/comments1.xml><?xml version="1.0" encoding="utf-8"?>
<comments xmlns="http://schemas.openxmlformats.org/spreadsheetml/2006/main">
  <authors>
    <author>Гунина Мария Андреевна</author>
  </authors>
  <commentList>
    <comment ref="G12" authorId="0">
      <text>
        <r>
          <rPr>
            <b/>
            <sz val="9"/>
            <rFont val="Tahoma"/>
            <family val="2"/>
          </rPr>
          <t>Гунина Мария Андреевна:</t>
        </r>
        <r>
          <rPr>
            <sz val="9"/>
            <rFont val="Tahoma"/>
            <family val="2"/>
          </rPr>
          <t xml:space="preserve">
электроды</t>
        </r>
      </text>
    </comment>
  </commentList>
</comments>
</file>

<file path=xl/sharedStrings.xml><?xml version="1.0" encoding="utf-8"?>
<sst xmlns="http://schemas.openxmlformats.org/spreadsheetml/2006/main" count="400" uniqueCount="218">
  <si>
    <t>Ведомость объемов работ</t>
  </si>
  <si>
    <t>№ п/п</t>
  </si>
  <si>
    <t>Наименование видов работ</t>
  </si>
  <si>
    <t>Един. измер.</t>
  </si>
  <si>
    <t>Кол-во</t>
  </si>
  <si>
    <t>Стоимость работ руб.</t>
  </si>
  <si>
    <t>Стоимость материалов руб.</t>
  </si>
  <si>
    <t>Итого руб.</t>
  </si>
  <si>
    <t>единица объема</t>
  </si>
  <si>
    <t>Всего</t>
  </si>
  <si>
    <t>м2</t>
  </si>
  <si>
    <t>шт</t>
  </si>
  <si>
    <t>т</t>
  </si>
  <si>
    <t>м3</t>
  </si>
  <si>
    <r>
      <t>м</t>
    </r>
    <r>
      <rPr>
        <sz val="10"/>
        <rFont val="Calibri"/>
        <family val="2"/>
      </rPr>
      <t>²</t>
    </r>
  </si>
  <si>
    <t xml:space="preserve">п.м. </t>
  </si>
  <si>
    <t>п.м.</t>
  </si>
  <si>
    <t>м</t>
  </si>
  <si>
    <t>Анкер клиновый 12х100 мм</t>
  </si>
  <si>
    <r>
      <t xml:space="preserve">              </t>
    </r>
    <r>
      <rPr>
        <b/>
        <i/>
        <sz val="12"/>
        <rFont val="Times New Roman CYR"/>
        <family val="0"/>
      </rPr>
      <t>Демонтажные и подготовительные работы</t>
    </r>
  </si>
  <si>
    <t xml:space="preserve">            Общестроительные и отделочные работы.</t>
  </si>
  <si>
    <t>Окраска металлоконструкций обрамления восьми ворот: Грунт эмаль по металлу, быстросохнущая DecoTech 3 в 1, на 2 раза –м² RAL7004 серый.</t>
  </si>
  <si>
    <t>Установка дверей противопожарных EI60 с доводчиками  2100х1000 мм цвет серый RAL 9002</t>
  </si>
  <si>
    <t>Заполнение полостей в откосах уплотняющим жгутом Вилатерм. С   двухкомпонентным полиуретановым герметиком для наружных работ Гермаст 2К белый. Среднеприведенная толщина заполнения 100мм.</t>
  </si>
  <si>
    <t>Монтаж силовых щитов ЩМП 1200х750х300 IP54 У2 металлический с замком ЩМП-6-0 (YKM40-06-54)</t>
  </si>
  <si>
    <t>Розетка штепсельная 16А РАр10-3-ОП с заземл. на DIN-рейку ИЭК MRD10-16 – 1 шт.</t>
  </si>
  <si>
    <t>Электросчетчик  Меркурий 231 АМ-01 3*230/400В 5(60)А, прямого включения  6 шт.</t>
  </si>
  <si>
    <t>Клеммная колодка для  коммутации 1р 15х5.3мм зеленый (5015PE)</t>
  </si>
  <si>
    <t>Блок распределительный на DIN-рейку 4 полюса 100А 5х6мм 2х7.5мм (BD10074)</t>
  </si>
  <si>
    <t>Блок зажимов проходных БЗ26-4П25-10 (БЗ26-4П25-В/В-10)</t>
  </si>
  <si>
    <t xml:space="preserve">Провод силовой ПуГВнг (А)-LS 1х4 белый бухта многопроволочный </t>
  </si>
  <si>
    <t>Провод силовой ПуГВнг (А)-LS 1х4 синий бухта многопроволочный</t>
  </si>
  <si>
    <t>Провод силовой ПуГВнг (А)-LS 1х4 желто-зеленый бухта многопроволочный</t>
  </si>
  <si>
    <t xml:space="preserve">Провод силовой ПуГВнг(А)-LS 1х16 бел </t>
  </si>
  <si>
    <t xml:space="preserve">Провод силовой ПуГВнг(А)-LS 16 син </t>
  </si>
  <si>
    <t>Наконечник кабельный НШвИ 4-9 серый Е4009 (UGN10-004-04-09)</t>
  </si>
  <si>
    <t>Наконечник штыревой втулочный изолированный НШвИ 16.0-12 – 2 шт</t>
  </si>
  <si>
    <t>Наконечник медный луженый ТМЛ 35-8.5-8 JG-35</t>
  </si>
  <si>
    <t>Короб монтажный 25х50мм  Артикул AK2GD2550 2000мм.</t>
  </si>
  <si>
    <t>Изолятор опорный А-632 внутренняя установка, АФЗ, полимерные (Изолятор А632 полимерные)</t>
  </si>
  <si>
    <t>Муфта кабельная концевая 1КВТп-4х(70-120)</t>
  </si>
  <si>
    <r>
      <t>Муфта кабельная соединительная</t>
    </r>
    <r>
      <rPr>
        <sz val="11"/>
        <rFont val="Calibri"/>
        <family val="2"/>
      </rPr>
      <t xml:space="preserve"> </t>
    </r>
    <r>
      <rPr>
        <sz val="11"/>
        <color indexed="8"/>
        <rFont val="Calibri"/>
        <family val="2"/>
      </rPr>
      <t>ПСт-4х(70-120)-1</t>
    </r>
  </si>
  <si>
    <t>Лоток перфорированный 200х100х3000 (35343)</t>
  </si>
  <si>
    <t>Лоток лестничный 50х200х6000 горячеоцинкованный (LA5020HDZ)</t>
  </si>
  <si>
    <t>шт.</t>
  </si>
  <si>
    <t>Крышка на лоток 200 мм L=3000мм с заземлением (35524)</t>
  </si>
  <si>
    <t>Угол для лотка горизонтальный 90град. 200х100 CPO 90 в комплекте с крепеж. элементами DKC 36043K</t>
  </si>
  <si>
    <t>Крышка на угол CPO-90 горизонтальный основание 200 мм (38004)</t>
  </si>
  <si>
    <t>Держатель кабельный 38-44мм для крепления к лотку/профилю (BHL3844)</t>
  </si>
  <si>
    <t>Хомут 200х4.8мм нейлон (100шт) (71049)</t>
  </si>
  <si>
    <t>Распределительный щит ЩР1</t>
  </si>
  <si>
    <t>Щит распределительный навесной ЩРн-24з IP31 с замком (MKM14-N-24-31-Z)</t>
  </si>
  <si>
    <t xml:space="preserve">розетка штепсельная 16А РАр10-3-ОП с заземл. на DIN-рейку ИЭК MRD10-16 </t>
  </si>
  <si>
    <t>Монтаж труб  ПВХ ДКС 32ммАртикул:62932R</t>
  </si>
  <si>
    <t>Колодка клеммная соединительная 1р 7х5.3мм синяя (507N)– 1 шт.</t>
  </si>
  <si>
    <t>Колодка клеммная соединительная 1р 7х5.3мм зеленая (507PE)</t>
  </si>
  <si>
    <t xml:space="preserve">Блок распределительный на DIN-рейку 4 полюса 100А 5х6мм 2х7.5мм (BD10074) </t>
  </si>
  <si>
    <t xml:space="preserve">Ввгнг-лс 5х4 в трубе гофрированной  ПВХ 25 мм с протяжкой легкая серая (100м) (91920) </t>
  </si>
  <si>
    <t>Установка соединителей WAGO Клемма WAGO 2273-243</t>
  </si>
  <si>
    <t>Установка соединителей WAGO Клемма WAGO 2273-205.</t>
  </si>
  <si>
    <t xml:space="preserve">ПНР </t>
  </si>
  <si>
    <t>Линий.</t>
  </si>
  <si>
    <t xml:space="preserve">Проверка сопротивления изоляции. </t>
  </si>
  <si>
    <t xml:space="preserve">Монтаж полосы заземления 40х4мм </t>
  </si>
  <si>
    <t>Крепление полосы заземления к стенам дюбель-гвоздями 6х50мм через 500мм</t>
  </si>
  <si>
    <t>Устройство отверстий Ø до 60мм. в кирпичных перегородках с установкой стальных гильз (проходки сети отопления).</t>
  </si>
  <si>
    <t>мест</t>
  </si>
  <si>
    <t>Обратная заделка технологических  отверстий и проемов после пропуска коммуникаций.</t>
  </si>
  <si>
    <t xml:space="preserve">Шпилька резьбовая М20 5.8 </t>
  </si>
  <si>
    <t xml:space="preserve">Гайка М20 </t>
  </si>
  <si>
    <t>Пластина Ст3 200х100х10мм</t>
  </si>
  <si>
    <t xml:space="preserve"> Монтаж проводки открыто в трубах Труба гофрированная ПВХ легкая D 20 Л1 черная гибкая с протяжкой, бухта - 50м (D20Л1-50ч)диаметр 20 мм кабелем ВВГ нг LS 3х1.5мм2 </t>
  </si>
  <si>
    <t xml:space="preserve"> Монтаж проводки открыто в трубах Труба гофрированная ПВХ легкая D 20 Л1 серая гибкая с протяжкой, бухта - 50м (D20Л1-50ч)диаметр 20 мм кабелем ВВГ нг LS 3х2.5мм2 </t>
  </si>
  <si>
    <t>Держатель для труб с защелкой IEK, диаметр 20 мм черный</t>
  </si>
  <si>
    <t>Стяжки нейлоновые КСС 3х150 (б) (100шт.) (Fortisflex) (49393)</t>
  </si>
  <si>
    <t>Монтаж распределительных коробок ПВХ 100х100мм черная</t>
  </si>
  <si>
    <t>Установка соединителей  WAGO 222-415</t>
  </si>
  <si>
    <t>Анкер забивной Анкер забивной Tech-KREP 140598 6х23</t>
  </si>
  <si>
    <t>РозеткаViko ОУ сер. блок Р/крышка+Р/крышка
Артикул: 90555588</t>
  </si>
  <si>
    <t xml:space="preserve">Монтаж распределительных коробок ПВХ  100х100мм IEK серая </t>
  </si>
  <si>
    <t>Установка соединителей  WAGO 2273-245</t>
  </si>
  <si>
    <t>Держатель для труб с защелкой IEK, диаметр 20 мм серый</t>
  </si>
  <si>
    <t xml:space="preserve">             Освещение:</t>
  </si>
  <si>
    <t xml:space="preserve">               Розеточная сеть:</t>
  </si>
  <si>
    <t>Установка гильз из газоводопроводной трубы 57х3.5мм L=400мм</t>
  </si>
  <si>
    <t xml:space="preserve">             Демонтажные и подготовительные работы</t>
  </si>
  <si>
    <t>Лента перфорированная волна 0.55х12 мм (рулон 25м) STARFIX (SMP-06866-25)</t>
  </si>
  <si>
    <t xml:space="preserve">              Заземление</t>
  </si>
  <si>
    <t xml:space="preserve">             Прочие работы (Заделка  отверстий, уборка)</t>
  </si>
  <si>
    <t xml:space="preserve"> ЩУР щит силовой  (учетно- распределительный) </t>
  </si>
  <si>
    <t>Дифференциальный автоматический выключатель IEK  (тип АС) 16А-30мА 230В 1P+N – 1шт. ( до учета)</t>
  </si>
  <si>
    <t>Автоматический выключатель IEK ВА-47-29-1Р 16А, 4,5кА – 3 шт. (до учета</t>
  </si>
  <si>
    <t>Автоматический выключатель IEK ВА47-60M 3Р 32А, 6кА</t>
  </si>
  <si>
    <t>Вводной автоматический выключатель ВА88-35 3Р 160А 35кА IEK</t>
  </si>
  <si>
    <t xml:space="preserve">автоматический вык. 3-х пол. IEK 25А,3п 6кА </t>
  </si>
  <si>
    <t xml:space="preserve">автоматический вык. 1-но пол. IEK 16А, 4,5кА </t>
  </si>
  <si>
    <t>автоматический вык. 3-х пол. IEK 16А, 4,5кА</t>
  </si>
  <si>
    <t>Дифф. автомат IEK (тип АС) 16А-30мА 230В 1P+N</t>
  </si>
  <si>
    <t>тн</t>
  </si>
  <si>
    <t>Демонтаж ( резка) старых электрокабелей разной толщины и маркировки</t>
  </si>
  <si>
    <t>Расширение проемов, вырубка новыз в кирпичных и стенах из ж\б сэндвича толщиной 300 мм</t>
  </si>
  <si>
    <t>Вывоз и утилизация строительного мусора</t>
  </si>
  <si>
    <t xml:space="preserve">           Ворота и двери </t>
  </si>
  <si>
    <t>Заполнение обрамления ворот цементно песчаным раствором М300 при толщине 100 мм</t>
  </si>
  <si>
    <t>Шпаклевка выборочная стен финишной шаклевкой Волма</t>
  </si>
  <si>
    <t xml:space="preserve">Ремонт кирпичной кладки, проемов в стенах от вентиляции и иного Кирпич красный, полнотелый. В один ряд. </t>
  </si>
  <si>
    <t>Очистка и покраска закладных, иных металлических конструкций грунтом 3 в 1 Deco Tech за 2 раза рал 7004</t>
  </si>
  <si>
    <t>Монтаж демпферной ленты 8х150 мм по периметру стен и колонн.</t>
  </si>
  <si>
    <t xml:space="preserve">Фиброволокно 60мм (расход 2 кг/м3). MONOPOL FIBER Macro </t>
  </si>
  <si>
    <t xml:space="preserve">Покрытие износостойким составом поверхности свежего бетонного пола (Топпинг для бетонного пола BASF Mastertop 445 / Басф Мастертоп 445 серый корундовый топпинг. </t>
  </si>
  <si>
    <t>Покрытие поверхности пола кьюрингом MasterTop 713</t>
  </si>
  <si>
    <t>Нарезка усадочных швов шириной 10 мм глубиной 30 мм 3х3 м</t>
  </si>
  <si>
    <r>
      <t xml:space="preserve">-Укладка  в шов вспененный полиэтилен Вилатерм жгут  - </t>
    </r>
    <r>
      <rPr>
        <i/>
        <sz val="12"/>
        <rFont val="Times New Roman"/>
        <family val="1"/>
      </rPr>
      <t>Ф</t>
    </r>
    <r>
      <rPr>
        <sz val="12"/>
        <rFont val="Times New Roman"/>
        <family val="1"/>
      </rPr>
      <t>10 мм.</t>
    </r>
  </si>
  <si>
    <t>-Заполнение швов нетвердеющим ПУ герметиком MasterSeal NP474.</t>
  </si>
  <si>
    <t>Испытания на прочность бетона по образцам -кубам  ГОСТ 10180-2012 по одному образцу на партию</t>
  </si>
  <si>
    <t>м.п</t>
  </si>
  <si>
    <r>
      <t>Укладка пленки плотностью ≥200 г/см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в один слой с перекрытием холстов на ширину ≥150мм. ( без учета нахлеста)</t>
    </r>
  </si>
  <si>
    <t>Изготовление и установка металлических элементов из уголка стального 50х50х5 мм – холодный швов – диф. Шов  и в проемах ворот и дверей. – 36 п.м.</t>
  </si>
  <si>
    <t>Армирование дорожной сеткой  150х150х5мм ГОСТ 23279-2012 нахлест 10% с обеспечением нижнего защитного слоя 20 мм ( без учета нахлеста)</t>
  </si>
  <si>
    <t>кг</t>
  </si>
  <si>
    <t>ед</t>
  </si>
  <si>
    <t>350*</t>
  </si>
  <si>
    <t xml:space="preserve">              Отопление  лотов </t>
  </si>
  <si>
    <t xml:space="preserve">Тепловентилятор с комплектом крепежей Volcano VR1 EC </t>
  </si>
  <si>
    <t>Гибкие подводки 3\4 - 1 метр</t>
  </si>
  <si>
    <t xml:space="preserve">шт </t>
  </si>
  <si>
    <t xml:space="preserve">м.п </t>
  </si>
  <si>
    <t xml:space="preserve">Монтаж Энергофлекса на трубы отопления толщиной до 13 мм. </t>
  </si>
  <si>
    <t xml:space="preserve">Врезка в новую систему отопления  </t>
  </si>
  <si>
    <t xml:space="preserve">мест </t>
  </si>
  <si>
    <t>Монтаж шаровых кранов, фланцевых с рукояткой , полнопроходных BVR-F Ду 40 мм</t>
  </si>
  <si>
    <t>Грунтовка трубопроводов Грунтом ГФ21 за 1 раз</t>
  </si>
  <si>
    <t>Подготовка исполнительной документации, актов, лабораторных испытаний, однолинейных схем и прочее</t>
  </si>
  <si>
    <t>комп</t>
  </si>
  <si>
    <t>Монтаж воздухоотводчиков для стояков, тип Firvent без обр клапана, Ду 15 мм</t>
  </si>
  <si>
    <t>Монтаж полнопроходных кранов ADL BV15 Ру 40 мм</t>
  </si>
  <si>
    <t>Монтаж ручных балансировочных клапанов серии Р\Р vir 9505 с вн резьбой, со встроенным шаровым краном, со сливным краном и измерительным нипелем . Присоединение внутреннее резьбовое. 3\4 ADL</t>
  </si>
  <si>
    <t>Монтаж настенных контролеров Volcano-Ec</t>
  </si>
  <si>
    <t>Демонтаж металлических конструкций воздуховодов d100 - 400мм, и иного металла конструкций…</t>
  </si>
  <si>
    <t>Замена оконных конструкций</t>
  </si>
  <si>
    <t xml:space="preserve">Отделочные работы по двум лестницам </t>
  </si>
  <si>
    <t xml:space="preserve">Демонтаж стен из кирпича 300 мм, стен из блоков и иных </t>
  </si>
  <si>
    <t>Демонтаж старых дверей, ворот</t>
  </si>
  <si>
    <t>Демонтаж полов ( 1 эт и 2 эт) условной толщ 100 мм</t>
  </si>
  <si>
    <t>Демонтаж оконных конструкций из металла.</t>
  </si>
  <si>
    <t>Очистка металлическими щетками закладных элементов колонн и металлических ограждений ( в том числе и лестничных маршей), иных закладных и конструктивных элементов</t>
  </si>
  <si>
    <t>Демонтаж  плитки и подстилающих слоев с пола ,включая лестничные площадки,  ( толщина до 50  мм) , линолеума и иного покрытия пола.</t>
  </si>
  <si>
    <t>Обрамление  ТРЕХ проемов ворот 25000Хh2500мм и ДЕВЯТНАДЦАТИ  дверей 100х2100мм сталью угловой 100х100х 60мм.</t>
  </si>
  <si>
    <t>Геодезическая съемка ТРИ раза.</t>
  </si>
  <si>
    <t xml:space="preserve">Штукатурка цементно-песчаным расвором М300 стен , потолков несущих конструкций колонн и ригелей. ( выборочная) </t>
  </si>
  <si>
    <t xml:space="preserve">Полы ( S пол помещений - 1 120 м2 ) </t>
  </si>
  <si>
    <t>м2*</t>
  </si>
  <si>
    <t>Кабель АВВГ 4Х95мс(N)-1  ( подкл антресоль 1 эт)</t>
  </si>
  <si>
    <t>10*</t>
  </si>
  <si>
    <t>120*</t>
  </si>
  <si>
    <t>Монтаж; светодиодных светильниковULT-Q218 36W/DW IP65 WHITE Светильник светодиодный накладной  ТМ Volpe. Дневной свет (6500K).  Степень защиты IP65. Корпус белый, 36Вт, 3200Лм ( вкл лестницу)</t>
  </si>
  <si>
    <t xml:space="preserve">Крепление светильников к потолку при помощи анкерных саморезов (4х40 мм - 240 шт) </t>
  </si>
  <si>
    <t>700*</t>
  </si>
  <si>
    <t>Монтаж выключателей Viko ОУ 2 клавишный 16А 220В( вкл лестницы)</t>
  </si>
  <si>
    <t>400*</t>
  </si>
  <si>
    <t>Демонтаж керамической плитки со стен ( высота 1800 мм) 120 м2</t>
  </si>
  <si>
    <t>Вывоз и утилизация строительного мусора оставшегося в помещениях</t>
  </si>
  <si>
    <t>Установка в перекрытии заглушек воздуховодов из минераловатных сендвич панелей толщиной 100мм диаметр 500мм ( 8 м2)</t>
  </si>
  <si>
    <t>48.5</t>
  </si>
  <si>
    <r>
      <t xml:space="preserve">Устройство бетонных полов   толщиной 100 мм. </t>
    </r>
    <r>
      <rPr>
        <sz val="11"/>
        <rFont val="Calibri"/>
        <family val="2"/>
      </rPr>
      <t xml:space="preserve"> </t>
    </r>
    <r>
      <rPr>
        <sz val="12"/>
        <rFont val="Times New Roman"/>
        <family val="1"/>
      </rPr>
      <t>с обеспечением нижнего защитного слоя толщиной 20мм.бетон В25W6F150 на гравийном щебне 20-40мм подвижность П-4 ( Использовать бетононасос)</t>
    </r>
  </si>
  <si>
    <t>Обработка ( выборочная) стен , полов, лестничных площадок  грунтовкой бетоноконтакт Старатели</t>
  </si>
  <si>
    <t>600*</t>
  </si>
  <si>
    <t>Ремонт межпанельных швов ( выборочный) финишной шпаклевкой Волма, с закрытием сеткой штукатурной толщиной 300 мм ( условно 200 м.п)*</t>
  </si>
  <si>
    <t>Грунтовка  стен , колонн ,ригелей, потолков  грунтовкой универсальной глубогоко проникновения ( лестницы отдельно)</t>
  </si>
  <si>
    <t>Монтаж трубы отопления d-20 мм</t>
  </si>
  <si>
    <t>Монтаж шаровых сливных кранов ADL BV 15 нар.резбы, с патрубком для присоединения шланга, присоединеие резьбовоеДу 20 мм</t>
  </si>
  <si>
    <t xml:space="preserve">Изготовление и монтаж изделий ( окон) из ПВХ , глухих, системы WHS60Эконом , белых, заполнение 24 мм - 4-16-4 </t>
  </si>
  <si>
    <t>Перенос стояка канализации, заглушки перспективных выводов</t>
  </si>
  <si>
    <t xml:space="preserve">Сверление отверстий в плитах перекрытия d- 120 мм, штатной оснасткой </t>
  </si>
  <si>
    <t xml:space="preserve">Монтаж стояка канализационного Ф110 мм Политек 3 метра </t>
  </si>
  <si>
    <t xml:space="preserve">Монтаж тройников канализационных 45 градусов Ostendorf Ф50 </t>
  </si>
  <si>
    <t>Крепление стояка хомутами к стене Хоммет 4 105-115 мм, шпилька М8Х80, дюбель 10х50 RUS004</t>
  </si>
  <si>
    <t>Монтаж стандартных заглушек в перспективные отводы 110 мм.</t>
  </si>
  <si>
    <t xml:space="preserve">Зачеканивание проходки стояка в плитах перекрытия, цементно песчаным раствором за два раза. </t>
  </si>
  <si>
    <t xml:space="preserve">Очистка подступенков лестничных маршей по двум лестницам </t>
  </si>
  <si>
    <t xml:space="preserve">Очистка механическая металлических   ограждений лестничных маршей </t>
  </si>
  <si>
    <t>Грунтовка стен, маршей, потолков , грунтом глубокого проникания Волма</t>
  </si>
  <si>
    <t>Шпаклевка выборочная стен, потолков и маршей, шпаклевкой Волма.</t>
  </si>
  <si>
    <t>300*</t>
  </si>
  <si>
    <t>Выборочная штукатурка цементно песчаным раствором М300 несущих конструкций, иных разрушенных мест.</t>
  </si>
  <si>
    <t>100*</t>
  </si>
  <si>
    <t>Механическая очистка и покраска закладных и иных конструктивных элементов, грунтом 3 в 1 Deko Tech за два раза , рал 7004</t>
  </si>
  <si>
    <t xml:space="preserve">Покраска, подступенков, "полосы 150 мм по краям лестницы , лестничных площадок и ограждений металлических лестниц , грунт эмалью ПромДекор для пола уретановая , глянцевая для внутр и нар работ  ( рал 7040) </t>
  </si>
  <si>
    <t>Наведение порядка и влажная уборка</t>
  </si>
  <si>
    <t xml:space="preserve">Покраска за 2 раза стен, потолков , колон и ригелей, лестничных маршей , фасадной краской акриловой VGT ВД-АК-1180 для наружних и внутр работ, супербелая, влагостойкая , моющаяся. </t>
  </si>
  <si>
    <t xml:space="preserve">Покраска за 2 раза стен, потолков , колон и ригелей,   фасадной краской акриловой VGT ВД-АК-1180 для наружних и внутр работ, супербелая, влагостойкая , моющаяся. </t>
  </si>
  <si>
    <t xml:space="preserve">Частичный деемонтаж керамической плитки на площадках лестничных маршей </t>
  </si>
  <si>
    <t>Покрытие площадок лестничных маршей грунтовкой бетоноконтакт Церезит СТ 19</t>
  </si>
  <si>
    <t>Металлический сантехнический хомут для труб 20 Blue Ocean шуруп и дюбель в компл. PPRF/MSHTS 20</t>
  </si>
  <si>
    <t>Ремонтные работы  в помещении ( стакан  сектора D) строение 2 этажи 1-2  , складского корпуса  Курьяново   по адресу ул. Курьяновская набережная, д. 6.  строение 2.</t>
  </si>
  <si>
    <t xml:space="preserve">           </t>
  </si>
  <si>
    <t xml:space="preserve">  Электромонтажные работы (Силовая электрическая сеть)</t>
  </si>
  <si>
    <t xml:space="preserve">              Стены   и  потолки , ригеля и колонны (S пом - 4 480 м2)</t>
  </si>
  <si>
    <r>
      <t xml:space="preserve">Очистка стен, колонн  и потолков от старого мелового состава, краски и иного ( в том числе лестничных маршей)  с применением </t>
    </r>
    <r>
      <rPr>
        <strike/>
        <sz val="10"/>
        <rFont val="Times New Roman CYR"/>
        <family val="0"/>
      </rPr>
      <t>средств подмащивания.</t>
    </r>
  </si>
  <si>
    <t>Очистка стен, колонн  и потолков от старого мелового состава, краски и иного ( в том числе лестничных маршей)</t>
  </si>
  <si>
    <t>УСТАНОВКА И РАЗБОРКА ИНВЕНТАРНЫХ ЛЕСОВ ВНУТРЕННИХ ТРУБЧАТЫХ ПРИ ВЫСОТЕ ПОМЕЩЕНИЙ ДО 6 М (БЕЗ ЗАТРАТ ПО ЭКСПЛУАТАЦИИ ЛЕСОВ)</t>
  </si>
  <si>
    <t>Демонтаж стен из ГКЛ ( толщиной до 100 мм)  по каркасу с утилизацией:</t>
  </si>
  <si>
    <t>Демонтаж стен из ГКЛ ( толщиной до 100 мм)  по каркасу</t>
  </si>
  <si>
    <t xml:space="preserve">Демонтаж сантехнических оконечных устройств без сохранения (унитазы, раковины и иное) </t>
  </si>
  <si>
    <t xml:space="preserve">Установка ворот подъемно-секционных с заворотом 2500х2500 мм Цвет серый 9002 (Одни ворота с калиткой встроенной) </t>
  </si>
  <si>
    <t>Грунтовка шва грунт MasterSesal 147</t>
  </si>
  <si>
    <t xml:space="preserve"> Крепеж:  Анкер клиновой 10x100 покрытие цинк</t>
  </si>
  <si>
    <t xml:space="preserve"> Крепеж: Болт DIN933 М6х20 шестигранная голова полная резьба оцинкованный + гайка + шайба (8 шт) 112717 Tech-KREP</t>
  </si>
  <si>
    <t>Шпилька заземления приварная М8х40</t>
  </si>
  <si>
    <t>Соединительная гайка с фланцем Tech-Krep DIN6923 оцинкованная М8 35 шт - пакет 141609</t>
  </si>
  <si>
    <t>Покраска полосы заземления грунт эмаль по металлу, быстросохнущая DecoTech 3 в 1, на 2 раза черного цвета.</t>
  </si>
  <si>
    <t xml:space="preserve">оштукатуривание откосов цементно песчаной смесью, толщиной не более 70 мм ( м2-  7  ) </t>
  </si>
  <si>
    <t>итого по смете</t>
  </si>
  <si>
    <t>МТР</t>
  </si>
  <si>
    <t>Работа</t>
  </si>
  <si>
    <t>Итого по разделу</t>
  </si>
  <si>
    <t>НДС</t>
  </si>
  <si>
    <t>итого по смете с НДС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</si>
</sst>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#,##0.0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#,##0.00;[Red]\-\ #,##0.00"/>
    <numFmt numFmtId="190" formatCode="General;\-General;"/>
    <numFmt numFmtId="191" formatCode="#,##0.00####;[Red]\-\ #,##0.00####"/>
    <numFmt numFmtId="192" formatCode="#,##0.00_ ;[Red]\-#,##0.00\ "/>
  </numFmts>
  <fonts count="6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9"/>
      <name val="Times New Roman CYR"/>
      <family val="1"/>
    </font>
    <font>
      <i/>
      <sz val="10"/>
      <name val="Arial Cyr"/>
      <family val="0"/>
    </font>
    <font>
      <vertAlign val="superscript"/>
      <sz val="12"/>
      <name val="Times New Roman"/>
      <family val="1"/>
    </font>
    <font>
      <b/>
      <i/>
      <sz val="10"/>
      <name val="Arial Cyr"/>
      <family val="0"/>
    </font>
    <font>
      <strike/>
      <sz val="10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33" borderId="0" xfId="0" applyFont="1" applyFill="1" applyAlignment="1">
      <alignment horizontal="left" indent="1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indent="1"/>
    </xf>
    <xf numFmtId="0" fontId="0" fillId="33" borderId="0" xfId="0" applyFill="1" applyAlignment="1">
      <alignment/>
    </xf>
    <xf numFmtId="0" fontId="8" fillId="0" borderId="0" xfId="0" applyFont="1" applyAlignment="1">
      <alignment horizontal="left" inden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49" fontId="18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vertical="center" wrapText="1"/>
    </xf>
    <xf numFmtId="0" fontId="67" fillId="0" borderId="10" xfId="0" applyFont="1" applyBorder="1" applyAlignment="1">
      <alignment vertical="center"/>
    </xf>
    <xf numFmtId="0" fontId="66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14" fillId="34" borderId="17" xfId="0" applyFont="1" applyFill="1" applyBorder="1" applyAlignment="1">
      <alignment vertical="center"/>
    </xf>
    <xf numFmtId="0" fontId="14" fillId="34" borderId="18" xfId="0" applyFont="1" applyFill="1" applyBorder="1" applyAlignment="1">
      <alignment vertical="center"/>
    </xf>
    <xf numFmtId="0" fontId="22" fillId="8" borderId="19" xfId="0" applyFont="1" applyFill="1" applyBorder="1" applyAlignment="1">
      <alignment vertical="center" wrapText="1"/>
    </xf>
    <xf numFmtId="0" fontId="22" fillId="8" borderId="20" xfId="0" applyFont="1" applyFill="1" applyBorder="1" applyAlignment="1">
      <alignment vertical="center" wrapText="1"/>
    </xf>
    <xf numFmtId="0" fontId="20" fillId="8" borderId="21" xfId="0" applyFont="1" applyFill="1" applyBorder="1" applyAlignment="1">
      <alignment vertical="center" wrapText="1"/>
    </xf>
    <xf numFmtId="0" fontId="20" fillId="8" borderId="22" xfId="0" applyFont="1" applyFill="1" applyBorder="1" applyAlignment="1">
      <alignment vertical="center" wrapText="1"/>
    </xf>
    <xf numFmtId="0" fontId="20" fillId="34" borderId="21" xfId="0" applyFont="1" applyFill="1" applyBorder="1" applyAlignment="1">
      <alignment/>
    </xf>
    <xf numFmtId="0" fontId="20" fillId="34" borderId="22" xfId="0" applyFont="1" applyFill="1" applyBorder="1" applyAlignment="1">
      <alignment/>
    </xf>
    <xf numFmtId="0" fontId="20" fillId="34" borderId="21" xfId="0" applyFont="1" applyFill="1" applyBorder="1" applyAlignment="1">
      <alignment vertical="center"/>
    </xf>
    <xf numFmtId="0" fontId="20" fillId="34" borderId="22" xfId="0" applyFont="1" applyFill="1" applyBorder="1" applyAlignment="1">
      <alignment vertical="center"/>
    </xf>
    <xf numFmtId="0" fontId="22" fillId="34" borderId="18" xfId="0" applyFont="1" applyFill="1" applyBorder="1" applyAlignment="1">
      <alignment/>
    </xf>
    <xf numFmtId="0" fontId="0" fillId="34" borderId="17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6" fillId="0" borderId="10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/>
    </xf>
    <xf numFmtId="182" fontId="6" fillId="0" borderId="24" xfId="0" applyNumberFormat="1" applyFont="1" applyFill="1" applyBorder="1" applyAlignment="1">
      <alignment horizontal="center" vertical="center" wrapText="1"/>
    </xf>
    <xf numFmtId="182" fontId="6" fillId="0" borderId="25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182" fontId="6" fillId="0" borderId="26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0" fontId="0" fillId="33" borderId="11" xfId="0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0" fillId="36" borderId="10" xfId="0" applyFill="1" applyBorder="1" applyAlignment="1">
      <alignment horizontal="center" vertical="center"/>
    </xf>
    <xf numFmtId="0" fontId="6" fillId="37" borderId="10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49" fontId="8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center" vertical="center" wrapText="1"/>
    </xf>
    <xf numFmtId="4" fontId="6" fillId="36" borderId="25" xfId="0" applyNumberFormat="1" applyFont="1" applyFill="1" applyBorder="1" applyAlignment="1">
      <alignment horizontal="right" vertical="center" wrapText="1"/>
    </xf>
    <xf numFmtId="4" fontId="6" fillId="36" borderId="12" xfId="0" applyNumberFormat="1" applyFont="1" applyFill="1" applyBorder="1" applyAlignment="1">
      <alignment horizontal="right" vertical="center" wrapText="1"/>
    </xf>
    <xf numFmtId="4" fontId="6" fillId="36" borderId="13" xfId="0" applyNumberFormat="1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4" fontId="2" fillId="0" borderId="0" xfId="0" applyNumberFormat="1" applyFont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right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19" fillId="0" borderId="15" xfId="0" applyNumberFormat="1" applyFont="1" applyBorder="1" applyAlignment="1">
      <alignment horizontal="right" vertical="center" wrapText="1"/>
    </xf>
    <xf numFmtId="4" fontId="19" fillId="0" borderId="13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" fontId="6" fillId="0" borderId="27" xfId="0" applyNumberFormat="1" applyFon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4" fontId="26" fillId="0" borderId="15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26" fillId="0" borderId="13" xfId="0" applyNumberFormat="1" applyFont="1" applyBorder="1" applyAlignment="1">
      <alignment horizontal="right" vertical="center" wrapText="1"/>
    </xf>
    <xf numFmtId="0" fontId="66" fillId="0" borderId="10" xfId="0" applyFont="1" applyFill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right" vertical="center" wrapText="1"/>
    </xf>
    <xf numFmtId="49" fontId="8" fillId="0" borderId="16" xfId="0" applyNumberFormat="1" applyFont="1" applyBorder="1" applyAlignment="1">
      <alignment horizontal="right" vertical="center" wrapText="1"/>
    </xf>
    <xf numFmtId="0" fontId="66" fillId="33" borderId="28" xfId="0" applyFont="1" applyFill="1" applyBorder="1" applyAlignment="1">
      <alignment horizontal="right" wrapText="1"/>
    </xf>
    <xf numFmtId="4" fontId="6" fillId="0" borderId="29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66" fillId="33" borderId="28" xfId="0" applyFont="1" applyFill="1" applyBorder="1" applyAlignment="1">
      <alignment horizontal="right" vertical="center" wrapText="1"/>
    </xf>
    <xf numFmtId="0" fontId="66" fillId="0" borderId="10" xfId="0" applyFont="1" applyBorder="1" applyAlignment="1">
      <alignment horizontal="right" wrapText="1"/>
    </xf>
    <xf numFmtId="49" fontId="2" fillId="0" borderId="12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wrapText="1"/>
    </xf>
    <xf numFmtId="4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right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right" vertical="center" wrapText="1"/>
    </xf>
    <xf numFmtId="4" fontId="6" fillId="0" borderId="27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0" fillId="0" borderId="23" xfId="0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6" fillId="0" borderId="33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0" fontId="0" fillId="0" borderId="35" xfId="0" applyFill="1" applyBorder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4" fontId="2" fillId="0" borderId="0" xfId="53" applyNumberFormat="1" applyFont="1" applyFill="1" applyAlignment="1">
      <alignment vertical="center"/>
      <protection/>
    </xf>
    <xf numFmtId="0" fontId="10" fillId="0" borderId="10" xfId="0" applyFont="1" applyFill="1" applyBorder="1" applyAlignment="1">
      <alignment horizontal="left" vertical="center" wrapText="1"/>
    </xf>
    <xf numFmtId="4" fontId="6" fillId="0" borderId="26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4" fontId="6" fillId="0" borderId="31" xfId="0" applyNumberFormat="1" applyFont="1" applyFill="1" applyBorder="1" applyAlignment="1">
      <alignment horizontal="right" vertical="center" wrapText="1"/>
    </xf>
    <xf numFmtId="4" fontId="6" fillId="0" borderId="25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2" fillId="0" borderId="10" xfId="53" applyNumberFormat="1" applyFont="1" applyFill="1" applyBorder="1" applyAlignment="1">
      <alignment horizontal="right" vertical="center"/>
      <protection/>
    </xf>
    <xf numFmtId="0" fontId="8" fillId="0" borderId="16" xfId="0" applyFont="1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8" fillId="0" borderId="23" xfId="0" applyFont="1" applyBorder="1" applyAlignment="1">
      <alignment horizontal="left" vertical="center" wrapText="1"/>
    </xf>
    <xf numFmtId="4" fontId="6" fillId="33" borderId="23" xfId="0" applyNumberFormat="1" applyFont="1" applyFill="1" applyBorder="1" applyAlignment="1">
      <alignment horizontal="right" vertical="center" wrapText="1"/>
    </xf>
    <xf numFmtId="4" fontId="6" fillId="0" borderId="23" xfId="0" applyNumberFormat="1" applyFont="1" applyBorder="1" applyAlignment="1">
      <alignment horizontal="right" vertical="center" wrapText="1"/>
    </xf>
    <xf numFmtId="4" fontId="6" fillId="0" borderId="23" xfId="0" applyNumberFormat="1" applyFont="1" applyFill="1" applyBorder="1" applyAlignment="1">
      <alignment horizontal="right" vertical="center" wrapText="1"/>
    </xf>
    <xf numFmtId="0" fontId="22" fillId="8" borderId="20" xfId="0" applyFont="1" applyFill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left" vertical="center" wrapText="1"/>
    </xf>
    <xf numFmtId="0" fontId="15" fillId="38" borderId="12" xfId="0" applyFont="1" applyFill="1" applyBorder="1" applyAlignment="1">
      <alignment horizontal="left" vertical="center" wrapText="1"/>
    </xf>
    <xf numFmtId="0" fontId="4" fillId="38" borderId="27" xfId="0" applyFont="1" applyFill="1" applyBorder="1" applyAlignment="1">
      <alignment horizontal="left" vertical="center" wrapText="1"/>
    </xf>
    <xf numFmtId="0" fontId="4" fillId="38" borderId="12" xfId="0" applyFont="1" applyFill="1" applyBorder="1" applyAlignment="1">
      <alignment horizontal="left" vertical="center" wrapText="1"/>
    </xf>
    <xf numFmtId="0" fontId="9" fillId="35" borderId="37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horizontal="left" vertical="center" wrapText="1"/>
    </xf>
    <xf numFmtId="0" fontId="8" fillId="35" borderId="38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36" borderId="10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36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188" fontId="6" fillId="0" borderId="27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/>
    </xf>
    <xf numFmtId="0" fontId="0" fillId="34" borderId="18" xfId="0" applyFont="1" applyFill="1" applyBorder="1" applyAlignment="1">
      <alignment vertical="top"/>
    </xf>
    <xf numFmtId="0" fontId="0" fillId="2" borderId="18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/>
    </xf>
    <xf numFmtId="4" fontId="11" fillId="0" borderId="17" xfId="0" applyNumberFormat="1" applyFont="1" applyBorder="1" applyAlignment="1">
      <alignment/>
    </xf>
    <xf numFmtId="0" fontId="11" fillId="0" borderId="41" xfId="0" applyFont="1" applyBorder="1" applyAlignment="1">
      <alignment horizontal="right"/>
    </xf>
    <xf numFmtId="0" fontId="11" fillId="0" borderId="42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43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44" xfId="0" applyFont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view="pageBreakPreview" zoomScaleSheetLayoutView="100" zoomScalePageLayoutView="0" workbookViewId="0" topLeftCell="A1">
      <pane ySplit="5" topLeftCell="A214" activePane="bottomLeft" state="frozen"/>
      <selection pane="topLeft" activeCell="A1" sqref="A1"/>
      <selection pane="bottomLeft" activeCell="D11" sqref="D11"/>
    </sheetView>
  </sheetViews>
  <sheetFormatPr defaultColWidth="9.00390625" defaultRowHeight="12.75" outlineLevelRow="1"/>
  <cols>
    <col min="1" max="1" width="6.625" style="10" customWidth="1"/>
    <col min="2" max="2" width="50.00390625" style="5" customWidth="1"/>
    <col min="3" max="3" width="7.875" style="0" customWidth="1"/>
    <col min="4" max="4" width="8.125" style="7" customWidth="1"/>
    <col min="5" max="5" width="11.50390625" style="0" customWidth="1"/>
    <col min="6" max="6" width="15.125" style="0" customWidth="1"/>
    <col min="7" max="7" width="12.125" style="0" customWidth="1"/>
    <col min="8" max="8" width="16.50390625" style="0" customWidth="1"/>
    <col min="9" max="9" width="15.875" style="1" customWidth="1"/>
  </cols>
  <sheetData>
    <row r="1" spans="1:9" ht="15">
      <c r="A1" s="9"/>
      <c r="B1" s="11"/>
      <c r="C1" s="2"/>
      <c r="D1" s="6"/>
      <c r="E1" s="2"/>
      <c r="F1" s="2"/>
      <c r="G1" s="2"/>
      <c r="H1" s="2"/>
      <c r="I1" s="3"/>
    </row>
    <row r="2" spans="1:9" ht="15.75">
      <c r="A2" s="217" t="s">
        <v>0</v>
      </c>
      <c r="B2" s="217"/>
      <c r="C2" s="217"/>
      <c r="D2" s="217"/>
      <c r="E2" s="217"/>
      <c r="F2" s="217"/>
      <c r="G2" s="217"/>
      <c r="H2" s="217"/>
      <c r="I2" s="217"/>
    </row>
    <row r="3" spans="1:9" ht="12.75">
      <c r="A3" s="241" t="s">
        <v>194</v>
      </c>
      <c r="B3" s="242"/>
      <c r="C3" s="242"/>
      <c r="D3" s="242"/>
      <c r="E3" s="242"/>
      <c r="F3" s="242"/>
      <c r="G3" s="242"/>
      <c r="H3" s="242"/>
      <c r="I3" s="242"/>
    </row>
    <row r="4" spans="1:9" ht="12.75">
      <c r="A4" s="218" t="s">
        <v>1</v>
      </c>
      <c r="B4" s="219" t="s">
        <v>2</v>
      </c>
      <c r="C4" s="220" t="s">
        <v>3</v>
      </c>
      <c r="D4" s="218" t="s">
        <v>4</v>
      </c>
      <c r="E4" s="220" t="s">
        <v>5</v>
      </c>
      <c r="F4" s="220"/>
      <c r="G4" s="221" t="s">
        <v>6</v>
      </c>
      <c r="H4" s="221"/>
      <c r="I4" s="222" t="s">
        <v>7</v>
      </c>
    </row>
    <row r="5" spans="1:9" ht="25.5">
      <c r="A5" s="218"/>
      <c r="B5" s="219"/>
      <c r="C5" s="220"/>
      <c r="D5" s="218"/>
      <c r="E5" s="139" t="s">
        <v>8</v>
      </c>
      <c r="F5" s="139" t="s">
        <v>9</v>
      </c>
      <c r="G5" s="139" t="s">
        <v>8</v>
      </c>
      <c r="H5" s="140" t="s">
        <v>9</v>
      </c>
      <c r="I5" s="223"/>
    </row>
    <row r="6" spans="1:9" ht="15.75">
      <c r="A6" s="210" t="s">
        <v>19</v>
      </c>
      <c r="B6" s="211"/>
      <c r="C6" s="210"/>
      <c r="D6" s="210"/>
      <c r="E6" s="211"/>
      <c r="F6" s="211"/>
      <c r="G6" s="211"/>
      <c r="H6" s="211"/>
      <c r="I6" s="211"/>
    </row>
    <row r="7" spans="1:9" ht="12.75">
      <c r="A7" s="212" t="s">
        <v>85</v>
      </c>
      <c r="B7" s="213"/>
      <c r="C7" s="212"/>
      <c r="D7" s="212"/>
      <c r="E7" s="213"/>
      <c r="F7" s="213"/>
      <c r="G7" s="213"/>
      <c r="H7" s="213"/>
      <c r="I7" s="213"/>
    </row>
    <row r="8" spans="1:9" s="71" customFormat="1" ht="38.25">
      <c r="A8" s="141">
        <v>1</v>
      </c>
      <c r="B8" s="142" t="s">
        <v>198</v>
      </c>
      <c r="C8" s="143" t="s">
        <v>14</v>
      </c>
      <c r="D8" s="224">
        <v>5326</v>
      </c>
      <c r="E8" s="144">
        <v>100</v>
      </c>
      <c r="F8" s="145">
        <f>D8*E8</f>
        <v>532600</v>
      </c>
      <c r="G8" s="145">
        <f>(H9+H10)/F8</f>
        <v>0</v>
      </c>
      <c r="H8" s="146">
        <f>D8*G8</f>
        <v>0</v>
      </c>
      <c r="I8" s="146">
        <f>F8+H8</f>
        <v>532600</v>
      </c>
    </row>
    <row r="9" spans="1:9" ht="38.25" outlineLevel="1">
      <c r="A9" s="90"/>
      <c r="B9" s="91" t="s">
        <v>199</v>
      </c>
      <c r="C9" s="92" t="str">
        <f>C8</f>
        <v>м²</v>
      </c>
      <c r="D9" s="225">
        <f>D8</f>
        <v>5326</v>
      </c>
      <c r="E9" s="93">
        <v>100</v>
      </c>
      <c r="F9" s="93">
        <f>D9*E9</f>
        <v>532600</v>
      </c>
      <c r="G9" s="93">
        <v>0</v>
      </c>
      <c r="H9" s="93">
        <f>D9*G9</f>
        <v>0</v>
      </c>
      <c r="I9" s="93">
        <f>F9+H9</f>
        <v>532600</v>
      </c>
    </row>
    <row r="10" spans="1:9" ht="38.25" outlineLevel="1">
      <c r="A10" s="90"/>
      <c r="B10" s="91" t="s">
        <v>200</v>
      </c>
      <c r="C10" s="92" t="str">
        <f>C8</f>
        <v>м²</v>
      </c>
      <c r="D10" s="225">
        <v>0</v>
      </c>
      <c r="E10" s="93">
        <v>542.6853022906496</v>
      </c>
      <c r="F10" s="93">
        <f>D10*E10</f>
        <v>0</v>
      </c>
      <c r="G10" s="93">
        <v>0.614457378895982</v>
      </c>
      <c r="H10" s="93">
        <f>D10*G10</f>
        <v>0</v>
      </c>
      <c r="I10" s="93">
        <f>F10+H10</f>
        <v>0</v>
      </c>
    </row>
    <row r="11" spans="1:9" s="71" customFormat="1" ht="60">
      <c r="A11" s="69">
        <v>2</v>
      </c>
      <c r="B11" s="74" t="s">
        <v>145</v>
      </c>
      <c r="C11" s="70" t="s">
        <v>10</v>
      </c>
      <c r="D11" s="94">
        <v>35</v>
      </c>
      <c r="E11" s="147">
        <v>200</v>
      </c>
      <c r="F11" s="147">
        <f aca="true" t="shared" si="0" ref="F11:F26">D11*E11</f>
        <v>7000</v>
      </c>
      <c r="G11" s="147">
        <v>0</v>
      </c>
      <c r="H11" s="147">
        <f aca="true" t="shared" si="1" ref="H11:H25">D11*G11</f>
        <v>0</v>
      </c>
      <c r="I11" s="147">
        <f aca="true" t="shared" si="2" ref="I11:I25">F11+H11</f>
        <v>7000</v>
      </c>
    </row>
    <row r="12" spans="1:9" s="71" customFormat="1" ht="45">
      <c r="A12" s="148">
        <v>3</v>
      </c>
      <c r="B12" s="149" t="s">
        <v>138</v>
      </c>
      <c r="C12" s="150" t="s">
        <v>98</v>
      </c>
      <c r="D12" s="226">
        <v>1.5</v>
      </c>
      <c r="E12" s="151">
        <v>10000</v>
      </c>
      <c r="F12" s="152">
        <f t="shared" si="0"/>
        <v>15000</v>
      </c>
      <c r="G12" s="152">
        <v>5096.7</v>
      </c>
      <c r="H12" s="153">
        <f t="shared" si="1"/>
        <v>7645.049999999999</v>
      </c>
      <c r="I12" s="153">
        <f t="shared" si="2"/>
        <v>22645.05</v>
      </c>
    </row>
    <row r="13" spans="1:9" s="71" customFormat="1" ht="30">
      <c r="A13" s="69">
        <v>4</v>
      </c>
      <c r="B13" s="74" t="s">
        <v>141</v>
      </c>
      <c r="C13" s="70" t="s">
        <v>13</v>
      </c>
      <c r="D13" s="94">
        <v>118</v>
      </c>
      <c r="E13" s="154">
        <v>1000</v>
      </c>
      <c r="F13" s="155">
        <f t="shared" si="0"/>
        <v>118000</v>
      </c>
      <c r="G13" s="155">
        <v>0</v>
      </c>
      <c r="H13" s="156">
        <f t="shared" si="1"/>
        <v>0</v>
      </c>
      <c r="I13" s="156">
        <f t="shared" si="2"/>
        <v>118000</v>
      </c>
    </row>
    <row r="14" spans="1:9" s="71" customFormat="1" ht="45">
      <c r="A14" s="69">
        <v>5</v>
      </c>
      <c r="B14" s="74" t="s">
        <v>146</v>
      </c>
      <c r="C14" s="70" t="s">
        <v>13</v>
      </c>
      <c r="D14" s="94">
        <v>30</v>
      </c>
      <c r="E14" s="154">
        <f>E19</f>
        <v>10000.000000000002</v>
      </c>
      <c r="F14" s="155">
        <f t="shared" si="0"/>
        <v>300000.00000000006</v>
      </c>
      <c r="G14" s="155">
        <v>0</v>
      </c>
      <c r="H14" s="156">
        <f t="shared" si="1"/>
        <v>0</v>
      </c>
      <c r="I14" s="156">
        <f t="shared" si="2"/>
        <v>300000.00000000006</v>
      </c>
    </row>
    <row r="15" spans="1:9" s="71" customFormat="1" ht="15">
      <c r="A15" s="69">
        <v>6</v>
      </c>
      <c r="B15" s="74" t="s">
        <v>142</v>
      </c>
      <c r="C15" s="70" t="s">
        <v>11</v>
      </c>
      <c r="D15" s="94">
        <v>21</v>
      </c>
      <c r="E15" s="154">
        <v>1649.7514285714285</v>
      </c>
      <c r="F15" s="155">
        <f t="shared" si="0"/>
        <v>34644.78</v>
      </c>
      <c r="G15" s="155">
        <v>0</v>
      </c>
      <c r="H15" s="156">
        <f t="shared" si="1"/>
        <v>0</v>
      </c>
      <c r="I15" s="156">
        <f t="shared" si="2"/>
        <v>34644.78</v>
      </c>
    </row>
    <row r="16" spans="1:9" s="71" customFormat="1" ht="30">
      <c r="A16" s="69">
        <v>7</v>
      </c>
      <c r="B16" s="74" t="s">
        <v>99</v>
      </c>
      <c r="C16" s="70" t="s">
        <v>119</v>
      </c>
      <c r="D16" s="94" t="s">
        <v>159</v>
      </c>
      <c r="E16" s="154">
        <f>50000/1000</f>
        <v>50</v>
      </c>
      <c r="F16" s="155">
        <f>E16*400</f>
        <v>20000</v>
      </c>
      <c r="G16" s="155">
        <v>0</v>
      </c>
      <c r="H16" s="156">
        <f>400*G16</f>
        <v>0</v>
      </c>
      <c r="I16" s="156">
        <f t="shared" si="2"/>
        <v>20000</v>
      </c>
    </row>
    <row r="17" spans="1:9" s="71" customFormat="1" ht="27">
      <c r="A17" s="69">
        <v>8</v>
      </c>
      <c r="B17" s="74" t="s">
        <v>100</v>
      </c>
      <c r="C17" s="70" t="s">
        <v>10</v>
      </c>
      <c r="D17" s="94">
        <v>6.25</v>
      </c>
      <c r="E17" s="154">
        <v>4366.5632</v>
      </c>
      <c r="F17" s="155">
        <f t="shared" si="0"/>
        <v>27291.019999999997</v>
      </c>
      <c r="G17" s="155">
        <v>0</v>
      </c>
      <c r="H17" s="156">
        <f t="shared" si="1"/>
        <v>0</v>
      </c>
      <c r="I17" s="156">
        <f t="shared" si="2"/>
        <v>27291.019999999997</v>
      </c>
    </row>
    <row r="18" spans="1:9" s="163" customFormat="1" ht="14.25" thickBot="1">
      <c r="A18" s="157">
        <v>9</v>
      </c>
      <c r="B18" s="158" t="s">
        <v>101</v>
      </c>
      <c r="C18" s="159" t="s">
        <v>13</v>
      </c>
      <c r="D18" s="227">
        <v>432</v>
      </c>
      <c r="E18" s="160">
        <v>1300</v>
      </c>
      <c r="F18" s="161">
        <f t="shared" si="0"/>
        <v>561600</v>
      </c>
      <c r="G18" s="161">
        <v>0</v>
      </c>
      <c r="H18" s="162">
        <f t="shared" si="1"/>
        <v>0</v>
      </c>
      <c r="I18" s="162">
        <f t="shared" si="2"/>
        <v>561600</v>
      </c>
    </row>
    <row r="19" spans="1:9" s="71" customFormat="1" ht="27">
      <c r="A19" s="148">
        <v>10</v>
      </c>
      <c r="B19" s="149" t="s">
        <v>160</v>
      </c>
      <c r="C19" s="150" t="s">
        <v>13</v>
      </c>
      <c r="D19" s="226">
        <f>2.4</f>
        <v>2.4</v>
      </c>
      <c r="E19" s="151">
        <v>10000.000000000002</v>
      </c>
      <c r="F19" s="152">
        <f>D19*E19</f>
        <v>24000.000000000004</v>
      </c>
      <c r="G19" s="152">
        <v>0</v>
      </c>
      <c r="H19" s="153">
        <f>D19*G19</f>
        <v>0</v>
      </c>
      <c r="I19" s="153">
        <f t="shared" si="2"/>
        <v>24000.000000000004</v>
      </c>
    </row>
    <row r="20" spans="1:9" s="71" customFormat="1" ht="27">
      <c r="A20" s="69">
        <v>11</v>
      </c>
      <c r="B20" s="74" t="s">
        <v>201</v>
      </c>
      <c r="C20" s="70" t="s">
        <v>13</v>
      </c>
      <c r="D20" s="94">
        <v>225</v>
      </c>
      <c r="E20" s="154">
        <f>(F21+F22)/D20</f>
        <v>3248.9050666666667</v>
      </c>
      <c r="F20" s="155">
        <f t="shared" si="0"/>
        <v>731003.64</v>
      </c>
      <c r="G20" s="155">
        <v>0</v>
      </c>
      <c r="H20" s="156">
        <f t="shared" si="1"/>
        <v>0</v>
      </c>
      <c r="I20" s="156">
        <f t="shared" si="2"/>
        <v>731003.64</v>
      </c>
    </row>
    <row r="21" spans="1:9" s="101" customFormat="1" ht="27" outlineLevel="1">
      <c r="A21" s="90"/>
      <c r="B21" s="96" t="s">
        <v>202</v>
      </c>
      <c r="C21" s="97" t="str">
        <f>C20</f>
        <v>м3</v>
      </c>
      <c r="D21" s="228">
        <f>D20</f>
        <v>225</v>
      </c>
      <c r="E21" s="98">
        <v>2500</v>
      </c>
      <c r="F21" s="99">
        <f>D21*E21</f>
        <v>562500</v>
      </c>
      <c r="G21" s="99">
        <v>0</v>
      </c>
      <c r="H21" s="100">
        <f>D21*G21</f>
        <v>0</v>
      </c>
      <c r="I21" s="100">
        <f>F21+H21</f>
        <v>562500</v>
      </c>
    </row>
    <row r="22" spans="1:9" s="101" customFormat="1" ht="13.5" outlineLevel="1">
      <c r="A22" s="90"/>
      <c r="B22" s="96" t="s">
        <v>101</v>
      </c>
      <c r="C22" s="97" t="str">
        <f>C20</f>
        <v>м3</v>
      </c>
      <c r="D22" s="228">
        <f>D20</f>
        <v>225</v>
      </c>
      <c r="E22" s="98">
        <v>748.9050666666667</v>
      </c>
      <c r="F22" s="99">
        <f>D22*E22</f>
        <v>168503.64</v>
      </c>
      <c r="G22" s="99">
        <v>0</v>
      </c>
      <c r="H22" s="100">
        <f>D22*G22</f>
        <v>0</v>
      </c>
      <c r="I22" s="100">
        <f>F22+H22</f>
        <v>168503.64</v>
      </c>
    </row>
    <row r="23" spans="1:9" ht="13.5">
      <c r="A23" s="15">
        <v>12</v>
      </c>
      <c r="B23" s="18" t="s">
        <v>143</v>
      </c>
      <c r="C23" s="4" t="s">
        <v>13</v>
      </c>
      <c r="D23" s="94">
        <v>54</v>
      </c>
      <c r="E23" s="83">
        <v>5767.628148148149</v>
      </c>
      <c r="F23" s="84">
        <f t="shared" si="0"/>
        <v>311451.92000000004</v>
      </c>
      <c r="G23" s="84">
        <v>0</v>
      </c>
      <c r="H23" s="85">
        <f t="shared" si="1"/>
        <v>0</v>
      </c>
      <c r="I23" s="85">
        <f t="shared" si="2"/>
        <v>311451.92000000004</v>
      </c>
    </row>
    <row r="24" spans="1:9" s="71" customFormat="1" ht="27">
      <c r="A24" s="69">
        <v>13</v>
      </c>
      <c r="B24" s="74" t="s">
        <v>203</v>
      </c>
      <c r="C24" s="70" t="s">
        <v>11</v>
      </c>
      <c r="D24" s="94">
        <v>16</v>
      </c>
      <c r="E24" s="144">
        <v>465</v>
      </c>
      <c r="F24" s="155">
        <f t="shared" si="0"/>
        <v>7440</v>
      </c>
      <c r="G24" s="155">
        <v>0</v>
      </c>
      <c r="H24" s="156">
        <f t="shared" si="1"/>
        <v>0</v>
      </c>
      <c r="I24" s="156">
        <f t="shared" si="2"/>
        <v>7440</v>
      </c>
    </row>
    <row r="25" spans="1:9" s="71" customFormat="1" ht="27">
      <c r="A25" s="69">
        <v>14</v>
      </c>
      <c r="B25" s="74" t="s">
        <v>161</v>
      </c>
      <c r="C25" s="70" t="s">
        <v>13</v>
      </c>
      <c r="D25" s="94">
        <v>50</v>
      </c>
      <c r="E25" s="147">
        <v>650</v>
      </c>
      <c r="F25" s="154">
        <f t="shared" si="0"/>
        <v>32500</v>
      </c>
      <c r="G25" s="155">
        <v>0</v>
      </c>
      <c r="H25" s="156">
        <f t="shared" si="1"/>
        <v>0</v>
      </c>
      <c r="I25" s="156">
        <f t="shared" si="2"/>
        <v>32500</v>
      </c>
    </row>
    <row r="26" spans="1:9" ht="13.5">
      <c r="A26" s="86">
        <v>15</v>
      </c>
      <c r="B26" s="36" t="s">
        <v>144</v>
      </c>
      <c r="C26" s="35" t="s">
        <v>10</v>
      </c>
      <c r="D26" s="229">
        <v>19</v>
      </c>
      <c r="E26" s="102">
        <v>533.9315789473684</v>
      </c>
      <c r="F26" s="87">
        <f t="shared" si="0"/>
        <v>10144.699999999999</v>
      </c>
      <c r="G26" s="87">
        <v>178.64315789473685</v>
      </c>
      <c r="H26" s="88">
        <f>D26*G26</f>
        <v>3394.2200000000003</v>
      </c>
      <c r="I26" s="88">
        <f>F26+H26</f>
        <v>13538.919999999998</v>
      </c>
    </row>
    <row r="27" spans="1:9" ht="13.5">
      <c r="A27" s="15"/>
      <c r="B27" s="18"/>
      <c r="C27" s="4"/>
      <c r="D27" s="94"/>
      <c r="E27" s="106"/>
      <c r="F27" s="89"/>
      <c r="G27" s="89"/>
      <c r="H27" s="89" t="s">
        <v>213</v>
      </c>
      <c r="I27" s="89">
        <f>H8+H11+H12+H13+H14+H15+H16+H17+H18+H19+H20+H23+H24+H25+H26</f>
        <v>11039.27</v>
      </c>
    </row>
    <row r="28" spans="1:9" ht="13.5">
      <c r="A28" s="15"/>
      <c r="B28" s="18"/>
      <c r="C28" s="4"/>
      <c r="D28" s="94"/>
      <c r="E28" s="106"/>
      <c r="F28" s="89"/>
      <c r="G28" s="89"/>
      <c r="H28" s="89" t="s">
        <v>214</v>
      </c>
      <c r="I28" s="89">
        <f>SUM(F8+F11+F12+F13+F14+F15+F16+F17+F18+F19+F20+F23+F24+F25+F26)</f>
        <v>2732676.06</v>
      </c>
    </row>
    <row r="29" spans="1:9" ht="13.5">
      <c r="A29" s="15"/>
      <c r="B29" s="13"/>
      <c r="C29" s="4"/>
      <c r="D29" s="94"/>
      <c r="E29" s="164"/>
      <c r="F29" s="89"/>
      <c r="G29" s="89"/>
      <c r="H29" s="89" t="s">
        <v>215</v>
      </c>
      <c r="I29" s="147">
        <f>I26+I25+I24+I23+I20+I19+I18+I17+I16+I15+I14+I13+I12+I11+I8</f>
        <v>2743715.33</v>
      </c>
    </row>
    <row r="30" spans="1:9" ht="15.75">
      <c r="A30" s="48" t="s">
        <v>20</v>
      </c>
      <c r="B30" s="49"/>
      <c r="C30" s="49"/>
      <c r="D30" s="230"/>
      <c r="E30" s="49"/>
      <c r="F30" s="49"/>
      <c r="G30" s="49"/>
      <c r="H30" s="49"/>
      <c r="I30" s="49"/>
    </row>
    <row r="31" spans="1:9" ht="15.75">
      <c r="A31" s="48" t="s">
        <v>102</v>
      </c>
      <c r="B31" s="49"/>
      <c r="C31" s="49"/>
      <c r="D31" s="230"/>
      <c r="E31" s="49"/>
      <c r="F31" s="49"/>
      <c r="G31" s="49"/>
      <c r="H31" s="49"/>
      <c r="I31" s="49"/>
    </row>
    <row r="32" spans="1:9" s="71" customFormat="1" ht="41.25">
      <c r="A32" s="165">
        <v>1</v>
      </c>
      <c r="B32" s="166" t="s">
        <v>147</v>
      </c>
      <c r="C32" s="167" t="s">
        <v>12</v>
      </c>
      <c r="D32" s="231">
        <v>0.704</v>
      </c>
      <c r="E32" s="168">
        <v>34078.93465909091</v>
      </c>
      <c r="F32" s="169">
        <f>D32*E32</f>
        <v>23991.57</v>
      </c>
      <c r="G32" s="169">
        <v>54090.98011363637</v>
      </c>
      <c r="H32" s="169">
        <f>D32*G32</f>
        <v>38080.05</v>
      </c>
      <c r="I32" s="130">
        <f>F32+H32</f>
        <v>62071.62</v>
      </c>
    </row>
    <row r="33" spans="1:9" s="71" customFormat="1" ht="13.5">
      <c r="A33" s="165">
        <v>2</v>
      </c>
      <c r="B33" s="170" t="s">
        <v>68</v>
      </c>
      <c r="C33" s="167" t="s">
        <v>15</v>
      </c>
      <c r="D33" s="231">
        <v>20.4</v>
      </c>
      <c r="E33" s="168">
        <v>0</v>
      </c>
      <c r="F33" s="169">
        <f aca="true" t="shared" si="3" ref="F33:F42">D33*E33</f>
        <v>0</v>
      </c>
      <c r="G33" s="169">
        <v>257.7950980392157</v>
      </c>
      <c r="H33" s="169">
        <f aca="true" t="shared" si="4" ref="H33:H42">D33*G33</f>
        <v>5259.0199999999995</v>
      </c>
      <c r="I33" s="130">
        <f aca="true" t="shared" si="5" ref="I33:I42">F33+H33</f>
        <v>5259.0199999999995</v>
      </c>
    </row>
    <row r="34" spans="1:9" s="71" customFormat="1" ht="13.5">
      <c r="A34" s="171">
        <v>3</v>
      </c>
      <c r="B34" s="170" t="s">
        <v>69</v>
      </c>
      <c r="C34" s="167" t="s">
        <v>11</v>
      </c>
      <c r="D34" s="231">
        <v>108</v>
      </c>
      <c r="E34" s="168">
        <v>0</v>
      </c>
      <c r="F34" s="169">
        <f t="shared" si="3"/>
        <v>0</v>
      </c>
      <c r="G34" s="169">
        <v>30.63</v>
      </c>
      <c r="H34" s="169">
        <f t="shared" si="4"/>
        <v>3308.04</v>
      </c>
      <c r="I34" s="130">
        <f t="shared" si="5"/>
        <v>3308.04</v>
      </c>
    </row>
    <row r="35" spans="1:9" s="71" customFormat="1" ht="13.5">
      <c r="A35" s="172">
        <v>4</v>
      </c>
      <c r="B35" s="170" t="s">
        <v>70</v>
      </c>
      <c r="C35" s="167" t="s">
        <v>11</v>
      </c>
      <c r="D35" s="231">
        <v>64</v>
      </c>
      <c r="E35" s="168">
        <v>0</v>
      </c>
      <c r="F35" s="169">
        <f t="shared" si="3"/>
        <v>0</v>
      </c>
      <c r="G35" s="169">
        <v>192.5</v>
      </c>
      <c r="H35" s="169">
        <f t="shared" si="4"/>
        <v>12320</v>
      </c>
      <c r="I35" s="130">
        <f t="shared" si="5"/>
        <v>12320</v>
      </c>
    </row>
    <row r="36" spans="1:9" s="71" customFormat="1" ht="41.25">
      <c r="A36" s="70">
        <v>5</v>
      </c>
      <c r="B36" s="166" t="s">
        <v>162</v>
      </c>
      <c r="C36" s="167" t="s">
        <v>11</v>
      </c>
      <c r="D36" s="231">
        <v>8</v>
      </c>
      <c r="E36" s="168">
        <v>503.8475000000001</v>
      </c>
      <c r="F36" s="169">
        <f t="shared" si="3"/>
        <v>4030.7800000000007</v>
      </c>
      <c r="G36" s="169">
        <f>242.9925+52.28125</f>
        <v>295.27375</v>
      </c>
      <c r="H36" s="169">
        <f t="shared" si="4"/>
        <v>2362.19</v>
      </c>
      <c r="I36" s="130">
        <f t="shared" si="5"/>
        <v>6392.970000000001</v>
      </c>
    </row>
    <row r="37" spans="1:9" s="71" customFormat="1" ht="15">
      <c r="A37" s="165">
        <v>6</v>
      </c>
      <c r="B37" s="173" t="s">
        <v>18</v>
      </c>
      <c r="C37" s="69" t="s">
        <v>11</v>
      </c>
      <c r="D37" s="82">
        <v>48</v>
      </c>
      <c r="E37" s="174">
        <v>0</v>
      </c>
      <c r="F37" s="174">
        <f t="shared" si="3"/>
        <v>0</v>
      </c>
      <c r="G37" s="174">
        <v>32.589999999999996</v>
      </c>
      <c r="H37" s="174">
        <f t="shared" si="4"/>
        <v>1564.3199999999997</v>
      </c>
      <c r="I37" s="175">
        <f t="shared" si="5"/>
        <v>1564.3199999999997</v>
      </c>
    </row>
    <row r="38" spans="1:9" s="71" customFormat="1" ht="46.5">
      <c r="A38" s="176">
        <v>7</v>
      </c>
      <c r="B38" s="177" t="s">
        <v>21</v>
      </c>
      <c r="C38" s="69" t="s">
        <v>10</v>
      </c>
      <c r="D38" s="82">
        <v>21</v>
      </c>
      <c r="E38" s="174">
        <v>40.59238095238096</v>
      </c>
      <c r="F38" s="174">
        <f t="shared" si="3"/>
        <v>852.44</v>
      </c>
      <c r="G38" s="174">
        <v>132.34142857142857</v>
      </c>
      <c r="H38" s="174">
        <f t="shared" si="4"/>
        <v>2779.17</v>
      </c>
      <c r="I38" s="175">
        <f t="shared" si="5"/>
        <v>3631.61</v>
      </c>
    </row>
    <row r="39" spans="1:9" s="71" customFormat="1" ht="54.75">
      <c r="A39" s="171">
        <v>8</v>
      </c>
      <c r="B39" s="178" t="s">
        <v>23</v>
      </c>
      <c r="C39" s="179" t="s">
        <v>15</v>
      </c>
      <c r="D39" s="232" t="s">
        <v>163</v>
      </c>
      <c r="E39" s="168">
        <v>50</v>
      </c>
      <c r="F39" s="169">
        <f>E39*48.5</f>
        <v>2425</v>
      </c>
      <c r="G39" s="180">
        <v>153.35505154639176</v>
      </c>
      <c r="H39" s="169">
        <f>48.5*G39</f>
        <v>7437.72</v>
      </c>
      <c r="I39" s="130">
        <f t="shared" si="5"/>
        <v>9862.720000000001</v>
      </c>
    </row>
    <row r="40" spans="1:9" s="71" customFormat="1" ht="30.75">
      <c r="A40" s="70">
        <v>9</v>
      </c>
      <c r="B40" s="181" t="s">
        <v>22</v>
      </c>
      <c r="C40" s="179" t="s">
        <v>11</v>
      </c>
      <c r="D40" s="232">
        <v>19</v>
      </c>
      <c r="E40" s="182">
        <v>8000</v>
      </c>
      <c r="F40" s="169">
        <f t="shared" si="3"/>
        <v>152000</v>
      </c>
      <c r="G40" s="169">
        <f>17200.9863157895*1.2</f>
        <v>20641.183578947403</v>
      </c>
      <c r="H40" s="169">
        <f t="shared" si="4"/>
        <v>392182.48800000065</v>
      </c>
      <c r="I40" s="130">
        <f t="shared" si="5"/>
        <v>544182.4880000006</v>
      </c>
    </row>
    <row r="41" spans="1:9" s="71" customFormat="1" ht="46.5">
      <c r="A41" s="165">
        <v>10</v>
      </c>
      <c r="B41" s="183" t="s">
        <v>204</v>
      </c>
      <c r="C41" s="70" t="s">
        <v>11</v>
      </c>
      <c r="D41" s="233">
        <v>3</v>
      </c>
      <c r="E41" s="184">
        <v>20000</v>
      </c>
      <c r="F41" s="185">
        <f t="shared" si="3"/>
        <v>60000</v>
      </c>
      <c r="G41" s="169">
        <v>128280.87666666666</v>
      </c>
      <c r="H41" s="169">
        <f t="shared" si="4"/>
        <v>384842.63</v>
      </c>
      <c r="I41" s="130">
        <f t="shared" si="5"/>
        <v>444842.63</v>
      </c>
    </row>
    <row r="42" spans="1:9" s="71" customFormat="1" ht="27">
      <c r="A42" s="165">
        <v>11</v>
      </c>
      <c r="B42" s="186" t="s">
        <v>103</v>
      </c>
      <c r="C42" s="70" t="s">
        <v>10</v>
      </c>
      <c r="D42" s="233">
        <v>48.5</v>
      </c>
      <c r="E42" s="184">
        <v>1000</v>
      </c>
      <c r="F42" s="185">
        <f t="shared" si="3"/>
        <v>48500</v>
      </c>
      <c r="G42" s="169">
        <v>300</v>
      </c>
      <c r="H42" s="169">
        <f t="shared" si="4"/>
        <v>14550</v>
      </c>
      <c r="I42" s="130">
        <f t="shared" si="5"/>
        <v>63050</v>
      </c>
    </row>
    <row r="43" spans="1:9" ht="13.5">
      <c r="A43" s="15"/>
      <c r="B43" s="18"/>
      <c r="C43" s="4"/>
      <c r="D43" s="94"/>
      <c r="E43" s="106"/>
      <c r="F43" s="89"/>
      <c r="G43" s="89"/>
      <c r="H43" s="89" t="s">
        <v>213</v>
      </c>
      <c r="I43" s="89">
        <f>H32+H33+H34+H35+H36+H37+H38+H39+H40+H41+H42</f>
        <v>864685.6280000007</v>
      </c>
    </row>
    <row r="44" spans="1:9" ht="13.5">
      <c r="A44" s="15"/>
      <c r="B44" s="18"/>
      <c r="C44" s="4"/>
      <c r="D44" s="94"/>
      <c r="E44" s="106"/>
      <c r="F44" s="89"/>
      <c r="G44" s="89"/>
      <c r="H44" s="89" t="s">
        <v>214</v>
      </c>
      <c r="I44" s="89">
        <f>F32+F33+F34+F35+F36+F37+F38+F39+F40+F41+F42</f>
        <v>291799.79000000004</v>
      </c>
    </row>
    <row r="45" spans="1:9" ht="13.5">
      <c r="A45" s="15"/>
      <c r="B45" s="13"/>
      <c r="C45" s="4"/>
      <c r="D45" s="94"/>
      <c r="E45" s="164"/>
      <c r="F45" s="89"/>
      <c r="G45" s="89"/>
      <c r="H45" s="89" t="s">
        <v>215</v>
      </c>
      <c r="I45" s="147">
        <f>I42+I41+I40+I39+I38+I37+I36+I35+I34+I33+I32</f>
        <v>1156485.418000001</v>
      </c>
    </row>
    <row r="46" spans="1:9" ht="13.5">
      <c r="A46" s="33"/>
      <c r="B46" s="214" t="s">
        <v>150</v>
      </c>
      <c r="C46" s="215"/>
      <c r="D46" s="215"/>
      <c r="E46" s="215"/>
      <c r="F46" s="215"/>
      <c r="G46" s="215"/>
      <c r="H46" s="216"/>
      <c r="I46" s="66"/>
    </row>
    <row r="47" spans="1:9" ht="30.75">
      <c r="A47" s="42">
        <v>1</v>
      </c>
      <c r="B47" s="43" t="s">
        <v>107</v>
      </c>
      <c r="C47" s="44" t="s">
        <v>115</v>
      </c>
      <c r="D47" s="233">
        <v>340</v>
      </c>
      <c r="E47" s="187">
        <v>11.882210144927537</v>
      </c>
      <c r="F47" s="188">
        <f>D47*E47</f>
        <v>4039.951449275363</v>
      </c>
      <c r="G47" s="189">
        <v>10.300181159420292</v>
      </c>
      <c r="H47" s="189">
        <f>D47*G47</f>
        <v>3502.0615942028994</v>
      </c>
      <c r="I47" s="105">
        <f>F47+H47</f>
        <v>7542.013043478262</v>
      </c>
    </row>
    <row r="48" spans="1:9" ht="49.5">
      <c r="A48" s="42">
        <v>2</v>
      </c>
      <c r="B48" s="45" t="s">
        <v>116</v>
      </c>
      <c r="C48" s="44" t="s">
        <v>115</v>
      </c>
      <c r="D48" s="233">
        <v>1120</v>
      </c>
      <c r="E48" s="187">
        <v>25.65308035714286</v>
      </c>
      <c r="F48" s="188">
        <f aca="true" t="shared" si="6" ref="F48:F60">D48*E48</f>
        <v>28731.45</v>
      </c>
      <c r="G48" s="189">
        <v>22.93640178571429</v>
      </c>
      <c r="H48" s="189">
        <f aca="true" t="shared" si="7" ref="H48:H60">D48*G48</f>
        <v>25688.770000000004</v>
      </c>
      <c r="I48" s="105">
        <f aca="true" t="shared" si="8" ref="I48:I60">F48+H48</f>
        <v>54420.22</v>
      </c>
    </row>
    <row r="49" spans="1:9" ht="62.25">
      <c r="A49" s="42">
        <v>3</v>
      </c>
      <c r="B49" s="45" t="s">
        <v>118</v>
      </c>
      <c r="C49" s="44" t="s">
        <v>10</v>
      </c>
      <c r="D49" s="233">
        <v>1120</v>
      </c>
      <c r="E49" s="187">
        <v>50.8467142857143</v>
      </c>
      <c r="F49" s="188">
        <f t="shared" si="6"/>
        <v>56948.320000000014</v>
      </c>
      <c r="G49" s="189">
        <v>134.756294642857</v>
      </c>
      <c r="H49" s="189">
        <f t="shared" si="7"/>
        <v>150927.04999999984</v>
      </c>
      <c r="I49" s="105">
        <f t="shared" si="8"/>
        <v>207875.36999999985</v>
      </c>
    </row>
    <row r="50" spans="1:9" ht="62.25">
      <c r="A50" s="42">
        <v>4</v>
      </c>
      <c r="B50" s="43" t="s">
        <v>117</v>
      </c>
      <c r="C50" s="44" t="s">
        <v>115</v>
      </c>
      <c r="D50" s="233">
        <v>25</v>
      </c>
      <c r="E50" s="187">
        <v>450</v>
      </c>
      <c r="F50" s="188">
        <f t="shared" si="6"/>
        <v>11250</v>
      </c>
      <c r="G50" s="189">
        <v>859.1356</v>
      </c>
      <c r="H50" s="189">
        <f t="shared" si="7"/>
        <v>21478.39</v>
      </c>
      <c r="I50" s="105">
        <f t="shared" si="8"/>
        <v>32728.39</v>
      </c>
    </row>
    <row r="51" spans="1:9" ht="78">
      <c r="A51" s="42">
        <v>5</v>
      </c>
      <c r="B51" s="46" t="s">
        <v>164</v>
      </c>
      <c r="C51" s="44" t="s">
        <v>13</v>
      </c>
      <c r="D51" s="233">
        <f>112</f>
        <v>112</v>
      </c>
      <c r="E51" s="187">
        <v>7087.908101571947</v>
      </c>
      <c r="F51" s="188">
        <f t="shared" si="6"/>
        <v>793845.707376058</v>
      </c>
      <c r="G51" s="189">
        <v>10620.655267857144</v>
      </c>
      <c r="H51" s="189">
        <f t="shared" si="7"/>
        <v>1189513.3900000001</v>
      </c>
      <c r="I51" s="105">
        <f>F51+H51</f>
        <v>1983359.097376058</v>
      </c>
    </row>
    <row r="52" spans="1:9" ht="30.75">
      <c r="A52" s="42">
        <v>6</v>
      </c>
      <c r="B52" s="104" t="s">
        <v>108</v>
      </c>
      <c r="C52" s="44" t="s">
        <v>119</v>
      </c>
      <c r="D52" s="233">
        <v>224</v>
      </c>
      <c r="E52" s="187">
        <v>0</v>
      </c>
      <c r="F52" s="188">
        <f t="shared" si="6"/>
        <v>0</v>
      </c>
      <c r="G52" s="189">
        <v>700.0329910714287</v>
      </c>
      <c r="H52" s="189">
        <f t="shared" si="7"/>
        <v>156807.39</v>
      </c>
      <c r="I52" s="105">
        <f t="shared" si="8"/>
        <v>156807.39</v>
      </c>
    </row>
    <row r="53" spans="1:9" ht="62.25">
      <c r="A53" s="42">
        <v>7</v>
      </c>
      <c r="B53" s="104" t="s">
        <v>109</v>
      </c>
      <c r="C53" s="44" t="s">
        <v>10</v>
      </c>
      <c r="D53" s="233">
        <v>1120</v>
      </c>
      <c r="E53" s="187">
        <v>0</v>
      </c>
      <c r="F53" s="188">
        <f t="shared" si="6"/>
        <v>0</v>
      </c>
      <c r="G53" s="189">
        <v>334.713</v>
      </c>
      <c r="H53" s="189">
        <f t="shared" si="7"/>
        <v>374878.56</v>
      </c>
      <c r="I53" s="105">
        <f t="shared" si="8"/>
        <v>374878.56</v>
      </c>
    </row>
    <row r="54" spans="1:9" ht="30.75">
      <c r="A54" s="42">
        <v>8</v>
      </c>
      <c r="B54" s="104" t="s">
        <v>110</v>
      </c>
      <c r="C54" s="44" t="s">
        <v>10</v>
      </c>
      <c r="D54" s="233">
        <v>1120</v>
      </c>
      <c r="E54" s="187">
        <v>0</v>
      </c>
      <c r="F54" s="188">
        <f t="shared" si="6"/>
        <v>0</v>
      </c>
      <c r="G54" s="189">
        <v>188.67194642857143</v>
      </c>
      <c r="H54" s="189">
        <f t="shared" si="7"/>
        <v>211312.58000000002</v>
      </c>
      <c r="I54" s="105">
        <f t="shared" si="8"/>
        <v>211312.58000000002</v>
      </c>
    </row>
    <row r="55" spans="1:9" ht="30.75">
      <c r="A55" s="42">
        <v>9</v>
      </c>
      <c r="B55" s="43" t="s">
        <v>111</v>
      </c>
      <c r="C55" s="44" t="s">
        <v>115</v>
      </c>
      <c r="D55" s="233">
        <v>864</v>
      </c>
      <c r="E55" s="187">
        <v>290.2858680555555</v>
      </c>
      <c r="F55" s="188">
        <f t="shared" si="6"/>
        <v>250806.98999999996</v>
      </c>
      <c r="G55" s="189">
        <v>3.378136574074074</v>
      </c>
      <c r="H55" s="189">
        <f t="shared" si="7"/>
        <v>2918.71</v>
      </c>
      <c r="I55" s="105">
        <f t="shared" si="8"/>
        <v>253725.69999999995</v>
      </c>
    </row>
    <row r="56" spans="1:9" ht="30.75">
      <c r="A56" s="42">
        <v>10</v>
      </c>
      <c r="B56" s="104" t="s">
        <v>112</v>
      </c>
      <c r="C56" s="44" t="s">
        <v>115</v>
      </c>
      <c r="D56" s="233">
        <v>864</v>
      </c>
      <c r="E56" s="187">
        <v>0</v>
      </c>
      <c r="F56" s="188">
        <f t="shared" si="6"/>
        <v>0</v>
      </c>
      <c r="G56" s="189">
        <v>2.692800925925926</v>
      </c>
      <c r="H56" s="189">
        <f t="shared" si="7"/>
        <v>2326.58</v>
      </c>
      <c r="I56" s="105">
        <f t="shared" si="8"/>
        <v>2326.58</v>
      </c>
    </row>
    <row r="57" spans="1:9" ht="30.75">
      <c r="A57" s="42">
        <v>12</v>
      </c>
      <c r="B57" s="104" t="s">
        <v>113</v>
      </c>
      <c r="C57" s="44" t="s">
        <v>115</v>
      </c>
      <c r="D57" s="233">
        <v>864</v>
      </c>
      <c r="E57" s="187">
        <v>0</v>
      </c>
      <c r="F57" s="188">
        <f>D57*E57</f>
        <v>0</v>
      </c>
      <c r="G57" s="189">
        <v>117.6979976851852</v>
      </c>
      <c r="H57" s="189">
        <f>D57*G57</f>
        <v>101691.07</v>
      </c>
      <c r="I57" s="105">
        <f>F57+H57</f>
        <v>101691.07</v>
      </c>
    </row>
    <row r="58" spans="1:9" ht="15">
      <c r="A58" s="42">
        <v>11</v>
      </c>
      <c r="B58" s="46" t="s">
        <v>205</v>
      </c>
      <c r="C58" s="44" t="s">
        <v>115</v>
      </c>
      <c r="D58" s="233">
        <v>864</v>
      </c>
      <c r="E58" s="187">
        <v>50.830034722222216</v>
      </c>
      <c r="F58" s="188">
        <f t="shared" si="6"/>
        <v>43917.149999999994</v>
      </c>
      <c r="G58" s="189">
        <v>673.6167824074074</v>
      </c>
      <c r="H58" s="189">
        <f t="shared" si="7"/>
        <v>582004.9</v>
      </c>
      <c r="I58" s="105">
        <f t="shared" si="8"/>
        <v>625922.05</v>
      </c>
    </row>
    <row r="59" spans="1:9" ht="13.5">
      <c r="A59" s="42">
        <v>13</v>
      </c>
      <c r="B59" s="47" t="s">
        <v>148</v>
      </c>
      <c r="C59" s="44" t="s">
        <v>11</v>
      </c>
      <c r="D59" s="233">
        <v>3</v>
      </c>
      <c r="E59" s="187">
        <v>4500</v>
      </c>
      <c r="F59" s="188">
        <f t="shared" si="6"/>
        <v>13500</v>
      </c>
      <c r="G59" s="189">
        <v>0</v>
      </c>
      <c r="H59" s="189">
        <f t="shared" si="7"/>
        <v>0</v>
      </c>
      <c r="I59" s="105">
        <f t="shared" si="8"/>
        <v>13500</v>
      </c>
    </row>
    <row r="60" spans="1:9" ht="46.5">
      <c r="A60" s="42">
        <v>14</v>
      </c>
      <c r="B60" s="43" t="s">
        <v>114</v>
      </c>
      <c r="C60" s="44" t="s">
        <v>120</v>
      </c>
      <c r="D60" s="233">
        <v>2</v>
      </c>
      <c r="E60" s="187">
        <v>5000</v>
      </c>
      <c r="F60" s="188">
        <f t="shared" si="6"/>
        <v>10000</v>
      </c>
      <c r="G60" s="189">
        <v>0</v>
      </c>
      <c r="H60" s="189">
        <f t="shared" si="7"/>
        <v>0</v>
      </c>
      <c r="I60" s="105">
        <f t="shared" si="8"/>
        <v>10000</v>
      </c>
    </row>
    <row r="61" spans="1:9" ht="13.5">
      <c r="A61" s="15"/>
      <c r="B61" s="18"/>
      <c r="C61" s="4"/>
      <c r="D61" s="94"/>
      <c r="E61" s="106"/>
      <c r="F61" s="89"/>
      <c r="G61" s="89"/>
      <c r="H61" s="89" t="s">
        <v>213</v>
      </c>
      <c r="I61" s="89">
        <f>SUM(H47:H60)</f>
        <v>2823049.451594203</v>
      </c>
    </row>
    <row r="62" spans="1:9" ht="13.5">
      <c r="A62" s="15"/>
      <c r="B62" s="18"/>
      <c r="C62" s="4"/>
      <c r="D62" s="94"/>
      <c r="E62" s="106"/>
      <c r="F62" s="89"/>
      <c r="G62" s="89"/>
      <c r="H62" s="89" t="s">
        <v>214</v>
      </c>
      <c r="I62" s="89">
        <f>SUM(F47:F60)</f>
        <v>1213039.5688253331</v>
      </c>
    </row>
    <row r="63" spans="1:9" ht="13.5">
      <c r="A63" s="15"/>
      <c r="B63" s="13"/>
      <c r="C63" s="4"/>
      <c r="D63" s="94"/>
      <c r="E63" s="164"/>
      <c r="F63" s="89"/>
      <c r="G63" s="89"/>
      <c r="H63" s="89" t="s">
        <v>215</v>
      </c>
      <c r="I63" s="147">
        <f>I47+I48+I49+I50+I51+I52+I53+I54+I55+I56+I57+I58+I59+I60</f>
        <v>4036089.020419537</v>
      </c>
    </row>
    <row r="64" spans="1:9" ht="15.75">
      <c r="A64" s="48" t="s">
        <v>197</v>
      </c>
      <c r="B64" s="49"/>
      <c r="C64" s="49"/>
      <c r="D64" s="230"/>
      <c r="E64" s="49"/>
      <c r="F64" s="49"/>
      <c r="G64" s="49"/>
      <c r="H64" s="49"/>
      <c r="I64" s="49"/>
    </row>
    <row r="65" spans="1:9" s="71" customFormat="1" ht="46.5">
      <c r="A65" s="69">
        <v>1</v>
      </c>
      <c r="B65" s="183" t="s">
        <v>165</v>
      </c>
      <c r="C65" s="69" t="s">
        <v>10</v>
      </c>
      <c r="D65" s="82">
        <v>328</v>
      </c>
      <c r="E65" s="190">
        <f>E67</f>
        <v>33.951026086956524</v>
      </c>
      <c r="F65" s="190">
        <f>D65*E65</f>
        <v>11135.93655652174</v>
      </c>
      <c r="G65" s="190">
        <v>33.9502743902439</v>
      </c>
      <c r="H65" s="190">
        <f>D65*G65</f>
        <v>11135.689999999999</v>
      </c>
      <c r="I65" s="191">
        <f>F65+H65</f>
        <v>22271.62655652174</v>
      </c>
    </row>
    <row r="66" spans="1:9" s="71" customFormat="1" ht="46.5">
      <c r="A66" s="69">
        <v>2</v>
      </c>
      <c r="B66" s="183" t="s">
        <v>149</v>
      </c>
      <c r="C66" s="69" t="s">
        <v>10</v>
      </c>
      <c r="D66" s="82" t="s">
        <v>166</v>
      </c>
      <c r="E66" s="190">
        <v>360.2853166666667</v>
      </c>
      <c r="F66" s="190">
        <f>600*E66</f>
        <v>216171.19</v>
      </c>
      <c r="G66" s="190">
        <v>99.06195000000001</v>
      </c>
      <c r="H66" s="190">
        <f>600*G66</f>
        <v>59437.170000000006</v>
      </c>
      <c r="I66" s="191">
        <f aca="true" t="shared" si="9" ref="I66:I73">F66+H66</f>
        <v>275608.36</v>
      </c>
    </row>
    <row r="67" spans="1:9" s="71" customFormat="1" ht="41.25">
      <c r="A67" s="69">
        <v>3</v>
      </c>
      <c r="B67" s="192" t="s">
        <v>168</v>
      </c>
      <c r="C67" s="69" t="s">
        <v>10</v>
      </c>
      <c r="D67" s="234">
        <v>4600</v>
      </c>
      <c r="E67" s="190">
        <v>33.951026086956524</v>
      </c>
      <c r="F67" s="188">
        <f aca="true" t="shared" si="10" ref="F67:F73">D67*E67</f>
        <v>156174.72</v>
      </c>
      <c r="G67" s="189">
        <v>23.90723913043478</v>
      </c>
      <c r="H67" s="189">
        <f aca="true" t="shared" si="11" ref="H67:H73">D67*G67</f>
        <v>109973.3</v>
      </c>
      <c r="I67" s="105">
        <f t="shared" si="9"/>
        <v>266148.02</v>
      </c>
    </row>
    <row r="68" spans="1:9" s="71" customFormat="1" ht="27">
      <c r="A68" s="69">
        <v>4</v>
      </c>
      <c r="B68" s="192" t="s">
        <v>104</v>
      </c>
      <c r="C68" s="69" t="s">
        <v>10</v>
      </c>
      <c r="D68" s="234">
        <v>750</v>
      </c>
      <c r="E68" s="190">
        <v>504.9322133333333</v>
      </c>
      <c r="F68" s="188">
        <f t="shared" si="10"/>
        <v>378699.16</v>
      </c>
      <c r="G68" s="189">
        <v>64.71</v>
      </c>
      <c r="H68" s="189">
        <f t="shared" si="11"/>
        <v>48532.49999999999</v>
      </c>
      <c r="I68" s="105">
        <f t="shared" si="9"/>
        <v>427231.66</v>
      </c>
    </row>
    <row r="69" spans="1:9" s="71" customFormat="1" ht="41.25">
      <c r="A69" s="69">
        <v>5</v>
      </c>
      <c r="B69" s="192" t="s">
        <v>105</v>
      </c>
      <c r="C69" s="69" t="s">
        <v>13</v>
      </c>
      <c r="D69" s="234">
        <v>4</v>
      </c>
      <c r="E69" s="190">
        <f>9000*1.1</f>
        <v>9900</v>
      </c>
      <c r="F69" s="188">
        <f t="shared" si="10"/>
        <v>39600</v>
      </c>
      <c r="G69" s="189">
        <v>8413.7725</v>
      </c>
      <c r="H69" s="189">
        <f t="shared" si="11"/>
        <v>33655.09</v>
      </c>
      <c r="I69" s="105">
        <f t="shared" si="9"/>
        <v>73255.09</v>
      </c>
    </row>
    <row r="70" spans="1:9" s="71" customFormat="1" ht="41.25">
      <c r="A70" s="69">
        <v>6</v>
      </c>
      <c r="B70" s="192" t="s">
        <v>167</v>
      </c>
      <c r="C70" s="69" t="s">
        <v>151</v>
      </c>
      <c r="D70" s="234">
        <v>60</v>
      </c>
      <c r="E70" s="190">
        <v>504.93483333333336</v>
      </c>
      <c r="F70" s="188">
        <f t="shared" si="10"/>
        <v>30296.09</v>
      </c>
      <c r="G70" s="189">
        <v>64.71</v>
      </c>
      <c r="H70" s="189">
        <f t="shared" si="11"/>
        <v>3882.5999999999995</v>
      </c>
      <c r="I70" s="105">
        <f t="shared" si="9"/>
        <v>34178.69</v>
      </c>
    </row>
    <row r="71" spans="1:9" s="71" customFormat="1" ht="41.25">
      <c r="A71" s="69">
        <v>7</v>
      </c>
      <c r="B71" s="192" t="s">
        <v>106</v>
      </c>
      <c r="C71" s="69" t="s">
        <v>10</v>
      </c>
      <c r="D71" s="234">
        <v>35</v>
      </c>
      <c r="E71" s="190">
        <v>500</v>
      </c>
      <c r="F71" s="188">
        <f t="shared" si="10"/>
        <v>17500</v>
      </c>
      <c r="G71" s="189">
        <v>147.68685714285715</v>
      </c>
      <c r="H71" s="189">
        <f t="shared" si="11"/>
        <v>5169.04</v>
      </c>
      <c r="I71" s="105">
        <f t="shared" si="9"/>
        <v>22669.04</v>
      </c>
    </row>
    <row r="72" spans="1:9" s="71" customFormat="1" ht="54.75">
      <c r="A72" s="69">
        <v>8</v>
      </c>
      <c r="B72" s="193" t="s">
        <v>190</v>
      </c>
      <c r="C72" s="69" t="s">
        <v>10</v>
      </c>
      <c r="D72" s="234">
        <v>4600</v>
      </c>
      <c r="E72" s="190">
        <f>52.2054065217391*1.3</f>
        <v>67.86702847826083</v>
      </c>
      <c r="F72" s="188">
        <f t="shared" si="10"/>
        <v>312188.33099999983</v>
      </c>
      <c r="G72" s="189">
        <v>122.752495652174</v>
      </c>
      <c r="H72" s="189">
        <f t="shared" si="11"/>
        <v>564661.4800000004</v>
      </c>
      <c r="I72" s="105">
        <f t="shared" si="9"/>
        <v>876849.8110000002</v>
      </c>
    </row>
    <row r="73" spans="1:9" s="71" customFormat="1" ht="41.25">
      <c r="A73" s="69">
        <v>9</v>
      </c>
      <c r="B73" s="192" t="s">
        <v>132</v>
      </c>
      <c r="C73" s="69" t="s">
        <v>133</v>
      </c>
      <c r="D73" s="234">
        <v>1</v>
      </c>
      <c r="E73" s="190">
        <v>20000</v>
      </c>
      <c r="F73" s="188">
        <f t="shared" si="10"/>
        <v>20000</v>
      </c>
      <c r="G73" s="189">
        <v>0</v>
      </c>
      <c r="H73" s="189">
        <f t="shared" si="11"/>
        <v>0</v>
      </c>
      <c r="I73" s="105">
        <f t="shared" si="9"/>
        <v>20000</v>
      </c>
    </row>
    <row r="74" spans="1:9" ht="13.5">
      <c r="A74" s="15"/>
      <c r="B74" s="18"/>
      <c r="C74" s="4"/>
      <c r="D74" s="94"/>
      <c r="E74" s="106"/>
      <c r="F74" s="89"/>
      <c r="G74" s="89"/>
      <c r="H74" s="89" t="s">
        <v>213</v>
      </c>
      <c r="I74" s="89">
        <f>SUM(H65:H73)</f>
        <v>836446.8700000003</v>
      </c>
    </row>
    <row r="75" spans="1:9" ht="13.5">
      <c r="A75" s="15"/>
      <c r="B75" s="18"/>
      <c r="C75" s="4"/>
      <c r="D75" s="94"/>
      <c r="E75" s="106"/>
      <c r="F75" s="89"/>
      <c r="G75" s="89"/>
      <c r="H75" s="89" t="s">
        <v>214</v>
      </c>
      <c r="I75" s="89">
        <f>SUM(F65:F73)</f>
        <v>1181765.4275565215</v>
      </c>
    </row>
    <row r="76" spans="1:9" ht="13.5">
      <c r="A76" s="15"/>
      <c r="B76" s="13"/>
      <c r="C76" s="4"/>
      <c r="D76" s="94"/>
      <c r="E76" s="164"/>
      <c r="F76" s="89"/>
      <c r="G76" s="89"/>
      <c r="H76" s="89" t="s">
        <v>215</v>
      </c>
      <c r="I76" s="147">
        <f>I73+I72+I71+I70+I69+I68+I67+I66+I65</f>
        <v>2018212.2975565218</v>
      </c>
    </row>
    <row r="77" spans="1:9" ht="12.75">
      <c r="A77" s="50" t="s">
        <v>195</v>
      </c>
      <c r="B77" s="209" t="s">
        <v>196</v>
      </c>
      <c r="C77" s="209"/>
      <c r="D77" s="209"/>
      <c r="E77" s="209"/>
      <c r="F77" s="209"/>
      <c r="G77" s="209"/>
      <c r="H77" s="209"/>
      <c r="I77" s="51"/>
    </row>
    <row r="78" spans="1:9" ht="14.25">
      <c r="A78" s="15"/>
      <c r="B78" s="20" t="s">
        <v>89</v>
      </c>
      <c r="C78" s="21" t="s">
        <v>11</v>
      </c>
      <c r="D78" s="235">
        <v>1</v>
      </c>
      <c r="E78" s="108"/>
      <c r="F78" s="110"/>
      <c r="G78" s="110"/>
      <c r="H78" s="110"/>
      <c r="I78" s="109"/>
    </row>
    <row r="79" spans="1:9" ht="27">
      <c r="A79" s="15">
        <v>1</v>
      </c>
      <c r="B79" s="68" t="s">
        <v>24</v>
      </c>
      <c r="C79" s="23" t="s">
        <v>11</v>
      </c>
      <c r="D79" s="82">
        <v>1</v>
      </c>
      <c r="E79" s="110">
        <v>5000</v>
      </c>
      <c r="F79" s="110">
        <f aca="true" t="shared" si="12" ref="F79:F110">D79*E79</f>
        <v>5000</v>
      </c>
      <c r="G79" s="110">
        <v>21152.88</v>
      </c>
      <c r="H79" s="110">
        <f aca="true" t="shared" si="13" ref="H79:H110">D79*G79</f>
        <v>21152.88</v>
      </c>
      <c r="I79" s="109">
        <f aca="true" t="shared" si="14" ref="I79:I110">F79+H79</f>
        <v>26152.88</v>
      </c>
    </row>
    <row r="80" spans="1:9" ht="27">
      <c r="A80" s="15">
        <f>A93+1</f>
        <v>8</v>
      </c>
      <c r="B80" s="112" t="s">
        <v>27</v>
      </c>
      <c r="C80" s="8" t="s">
        <v>11</v>
      </c>
      <c r="D80" s="82">
        <v>2</v>
      </c>
      <c r="E80" s="108">
        <v>0</v>
      </c>
      <c r="F80" s="110">
        <f aca="true" t="shared" si="15" ref="F80:F87">D80*E80</f>
        <v>0</v>
      </c>
      <c r="G80" s="110">
        <v>395.25</v>
      </c>
      <c r="H80" s="110">
        <f aca="true" t="shared" si="16" ref="H80:H87">D80*G80</f>
        <v>790.5</v>
      </c>
      <c r="I80" s="109">
        <f aca="true" t="shared" si="17" ref="I80:I87">F80+H80</f>
        <v>790.5</v>
      </c>
    </row>
    <row r="81" spans="1:9" ht="27">
      <c r="A81" s="15">
        <f aca="true" t="shared" si="18" ref="A81:A87">A80+1</f>
        <v>9</v>
      </c>
      <c r="B81" s="112" t="s">
        <v>28</v>
      </c>
      <c r="C81" s="8" t="s">
        <v>11</v>
      </c>
      <c r="D81" s="82">
        <v>2</v>
      </c>
      <c r="E81" s="108">
        <v>0</v>
      </c>
      <c r="F81" s="110">
        <f t="shared" si="15"/>
        <v>0</v>
      </c>
      <c r="G81" s="110">
        <v>1067</v>
      </c>
      <c r="H81" s="110">
        <f t="shared" si="16"/>
        <v>2134</v>
      </c>
      <c r="I81" s="109">
        <f t="shared" si="17"/>
        <v>2134</v>
      </c>
    </row>
    <row r="82" spans="1:9" ht="27">
      <c r="A82" s="15">
        <f t="shared" si="18"/>
        <v>10</v>
      </c>
      <c r="B82" s="113" t="s">
        <v>29</v>
      </c>
      <c r="C82" s="8" t="s">
        <v>11</v>
      </c>
      <c r="D82" s="82">
        <v>2</v>
      </c>
      <c r="E82" s="108">
        <v>0</v>
      </c>
      <c r="F82" s="110">
        <f t="shared" si="15"/>
        <v>0</v>
      </c>
      <c r="G82" s="110">
        <v>158.75</v>
      </c>
      <c r="H82" s="110">
        <f t="shared" si="16"/>
        <v>317.5</v>
      </c>
      <c r="I82" s="109">
        <f t="shared" si="17"/>
        <v>317.5</v>
      </c>
    </row>
    <row r="83" spans="1:9" ht="27">
      <c r="A83" s="15">
        <f t="shared" si="18"/>
        <v>11</v>
      </c>
      <c r="B83" s="113" t="s">
        <v>30</v>
      </c>
      <c r="C83" s="8" t="s">
        <v>16</v>
      </c>
      <c r="D83" s="82">
        <v>12</v>
      </c>
      <c r="E83" s="108">
        <v>0</v>
      </c>
      <c r="F83" s="110">
        <f t="shared" si="15"/>
        <v>0</v>
      </c>
      <c r="G83" s="110">
        <v>42.42166666666667</v>
      </c>
      <c r="H83" s="110">
        <f t="shared" si="16"/>
        <v>509.06</v>
      </c>
      <c r="I83" s="109">
        <f t="shared" si="17"/>
        <v>509.06</v>
      </c>
    </row>
    <row r="84" spans="1:9" ht="27">
      <c r="A84" s="15">
        <f t="shared" si="18"/>
        <v>12</v>
      </c>
      <c r="B84" s="113" t="s">
        <v>31</v>
      </c>
      <c r="C84" s="8" t="s">
        <v>16</v>
      </c>
      <c r="D84" s="82">
        <v>12</v>
      </c>
      <c r="E84" s="110">
        <v>0</v>
      </c>
      <c r="F84" s="110">
        <f t="shared" si="15"/>
        <v>0</v>
      </c>
      <c r="G84" s="110">
        <v>42.42166666666667</v>
      </c>
      <c r="H84" s="110">
        <f t="shared" si="16"/>
        <v>509.06</v>
      </c>
      <c r="I84" s="109">
        <f t="shared" si="17"/>
        <v>509.06</v>
      </c>
    </row>
    <row r="85" spans="1:9" ht="27">
      <c r="A85" s="15">
        <f t="shared" si="18"/>
        <v>13</v>
      </c>
      <c r="B85" s="113" t="s">
        <v>32</v>
      </c>
      <c r="C85" s="8" t="s">
        <v>16</v>
      </c>
      <c r="D85" s="82">
        <v>12</v>
      </c>
      <c r="E85" s="110">
        <v>0</v>
      </c>
      <c r="F85" s="110">
        <f t="shared" si="15"/>
        <v>0</v>
      </c>
      <c r="G85" s="110">
        <v>42.36083333333333</v>
      </c>
      <c r="H85" s="110">
        <f t="shared" si="16"/>
        <v>508.33</v>
      </c>
      <c r="I85" s="109">
        <f t="shared" si="17"/>
        <v>508.33</v>
      </c>
    </row>
    <row r="86" spans="1:9" ht="13.5">
      <c r="A86" s="15">
        <f t="shared" si="18"/>
        <v>14</v>
      </c>
      <c r="B86" s="113" t="s">
        <v>33</v>
      </c>
      <c r="C86" s="8" t="s">
        <v>16</v>
      </c>
      <c r="D86" s="82">
        <v>4</v>
      </c>
      <c r="E86" s="110">
        <v>0</v>
      </c>
      <c r="F86" s="110">
        <f t="shared" si="15"/>
        <v>0</v>
      </c>
      <c r="G86" s="110">
        <v>162.23</v>
      </c>
      <c r="H86" s="110">
        <f t="shared" si="16"/>
        <v>648.92</v>
      </c>
      <c r="I86" s="109">
        <f t="shared" si="17"/>
        <v>648.92</v>
      </c>
    </row>
    <row r="87" spans="1:9" ht="13.5">
      <c r="A87" s="15">
        <f t="shared" si="18"/>
        <v>15</v>
      </c>
      <c r="B87" s="113" t="s">
        <v>34</v>
      </c>
      <c r="C87" s="8" t="s">
        <v>16</v>
      </c>
      <c r="D87" s="82">
        <v>4</v>
      </c>
      <c r="E87" s="110">
        <v>0</v>
      </c>
      <c r="F87" s="110">
        <f t="shared" si="15"/>
        <v>0</v>
      </c>
      <c r="G87" s="110">
        <v>165.555</v>
      </c>
      <c r="H87" s="110">
        <f t="shared" si="16"/>
        <v>662.22</v>
      </c>
      <c r="I87" s="109">
        <f t="shared" si="17"/>
        <v>662.22</v>
      </c>
    </row>
    <row r="88" spans="1:9" ht="27">
      <c r="A88" s="15">
        <f>A79+1</f>
        <v>2</v>
      </c>
      <c r="B88" s="72" t="s">
        <v>93</v>
      </c>
      <c r="C88" s="25" t="s">
        <v>11</v>
      </c>
      <c r="D88" s="82">
        <v>1</v>
      </c>
      <c r="E88" s="110">
        <v>1000</v>
      </c>
      <c r="F88" s="110">
        <f t="shared" si="12"/>
        <v>1000</v>
      </c>
      <c r="G88" s="110">
        <v>5656.63</v>
      </c>
      <c r="H88" s="110">
        <f t="shared" si="13"/>
        <v>5656.63</v>
      </c>
      <c r="I88" s="109">
        <f t="shared" si="14"/>
        <v>6656.63</v>
      </c>
    </row>
    <row r="89" spans="1:9" ht="27">
      <c r="A89" s="15">
        <f aca="true" t="shared" si="19" ref="A89:A130">A88+1</f>
        <v>3</v>
      </c>
      <c r="B89" s="72" t="s">
        <v>91</v>
      </c>
      <c r="C89" s="25" t="s">
        <v>11</v>
      </c>
      <c r="D89" s="82">
        <v>3</v>
      </c>
      <c r="E89" s="110">
        <v>500</v>
      </c>
      <c r="F89" s="110">
        <f t="shared" si="12"/>
        <v>1500</v>
      </c>
      <c r="G89" s="110">
        <f>128.19+154.651666666667</f>
        <v>282.84166666666704</v>
      </c>
      <c r="H89" s="110">
        <f>D89*G89</f>
        <v>848.5250000000011</v>
      </c>
      <c r="I89" s="109">
        <f t="shared" si="14"/>
        <v>2348.525000000001</v>
      </c>
    </row>
    <row r="90" spans="1:9" ht="27">
      <c r="A90" s="15">
        <f t="shared" si="19"/>
        <v>4</v>
      </c>
      <c r="B90" s="73" t="s">
        <v>90</v>
      </c>
      <c r="C90" s="25" t="s">
        <v>11</v>
      </c>
      <c r="D90" s="82">
        <v>3</v>
      </c>
      <c r="E90" s="110">
        <f>E89</f>
        <v>500</v>
      </c>
      <c r="F90" s="110">
        <f t="shared" si="12"/>
        <v>1500</v>
      </c>
      <c r="G90" s="110">
        <f>830.37+154.651666666667</f>
        <v>985.021666666667</v>
      </c>
      <c r="H90" s="110">
        <f t="shared" si="13"/>
        <v>2955.065000000001</v>
      </c>
      <c r="I90" s="109">
        <f t="shared" si="14"/>
        <v>4455.0650000000005</v>
      </c>
    </row>
    <row r="91" spans="1:9" ht="27">
      <c r="A91" s="15">
        <f t="shared" si="19"/>
        <v>5</v>
      </c>
      <c r="B91" s="68" t="s">
        <v>25</v>
      </c>
      <c r="C91" s="25" t="s">
        <v>11</v>
      </c>
      <c r="D91" s="82">
        <v>2</v>
      </c>
      <c r="E91" s="110">
        <v>300</v>
      </c>
      <c r="F91" s="110">
        <f t="shared" si="12"/>
        <v>600</v>
      </c>
      <c r="G91" s="110">
        <v>265.72</v>
      </c>
      <c r="H91" s="110">
        <f>D91*G91</f>
        <v>531.44</v>
      </c>
      <c r="I91" s="109">
        <f t="shared" si="14"/>
        <v>1131.44</v>
      </c>
    </row>
    <row r="92" spans="1:9" ht="27">
      <c r="A92" s="15">
        <f t="shared" si="19"/>
        <v>6</v>
      </c>
      <c r="B92" s="68" t="s">
        <v>26</v>
      </c>
      <c r="C92" s="25" t="s">
        <v>11</v>
      </c>
      <c r="D92" s="82">
        <v>3</v>
      </c>
      <c r="E92" s="110">
        <v>1500</v>
      </c>
      <c r="F92" s="110">
        <f t="shared" si="12"/>
        <v>4500</v>
      </c>
      <c r="G92" s="110">
        <v>4161.363333333334</v>
      </c>
      <c r="H92" s="110">
        <f t="shared" si="13"/>
        <v>12484.09</v>
      </c>
      <c r="I92" s="109">
        <f t="shared" si="14"/>
        <v>16984.09</v>
      </c>
    </row>
    <row r="93" spans="1:9" ht="27">
      <c r="A93" s="15">
        <f t="shared" si="19"/>
        <v>7</v>
      </c>
      <c r="B93" s="74" t="s">
        <v>92</v>
      </c>
      <c r="C93" s="8" t="s">
        <v>11</v>
      </c>
      <c r="D93" s="82">
        <v>4</v>
      </c>
      <c r="E93" s="110">
        <v>500</v>
      </c>
      <c r="F93" s="110">
        <f t="shared" si="12"/>
        <v>2000</v>
      </c>
      <c r="G93" s="110">
        <v>867.9825000000001</v>
      </c>
      <c r="H93" s="110">
        <f t="shared" si="13"/>
        <v>3471.9300000000003</v>
      </c>
      <c r="I93" s="109">
        <f t="shared" si="14"/>
        <v>5471.93</v>
      </c>
    </row>
    <row r="94" spans="1:9" ht="27">
      <c r="A94" s="15">
        <f>A87+1</f>
        <v>16</v>
      </c>
      <c r="B94" s="26" t="s">
        <v>35</v>
      </c>
      <c r="C94" s="8" t="s">
        <v>11</v>
      </c>
      <c r="D94" s="82">
        <v>48</v>
      </c>
      <c r="E94" s="110">
        <v>0</v>
      </c>
      <c r="F94" s="110">
        <f t="shared" si="12"/>
        <v>0</v>
      </c>
      <c r="G94" s="110">
        <v>5.698333333333334</v>
      </c>
      <c r="H94" s="110">
        <f t="shared" si="13"/>
        <v>273.52000000000004</v>
      </c>
      <c r="I94" s="109">
        <f t="shared" si="14"/>
        <v>273.52000000000004</v>
      </c>
    </row>
    <row r="95" spans="1:9" ht="27">
      <c r="A95" s="15">
        <f t="shared" si="19"/>
        <v>17</v>
      </c>
      <c r="B95" s="26" t="s">
        <v>36</v>
      </c>
      <c r="C95" s="8" t="s">
        <v>11</v>
      </c>
      <c r="D95" s="82">
        <v>12</v>
      </c>
      <c r="E95" s="110">
        <v>0</v>
      </c>
      <c r="F95" s="110">
        <f t="shared" si="12"/>
        <v>0</v>
      </c>
      <c r="G95" s="110">
        <v>5.9316666666666675</v>
      </c>
      <c r="H95" s="110">
        <f t="shared" si="13"/>
        <v>71.18</v>
      </c>
      <c r="I95" s="109">
        <f t="shared" si="14"/>
        <v>71.18</v>
      </c>
    </row>
    <row r="96" spans="1:9" ht="13.5">
      <c r="A96" s="15">
        <f t="shared" si="19"/>
        <v>18</v>
      </c>
      <c r="B96" s="26" t="s">
        <v>37</v>
      </c>
      <c r="C96" s="8" t="s">
        <v>11</v>
      </c>
      <c r="D96" s="82">
        <v>6</v>
      </c>
      <c r="E96" s="110">
        <v>0</v>
      </c>
      <c r="F96" s="110">
        <f t="shared" si="12"/>
        <v>0</v>
      </c>
      <c r="G96" s="110">
        <v>560.8716666666666</v>
      </c>
      <c r="H96" s="110">
        <f t="shared" si="13"/>
        <v>3365.2299999999996</v>
      </c>
      <c r="I96" s="109">
        <f t="shared" si="14"/>
        <v>3365.2299999999996</v>
      </c>
    </row>
    <row r="97" spans="1:9" ht="27">
      <c r="A97" s="15">
        <f t="shared" si="19"/>
        <v>19</v>
      </c>
      <c r="B97" s="114" t="s">
        <v>38</v>
      </c>
      <c r="C97" s="8" t="s">
        <v>11</v>
      </c>
      <c r="D97" s="82">
        <v>1</v>
      </c>
      <c r="E97" s="110">
        <v>0</v>
      </c>
      <c r="F97" s="110">
        <f t="shared" si="12"/>
        <v>0</v>
      </c>
      <c r="G97" s="110">
        <v>556.5</v>
      </c>
      <c r="H97" s="110">
        <f t="shared" si="13"/>
        <v>556.5</v>
      </c>
      <c r="I97" s="109">
        <f t="shared" si="14"/>
        <v>556.5</v>
      </c>
    </row>
    <row r="98" spans="1:9" s="71" customFormat="1" ht="27">
      <c r="A98" s="69">
        <f t="shared" si="19"/>
        <v>20</v>
      </c>
      <c r="B98" s="115" t="s">
        <v>39</v>
      </c>
      <c r="C98" s="70" t="s">
        <v>11</v>
      </c>
      <c r="D98" s="82">
        <v>3</v>
      </c>
      <c r="E98" s="110">
        <v>328.9733333333333</v>
      </c>
      <c r="F98" s="110">
        <f t="shared" si="12"/>
        <v>986.9199999999998</v>
      </c>
      <c r="G98" s="110">
        <v>28.906666666666666</v>
      </c>
      <c r="H98" s="110">
        <f t="shared" si="13"/>
        <v>86.72</v>
      </c>
      <c r="I98" s="111">
        <f t="shared" si="14"/>
        <v>1073.6399999999999</v>
      </c>
    </row>
    <row r="99" spans="1:9" ht="13.5">
      <c r="A99" s="15">
        <f t="shared" si="19"/>
        <v>21</v>
      </c>
      <c r="B99" s="19" t="s">
        <v>40</v>
      </c>
      <c r="C99" s="8" t="s">
        <v>11</v>
      </c>
      <c r="D99" s="82">
        <v>1</v>
      </c>
      <c r="E99" s="110">
        <v>1000</v>
      </c>
      <c r="F99" s="110">
        <f t="shared" si="12"/>
        <v>1000</v>
      </c>
      <c r="G99" s="110">
        <v>1208.97</v>
      </c>
      <c r="H99" s="110">
        <f t="shared" si="13"/>
        <v>1208.97</v>
      </c>
      <c r="I99" s="109">
        <f t="shared" si="14"/>
        <v>2208.9700000000003</v>
      </c>
    </row>
    <row r="100" spans="1:9" ht="14.25">
      <c r="A100" s="15">
        <f t="shared" si="19"/>
        <v>22</v>
      </c>
      <c r="B100" s="27" t="s">
        <v>41</v>
      </c>
      <c r="C100" s="8" t="s">
        <v>11</v>
      </c>
      <c r="D100" s="82">
        <v>1</v>
      </c>
      <c r="E100" s="110">
        <f>E99</f>
        <v>1000</v>
      </c>
      <c r="F100" s="110">
        <f t="shared" si="12"/>
        <v>1000</v>
      </c>
      <c r="G100" s="110">
        <v>1616.88</v>
      </c>
      <c r="H100" s="110">
        <f t="shared" si="13"/>
        <v>1616.88</v>
      </c>
      <c r="I100" s="109">
        <f t="shared" si="14"/>
        <v>2616.88</v>
      </c>
    </row>
    <row r="101" spans="1:9" ht="13.5">
      <c r="A101" s="15">
        <f t="shared" si="19"/>
        <v>23</v>
      </c>
      <c r="B101" s="19" t="s">
        <v>152</v>
      </c>
      <c r="C101" s="8" t="s">
        <v>16</v>
      </c>
      <c r="D101" s="82">
        <v>70</v>
      </c>
      <c r="E101" s="110">
        <v>200</v>
      </c>
      <c r="F101" s="110">
        <f t="shared" si="12"/>
        <v>14000</v>
      </c>
      <c r="G101" s="110">
        <v>591.108285714286</v>
      </c>
      <c r="H101" s="110">
        <f t="shared" si="13"/>
        <v>41377.58000000002</v>
      </c>
      <c r="I101" s="109">
        <f t="shared" si="14"/>
        <v>55377.58000000002</v>
      </c>
    </row>
    <row r="102" spans="1:9" ht="13.5">
      <c r="A102" s="15">
        <f t="shared" si="19"/>
        <v>24</v>
      </c>
      <c r="B102" s="19" t="s">
        <v>42</v>
      </c>
      <c r="C102" s="8" t="s">
        <v>16</v>
      </c>
      <c r="D102" s="82" t="s">
        <v>153</v>
      </c>
      <c r="E102" s="180">
        <v>332.806764705882</v>
      </c>
      <c r="F102" s="110">
        <f>10*E102</f>
        <v>3328.06764705882</v>
      </c>
      <c r="G102" s="110">
        <v>821.864764689332</v>
      </c>
      <c r="H102" s="110">
        <f>10*G102</f>
        <v>8218.64764689332</v>
      </c>
      <c r="I102" s="109">
        <f t="shared" si="14"/>
        <v>11546.71529395214</v>
      </c>
    </row>
    <row r="103" spans="1:9" ht="27">
      <c r="A103" s="15">
        <f t="shared" si="19"/>
        <v>25</v>
      </c>
      <c r="B103" s="17" t="s">
        <v>43</v>
      </c>
      <c r="C103" s="8" t="s">
        <v>44</v>
      </c>
      <c r="D103" s="82">
        <v>4</v>
      </c>
      <c r="E103" s="110">
        <f>E102*1.1</f>
        <v>366.08744117647024</v>
      </c>
      <c r="F103" s="110">
        <f t="shared" si="12"/>
        <v>1464.349764705881</v>
      </c>
      <c r="G103" s="110">
        <v>2000.12058823529</v>
      </c>
      <c r="H103" s="110">
        <f>D103*G103</f>
        <v>8000.48235294116</v>
      </c>
      <c r="I103" s="109">
        <f t="shared" si="14"/>
        <v>9464.83211764704</v>
      </c>
    </row>
    <row r="104" spans="1:9" ht="27">
      <c r="A104" s="15">
        <f t="shared" si="19"/>
        <v>26</v>
      </c>
      <c r="B104" s="114" t="s">
        <v>45</v>
      </c>
      <c r="C104" s="8" t="s">
        <v>16</v>
      </c>
      <c r="D104" s="82" t="s">
        <v>153</v>
      </c>
      <c r="E104" s="110">
        <v>0</v>
      </c>
      <c r="F104" s="110">
        <f>10*E104</f>
        <v>0</v>
      </c>
      <c r="G104" s="110">
        <v>273.523</v>
      </c>
      <c r="H104" s="110">
        <f>10*G104</f>
        <v>2735.2300000000005</v>
      </c>
      <c r="I104" s="109">
        <f t="shared" si="14"/>
        <v>2735.2300000000005</v>
      </c>
    </row>
    <row r="105" spans="1:9" ht="27">
      <c r="A105" s="15">
        <f t="shared" si="19"/>
        <v>27</v>
      </c>
      <c r="B105" s="114" t="s">
        <v>46</v>
      </c>
      <c r="C105" s="8" t="s">
        <v>11</v>
      </c>
      <c r="D105" s="82">
        <v>4</v>
      </c>
      <c r="E105" s="110">
        <v>0</v>
      </c>
      <c r="F105" s="110">
        <f t="shared" si="12"/>
        <v>0</v>
      </c>
      <c r="G105" s="110">
        <v>2088.8775</v>
      </c>
      <c r="H105" s="110">
        <f t="shared" si="13"/>
        <v>8355.51</v>
      </c>
      <c r="I105" s="109">
        <f t="shared" si="14"/>
        <v>8355.51</v>
      </c>
    </row>
    <row r="106" spans="1:9" ht="27">
      <c r="A106" s="15">
        <f t="shared" si="19"/>
        <v>28</v>
      </c>
      <c r="B106" s="114" t="s">
        <v>47</v>
      </c>
      <c r="C106" s="8" t="s">
        <v>11</v>
      </c>
      <c r="D106" s="82">
        <v>4</v>
      </c>
      <c r="E106" s="110">
        <v>0</v>
      </c>
      <c r="F106" s="110">
        <f t="shared" si="12"/>
        <v>0</v>
      </c>
      <c r="G106" s="110">
        <v>873.885</v>
      </c>
      <c r="H106" s="110">
        <f t="shared" si="13"/>
        <v>3495.54</v>
      </c>
      <c r="I106" s="109">
        <f t="shared" si="14"/>
        <v>3495.54</v>
      </c>
    </row>
    <row r="107" spans="1:9" ht="27">
      <c r="A107" s="15">
        <f t="shared" si="19"/>
        <v>29</v>
      </c>
      <c r="B107" s="114" t="s">
        <v>48</v>
      </c>
      <c r="C107" s="8" t="s">
        <v>11</v>
      </c>
      <c r="D107" s="82">
        <v>12</v>
      </c>
      <c r="E107" s="110">
        <v>0</v>
      </c>
      <c r="F107" s="110">
        <f t="shared" si="12"/>
        <v>0</v>
      </c>
      <c r="G107" s="110">
        <v>175.88916666666668</v>
      </c>
      <c r="H107" s="110">
        <f t="shared" si="13"/>
        <v>2110.67</v>
      </c>
      <c r="I107" s="109">
        <f t="shared" si="14"/>
        <v>2110.67</v>
      </c>
    </row>
    <row r="108" spans="1:9" ht="41.25">
      <c r="A108" s="15"/>
      <c r="B108" s="114" t="s">
        <v>207</v>
      </c>
      <c r="C108" s="8" t="s">
        <v>11</v>
      </c>
      <c r="D108" s="82">
        <v>90</v>
      </c>
      <c r="E108" s="110">
        <v>0</v>
      </c>
      <c r="F108" s="110">
        <f>D108*E108</f>
        <v>0</v>
      </c>
      <c r="G108" s="110">
        <v>5.956777777777778</v>
      </c>
      <c r="H108" s="110">
        <f>D108*G108</f>
        <v>536.11</v>
      </c>
      <c r="I108" s="109">
        <f>F108+H108</f>
        <v>536.11</v>
      </c>
    </row>
    <row r="109" spans="1:9" ht="13.5">
      <c r="A109" s="15"/>
      <c r="B109" s="114" t="s">
        <v>206</v>
      </c>
      <c r="C109" s="8" t="s">
        <v>11</v>
      </c>
      <c r="D109" s="82">
        <v>58</v>
      </c>
      <c r="E109" s="110">
        <v>0</v>
      </c>
      <c r="F109" s="110">
        <f>D109*E109</f>
        <v>0</v>
      </c>
      <c r="G109" s="110">
        <v>66.37137931034482</v>
      </c>
      <c r="H109" s="110">
        <f>D109*G109</f>
        <v>3849.5399999999995</v>
      </c>
      <c r="I109" s="109">
        <f>F109+H109</f>
        <v>3849.5399999999995</v>
      </c>
    </row>
    <row r="110" spans="1:9" ht="13.5">
      <c r="A110" s="15">
        <f>A107+1</f>
        <v>30</v>
      </c>
      <c r="B110" s="114" t="s">
        <v>49</v>
      </c>
      <c r="C110" s="8" t="s">
        <v>11</v>
      </c>
      <c r="D110" s="82">
        <v>1</v>
      </c>
      <c r="E110" s="110">
        <v>0</v>
      </c>
      <c r="F110" s="110">
        <f t="shared" si="12"/>
        <v>0</v>
      </c>
      <c r="G110" s="110">
        <v>125.01</v>
      </c>
      <c r="H110" s="110">
        <f t="shared" si="13"/>
        <v>125.01</v>
      </c>
      <c r="I110" s="109">
        <f t="shared" si="14"/>
        <v>125.01</v>
      </c>
    </row>
    <row r="111" spans="1:9" s="71" customFormat="1" ht="13.5">
      <c r="A111" s="69">
        <f t="shared" si="19"/>
        <v>31</v>
      </c>
      <c r="B111" s="75" t="s">
        <v>50</v>
      </c>
      <c r="C111" s="70"/>
      <c r="D111" s="82"/>
      <c r="E111" s="110"/>
      <c r="F111" s="110"/>
      <c r="G111" s="110"/>
      <c r="H111" s="110"/>
      <c r="I111" s="111"/>
    </row>
    <row r="112" spans="1:9" s="71" customFormat="1" ht="27">
      <c r="A112" s="69">
        <f t="shared" si="19"/>
        <v>32</v>
      </c>
      <c r="B112" s="115" t="s">
        <v>51</v>
      </c>
      <c r="C112" s="70" t="s">
        <v>11</v>
      </c>
      <c r="D112" s="82">
        <v>3</v>
      </c>
      <c r="E112" s="110">
        <v>2425.384</v>
      </c>
      <c r="F112" s="110">
        <f aca="true" t="shared" si="20" ref="F112:F130">D112*E112</f>
        <v>7276.152</v>
      </c>
      <c r="G112" s="110">
        <v>2373.7580000000003</v>
      </c>
      <c r="H112" s="110">
        <f aca="true" t="shared" si="21" ref="H112:H130">D112*G112</f>
        <v>7121.274000000001</v>
      </c>
      <c r="I112" s="111">
        <f aca="true" t="shared" si="22" ref="I112:I130">F112+H112</f>
        <v>14397.426000000001</v>
      </c>
    </row>
    <row r="113" spans="1:9" ht="13.5">
      <c r="A113" s="15">
        <f t="shared" si="19"/>
        <v>33</v>
      </c>
      <c r="B113" s="41" t="s">
        <v>94</v>
      </c>
      <c r="C113" s="4" t="s">
        <v>11</v>
      </c>
      <c r="D113" s="82">
        <v>3</v>
      </c>
      <c r="E113" s="110">
        <f>E89</f>
        <v>500</v>
      </c>
      <c r="F113" s="110">
        <f t="shared" si="20"/>
        <v>1500</v>
      </c>
      <c r="G113" s="110">
        <v>921.0822222222222</v>
      </c>
      <c r="H113" s="110">
        <f t="shared" si="21"/>
        <v>2763.2466666666664</v>
      </c>
      <c r="I113" s="109">
        <f t="shared" si="22"/>
        <v>4263.246666666666</v>
      </c>
    </row>
    <row r="114" spans="1:9" ht="13.5">
      <c r="A114" s="15">
        <f t="shared" si="19"/>
        <v>34</v>
      </c>
      <c r="B114" s="41" t="s">
        <v>96</v>
      </c>
      <c r="C114" s="4" t="s">
        <v>11</v>
      </c>
      <c r="D114" s="82">
        <v>3</v>
      </c>
      <c r="E114" s="110">
        <f>E113</f>
        <v>500</v>
      </c>
      <c r="F114" s="110">
        <f t="shared" si="20"/>
        <v>1500</v>
      </c>
      <c r="G114" s="110">
        <v>622.5722222222222</v>
      </c>
      <c r="H114" s="110">
        <f t="shared" si="21"/>
        <v>1867.7166666666667</v>
      </c>
      <c r="I114" s="109">
        <f t="shared" si="22"/>
        <v>3367.7166666666667</v>
      </c>
    </row>
    <row r="115" spans="1:9" ht="13.5">
      <c r="A115" s="15">
        <f t="shared" si="19"/>
        <v>35</v>
      </c>
      <c r="B115" s="41" t="s">
        <v>95</v>
      </c>
      <c r="C115" s="4" t="s">
        <v>11</v>
      </c>
      <c r="D115" s="82">
        <v>9</v>
      </c>
      <c r="E115" s="110">
        <f>E114</f>
        <v>500</v>
      </c>
      <c r="F115" s="110">
        <f t="shared" si="20"/>
        <v>4500</v>
      </c>
      <c r="G115" s="110">
        <v>282.842222222222</v>
      </c>
      <c r="H115" s="110">
        <f t="shared" si="21"/>
        <v>2545.579999999998</v>
      </c>
      <c r="I115" s="109">
        <f t="shared" si="22"/>
        <v>7045.579999999998</v>
      </c>
    </row>
    <row r="116" spans="1:9" s="71" customFormat="1" ht="13.5">
      <c r="A116" s="69">
        <f t="shared" si="19"/>
        <v>36</v>
      </c>
      <c r="B116" s="72" t="s">
        <v>97</v>
      </c>
      <c r="C116" s="70" t="s">
        <v>11</v>
      </c>
      <c r="D116" s="82">
        <v>3</v>
      </c>
      <c r="E116" s="110">
        <f>E90</f>
        <v>500</v>
      </c>
      <c r="F116" s="110">
        <f t="shared" si="20"/>
        <v>1500</v>
      </c>
      <c r="G116" s="110">
        <f>G90</f>
        <v>985.021666666667</v>
      </c>
      <c r="H116" s="110">
        <f t="shared" si="21"/>
        <v>2955.065000000001</v>
      </c>
      <c r="I116" s="111">
        <f t="shared" si="22"/>
        <v>4455.0650000000005</v>
      </c>
    </row>
    <row r="117" spans="1:9" s="71" customFormat="1" ht="27">
      <c r="A117" s="69">
        <f t="shared" si="19"/>
        <v>37</v>
      </c>
      <c r="B117" s="72" t="s">
        <v>52</v>
      </c>
      <c r="C117" s="70" t="s">
        <v>11</v>
      </c>
      <c r="D117" s="82">
        <v>3</v>
      </c>
      <c r="E117" s="110">
        <f>E91</f>
        <v>300</v>
      </c>
      <c r="F117" s="110">
        <f t="shared" si="20"/>
        <v>900</v>
      </c>
      <c r="G117" s="110">
        <f>G91</f>
        <v>265.72</v>
      </c>
      <c r="H117" s="110">
        <f t="shared" si="21"/>
        <v>797.1600000000001</v>
      </c>
      <c r="I117" s="111">
        <f t="shared" si="22"/>
        <v>1697.16</v>
      </c>
    </row>
    <row r="118" spans="1:9" ht="13.5">
      <c r="A118" s="15">
        <f t="shared" si="19"/>
        <v>38</v>
      </c>
      <c r="B118" s="72" t="s">
        <v>53</v>
      </c>
      <c r="C118" s="4" t="s">
        <v>17</v>
      </c>
      <c r="D118" s="82">
        <v>60</v>
      </c>
      <c r="E118" s="110">
        <v>150</v>
      </c>
      <c r="F118" s="110">
        <f t="shared" si="20"/>
        <v>9000</v>
      </c>
      <c r="G118" s="110">
        <v>52.5706666666667</v>
      </c>
      <c r="H118" s="110">
        <f t="shared" si="21"/>
        <v>3154.240000000002</v>
      </c>
      <c r="I118" s="109">
        <f t="shared" si="22"/>
        <v>12154.240000000002</v>
      </c>
    </row>
    <row r="119" spans="1:9" s="71" customFormat="1" ht="27">
      <c r="A119" s="69">
        <f t="shared" si="19"/>
        <v>39</v>
      </c>
      <c r="B119" s="112" t="s">
        <v>30</v>
      </c>
      <c r="C119" s="70" t="s">
        <v>16</v>
      </c>
      <c r="D119" s="82">
        <v>10</v>
      </c>
      <c r="E119" s="110">
        <v>0</v>
      </c>
      <c r="F119" s="110">
        <f t="shared" si="20"/>
        <v>0</v>
      </c>
      <c r="G119" s="110">
        <f>G83</f>
        <v>42.42166666666667</v>
      </c>
      <c r="H119" s="110">
        <f t="shared" si="21"/>
        <v>424.2166666666667</v>
      </c>
      <c r="I119" s="111">
        <f t="shared" si="22"/>
        <v>424.2166666666667</v>
      </c>
    </row>
    <row r="120" spans="1:9" s="71" customFormat="1" ht="27">
      <c r="A120" s="69">
        <f t="shared" si="19"/>
        <v>40</v>
      </c>
      <c r="B120" s="112" t="s">
        <v>31</v>
      </c>
      <c r="C120" s="70" t="s">
        <v>16</v>
      </c>
      <c r="D120" s="82">
        <v>10</v>
      </c>
      <c r="E120" s="110">
        <v>0</v>
      </c>
      <c r="F120" s="110">
        <f t="shared" si="20"/>
        <v>0</v>
      </c>
      <c r="G120" s="110">
        <f>G84</f>
        <v>42.42166666666667</v>
      </c>
      <c r="H120" s="110">
        <f t="shared" si="21"/>
        <v>424.2166666666667</v>
      </c>
      <c r="I120" s="111">
        <f t="shared" si="22"/>
        <v>424.2166666666667</v>
      </c>
    </row>
    <row r="121" spans="1:9" s="71" customFormat="1" ht="27">
      <c r="A121" s="69">
        <f t="shared" si="19"/>
        <v>41</v>
      </c>
      <c r="B121" s="112" t="s">
        <v>32</v>
      </c>
      <c r="C121" s="70" t="s">
        <v>16</v>
      </c>
      <c r="D121" s="82">
        <v>10</v>
      </c>
      <c r="E121" s="110">
        <v>0</v>
      </c>
      <c r="F121" s="110">
        <f t="shared" si="20"/>
        <v>0</v>
      </c>
      <c r="G121" s="110">
        <f>G85</f>
        <v>42.36083333333333</v>
      </c>
      <c r="H121" s="110">
        <f t="shared" si="21"/>
        <v>423.60833333333335</v>
      </c>
      <c r="I121" s="111">
        <f t="shared" si="22"/>
        <v>423.60833333333335</v>
      </c>
    </row>
    <row r="122" spans="1:9" s="71" customFormat="1" ht="27">
      <c r="A122" s="69">
        <f t="shared" si="19"/>
        <v>42</v>
      </c>
      <c r="B122" s="112" t="s">
        <v>35</v>
      </c>
      <c r="C122" s="70" t="s">
        <v>11</v>
      </c>
      <c r="D122" s="82">
        <v>20</v>
      </c>
      <c r="E122" s="110">
        <v>0</v>
      </c>
      <c r="F122" s="110">
        <f t="shared" si="20"/>
        <v>0</v>
      </c>
      <c r="G122" s="110">
        <f>G94</f>
        <v>5.698333333333334</v>
      </c>
      <c r="H122" s="110">
        <f t="shared" si="21"/>
        <v>113.96666666666668</v>
      </c>
      <c r="I122" s="111">
        <f t="shared" si="22"/>
        <v>113.96666666666668</v>
      </c>
    </row>
    <row r="123" spans="1:9" ht="27">
      <c r="A123" s="15">
        <f t="shared" si="19"/>
        <v>43</v>
      </c>
      <c r="B123" s="112" t="s">
        <v>54</v>
      </c>
      <c r="C123" s="8" t="s">
        <v>11</v>
      </c>
      <c r="D123" s="82">
        <v>3</v>
      </c>
      <c r="E123" s="110">
        <v>0</v>
      </c>
      <c r="F123" s="110">
        <f t="shared" si="20"/>
        <v>0</v>
      </c>
      <c r="G123" s="110">
        <v>251.01</v>
      </c>
      <c r="H123" s="110">
        <f t="shared" si="21"/>
        <v>753.03</v>
      </c>
      <c r="I123" s="109">
        <f t="shared" si="22"/>
        <v>753.03</v>
      </c>
    </row>
    <row r="124" spans="1:9" ht="27">
      <c r="A124" s="15">
        <f t="shared" si="19"/>
        <v>44</v>
      </c>
      <c r="B124" s="112" t="s">
        <v>55</v>
      </c>
      <c r="C124" s="8" t="s">
        <v>11</v>
      </c>
      <c r="D124" s="82">
        <v>3</v>
      </c>
      <c r="E124" s="110">
        <v>0</v>
      </c>
      <c r="F124" s="110">
        <f t="shared" si="20"/>
        <v>0</v>
      </c>
      <c r="G124" s="110">
        <v>251.01</v>
      </c>
      <c r="H124" s="110">
        <f t="shared" si="21"/>
        <v>753.03</v>
      </c>
      <c r="I124" s="109">
        <f t="shared" si="22"/>
        <v>753.03</v>
      </c>
    </row>
    <row r="125" spans="1:9" s="71" customFormat="1" ht="27">
      <c r="A125" s="69">
        <f t="shared" si="19"/>
        <v>45</v>
      </c>
      <c r="B125" s="112" t="s">
        <v>56</v>
      </c>
      <c r="C125" s="70" t="s">
        <v>11</v>
      </c>
      <c r="D125" s="82">
        <v>3</v>
      </c>
      <c r="E125" s="110">
        <v>0</v>
      </c>
      <c r="F125" s="110">
        <f t="shared" si="20"/>
        <v>0</v>
      </c>
      <c r="G125" s="110">
        <f>G81</f>
        <v>1067</v>
      </c>
      <c r="H125" s="110">
        <f t="shared" si="21"/>
        <v>3201</v>
      </c>
      <c r="I125" s="111">
        <f t="shared" si="22"/>
        <v>3201</v>
      </c>
    </row>
    <row r="126" spans="1:9" ht="27">
      <c r="A126" s="15">
        <f t="shared" si="19"/>
        <v>46</v>
      </c>
      <c r="B126" s="72" t="s">
        <v>57</v>
      </c>
      <c r="C126" s="4" t="s">
        <v>17</v>
      </c>
      <c r="D126" s="82">
        <v>144</v>
      </c>
      <c r="E126" s="110">
        <f>150*1.1</f>
        <v>165</v>
      </c>
      <c r="F126" s="110">
        <f t="shared" si="20"/>
        <v>23760</v>
      </c>
      <c r="G126" s="110">
        <v>254.214236111111</v>
      </c>
      <c r="H126" s="110">
        <f t="shared" si="21"/>
        <v>36606.849999999984</v>
      </c>
      <c r="I126" s="109">
        <f t="shared" si="22"/>
        <v>60366.849999999984</v>
      </c>
    </row>
    <row r="127" spans="1:9" ht="27">
      <c r="A127" s="15">
        <f t="shared" si="19"/>
        <v>47</v>
      </c>
      <c r="B127" s="125" t="s">
        <v>58</v>
      </c>
      <c r="C127" s="4" t="s">
        <v>11</v>
      </c>
      <c r="D127" s="82">
        <v>280</v>
      </c>
      <c r="E127" s="110">
        <v>0</v>
      </c>
      <c r="F127" s="110">
        <f t="shared" si="20"/>
        <v>0</v>
      </c>
      <c r="G127" s="110">
        <v>22.41</v>
      </c>
      <c r="H127" s="110">
        <f t="shared" si="21"/>
        <v>6274.8</v>
      </c>
      <c r="I127" s="109">
        <f t="shared" si="22"/>
        <v>6274.8</v>
      </c>
    </row>
    <row r="128" spans="1:9" ht="27">
      <c r="A128" s="15">
        <f t="shared" si="19"/>
        <v>48</v>
      </c>
      <c r="B128" s="125" t="s">
        <v>59</v>
      </c>
      <c r="C128" s="4" t="s">
        <v>11</v>
      </c>
      <c r="D128" s="82">
        <v>80</v>
      </c>
      <c r="E128" s="110">
        <v>0</v>
      </c>
      <c r="F128" s="110">
        <f t="shared" si="20"/>
        <v>0</v>
      </c>
      <c r="G128" s="110">
        <v>21.02</v>
      </c>
      <c r="H128" s="110">
        <f t="shared" si="21"/>
        <v>1681.6</v>
      </c>
      <c r="I128" s="109">
        <f t="shared" si="22"/>
        <v>1681.6</v>
      </c>
    </row>
    <row r="129" spans="1:9" ht="13.5">
      <c r="A129" s="15">
        <f t="shared" si="19"/>
        <v>49</v>
      </c>
      <c r="B129" s="72" t="s">
        <v>60</v>
      </c>
      <c r="C129" s="4" t="s">
        <v>61</v>
      </c>
      <c r="D129" s="82">
        <v>25</v>
      </c>
      <c r="E129" s="110">
        <v>500</v>
      </c>
      <c r="F129" s="110">
        <f t="shared" si="20"/>
        <v>12500</v>
      </c>
      <c r="G129" s="110">
        <v>0</v>
      </c>
      <c r="H129" s="110">
        <f t="shared" si="21"/>
        <v>0</v>
      </c>
      <c r="I129" s="109">
        <f t="shared" si="22"/>
        <v>12500</v>
      </c>
    </row>
    <row r="130" spans="1:9" ht="13.5">
      <c r="A130" s="15">
        <f t="shared" si="19"/>
        <v>50</v>
      </c>
      <c r="B130" s="24" t="s">
        <v>62</v>
      </c>
      <c r="C130" s="4" t="s">
        <v>61</v>
      </c>
      <c r="D130" s="82">
        <v>25</v>
      </c>
      <c r="E130" s="110">
        <v>500</v>
      </c>
      <c r="F130" s="110">
        <f t="shared" si="20"/>
        <v>12500</v>
      </c>
      <c r="G130" s="110">
        <v>0</v>
      </c>
      <c r="H130" s="110">
        <f t="shared" si="21"/>
        <v>0</v>
      </c>
      <c r="I130" s="109">
        <f t="shared" si="22"/>
        <v>12500</v>
      </c>
    </row>
    <row r="131" spans="1:9" ht="13.5">
      <c r="A131" s="15"/>
      <c r="B131" s="18"/>
      <c r="C131" s="4"/>
      <c r="D131" s="94"/>
      <c r="E131" s="190"/>
      <c r="F131" s="147"/>
      <c r="G131" s="147"/>
      <c r="H131" s="147" t="s">
        <v>213</v>
      </c>
      <c r="I131" s="89">
        <f>SUM(H78:H130)</f>
        <v>211024.0706665012</v>
      </c>
    </row>
    <row r="132" spans="1:9" ht="13.5">
      <c r="A132" s="15"/>
      <c r="B132" s="18"/>
      <c r="C132" s="4"/>
      <c r="D132" s="94"/>
      <c r="E132" s="106"/>
      <c r="F132" s="147"/>
      <c r="G132" s="147"/>
      <c r="H132" s="147" t="s">
        <v>214</v>
      </c>
      <c r="I132" s="89">
        <f>SUM(F78:F130)</f>
        <v>112815.4894117647</v>
      </c>
    </row>
    <row r="133" spans="1:9" ht="13.5">
      <c r="A133" s="15"/>
      <c r="B133" s="13"/>
      <c r="C133" s="4"/>
      <c r="D133" s="94"/>
      <c r="E133" s="164"/>
      <c r="F133" s="89"/>
      <c r="G133" s="89"/>
      <c r="H133" s="89" t="s">
        <v>215</v>
      </c>
      <c r="I133" s="147">
        <f>I79+I88+I89+I90+I91+I92+I93+I80+I81+I82+I83+I84+I85+I86+I87+I94+I95+I96+I97+I98+I99+I100+I101+I102+I103+I104+I105+I106+I107+I108+I109+I110+I130+I129+I128+I127+I126+I125+I124+I123+I122+I121+I120+I119+I118+I117+I116+I115+I114+I113+I112</f>
        <v>323839.56007826596</v>
      </c>
    </row>
    <row r="134" spans="1:9" ht="12.75">
      <c r="A134" s="52"/>
      <c r="B134" s="52" t="s">
        <v>82</v>
      </c>
      <c r="C134" s="53"/>
      <c r="D134" s="53"/>
      <c r="E134" s="53"/>
      <c r="F134" s="53"/>
      <c r="G134" s="53"/>
      <c r="H134" s="53"/>
      <c r="I134" s="53"/>
    </row>
    <row r="135" spans="1:9" ht="69">
      <c r="A135" s="31">
        <v>1</v>
      </c>
      <c r="B135" s="18" t="s">
        <v>155</v>
      </c>
      <c r="C135" s="4" t="s">
        <v>11</v>
      </c>
      <c r="D135" s="78" t="s">
        <v>154</v>
      </c>
      <c r="E135" s="168">
        <v>1126.1767499999999</v>
      </c>
      <c r="F135" s="130">
        <f>120*E135</f>
        <v>135141.21</v>
      </c>
      <c r="G135" s="194">
        <v>1080.7469166666665</v>
      </c>
      <c r="H135" s="116">
        <f>120*G135</f>
        <v>129689.62999999998</v>
      </c>
      <c r="I135" s="129">
        <f>F135+H135</f>
        <v>264830.83999999997</v>
      </c>
    </row>
    <row r="136" spans="1:9" ht="27">
      <c r="A136" s="31">
        <v>2</v>
      </c>
      <c r="B136" s="18" t="s">
        <v>156</v>
      </c>
      <c r="C136" s="4" t="s">
        <v>11</v>
      </c>
      <c r="D136" s="80">
        <v>119</v>
      </c>
      <c r="E136" s="168">
        <v>126.07285714285713</v>
      </c>
      <c r="F136" s="168">
        <f aca="true" t="shared" si="23" ref="F136:F145">D136*E136</f>
        <v>15002.669999999998</v>
      </c>
      <c r="G136" s="194">
        <v>398.57142857142856</v>
      </c>
      <c r="H136" s="117">
        <f aca="true" t="shared" si="24" ref="H136:H144">D136*G136</f>
        <v>47430</v>
      </c>
      <c r="I136" s="130">
        <f aca="true" t="shared" si="25" ref="I136:I145">F136+H136</f>
        <v>62432.67</v>
      </c>
    </row>
    <row r="137" spans="1:9" ht="54.75">
      <c r="A137" s="32">
        <v>3</v>
      </c>
      <c r="B137" s="18" t="s">
        <v>71</v>
      </c>
      <c r="C137" s="4" t="s">
        <v>15</v>
      </c>
      <c r="D137" s="79" t="s">
        <v>157</v>
      </c>
      <c r="E137" s="195">
        <f>104*1.01</f>
        <v>105.04</v>
      </c>
      <c r="F137" s="168">
        <f>700*E137</f>
        <v>73528</v>
      </c>
      <c r="G137" s="168">
        <v>104.49741428571429</v>
      </c>
      <c r="H137" s="118">
        <f>700*G137</f>
        <v>73148.19</v>
      </c>
      <c r="I137" s="130">
        <f t="shared" si="25"/>
        <v>146676.19</v>
      </c>
    </row>
    <row r="138" spans="1:9" ht="54.75">
      <c r="A138" s="32">
        <v>4</v>
      </c>
      <c r="B138" s="36" t="s">
        <v>72</v>
      </c>
      <c r="C138" s="35" t="s">
        <v>15</v>
      </c>
      <c r="D138" s="79" t="s">
        <v>121</v>
      </c>
      <c r="E138" s="195">
        <f>110*1.1</f>
        <v>121.00000000000001</v>
      </c>
      <c r="F138" s="168">
        <f>350*E138</f>
        <v>42350.00000000001</v>
      </c>
      <c r="G138" s="168">
        <v>126.8363142857143</v>
      </c>
      <c r="H138" s="118">
        <f>350*G138</f>
        <v>44392.71000000001</v>
      </c>
      <c r="I138" s="130">
        <f t="shared" si="25"/>
        <v>86742.71000000002</v>
      </c>
    </row>
    <row r="139" spans="1:9" ht="27">
      <c r="A139" s="32">
        <v>5</v>
      </c>
      <c r="B139" s="126" t="s">
        <v>73</v>
      </c>
      <c r="C139" s="4" t="s">
        <v>11</v>
      </c>
      <c r="D139" s="235">
        <v>950</v>
      </c>
      <c r="E139" s="195">
        <v>0</v>
      </c>
      <c r="F139" s="168">
        <f t="shared" si="23"/>
        <v>0</v>
      </c>
      <c r="G139" s="168">
        <v>2.82</v>
      </c>
      <c r="H139" s="118">
        <f t="shared" si="24"/>
        <v>2679</v>
      </c>
      <c r="I139" s="130">
        <f t="shared" si="25"/>
        <v>2679</v>
      </c>
    </row>
    <row r="140" spans="1:9" ht="27">
      <c r="A140" s="32">
        <v>6</v>
      </c>
      <c r="B140" s="95" t="s">
        <v>74</v>
      </c>
      <c r="C140" s="4" t="s">
        <v>44</v>
      </c>
      <c r="D140" s="79">
        <v>600</v>
      </c>
      <c r="E140" s="168">
        <v>0</v>
      </c>
      <c r="F140" s="168">
        <f t="shared" si="23"/>
        <v>0</v>
      </c>
      <c r="G140" s="168">
        <v>1.17</v>
      </c>
      <c r="H140" s="118">
        <f t="shared" si="24"/>
        <v>702</v>
      </c>
      <c r="I140" s="130">
        <f t="shared" si="25"/>
        <v>702</v>
      </c>
    </row>
    <row r="141" spans="1:9" ht="27">
      <c r="A141" s="32">
        <v>7</v>
      </c>
      <c r="B141" s="127" t="s">
        <v>75</v>
      </c>
      <c r="C141" s="38" t="s">
        <v>11</v>
      </c>
      <c r="D141" s="77">
        <v>24</v>
      </c>
      <c r="E141" s="168">
        <v>0</v>
      </c>
      <c r="F141" s="168">
        <f t="shared" si="23"/>
        <v>0</v>
      </c>
      <c r="G141" s="168">
        <v>77.23</v>
      </c>
      <c r="H141" s="118">
        <f t="shared" si="24"/>
        <v>1853.52</v>
      </c>
      <c r="I141" s="130">
        <f t="shared" si="25"/>
        <v>1853.52</v>
      </c>
    </row>
    <row r="142" spans="1:9" ht="13.5">
      <c r="A142" s="32">
        <v>8</v>
      </c>
      <c r="B142" s="128" t="s">
        <v>76</v>
      </c>
      <c r="C142" s="35" t="s">
        <v>11</v>
      </c>
      <c r="D142" s="77">
        <v>150</v>
      </c>
      <c r="E142" s="168">
        <v>0</v>
      </c>
      <c r="F142" s="168">
        <f t="shared" si="23"/>
        <v>0</v>
      </c>
      <c r="G142" s="168">
        <v>70.38</v>
      </c>
      <c r="H142" s="118">
        <f t="shared" si="24"/>
        <v>10557</v>
      </c>
      <c r="I142" s="130">
        <f t="shared" si="25"/>
        <v>10557</v>
      </c>
    </row>
    <row r="143" spans="1:9" ht="27">
      <c r="A143" s="33">
        <v>9</v>
      </c>
      <c r="B143" s="22" t="s">
        <v>158</v>
      </c>
      <c r="C143" s="35" t="s">
        <v>11</v>
      </c>
      <c r="D143" s="80">
        <v>24</v>
      </c>
      <c r="E143" s="195">
        <v>320</v>
      </c>
      <c r="F143" s="168">
        <f t="shared" si="23"/>
        <v>7680</v>
      </c>
      <c r="G143" s="168">
        <v>198.18666666666667</v>
      </c>
      <c r="H143" s="118">
        <f t="shared" si="24"/>
        <v>4756.48</v>
      </c>
      <c r="I143" s="130">
        <f t="shared" si="25"/>
        <v>12436.48</v>
      </c>
    </row>
    <row r="144" spans="1:9" ht="27">
      <c r="A144" s="32">
        <v>10</v>
      </c>
      <c r="B144" s="126" t="s">
        <v>77</v>
      </c>
      <c r="C144" s="35" t="s">
        <v>11</v>
      </c>
      <c r="D144" s="79">
        <v>240</v>
      </c>
      <c r="E144" s="195">
        <v>0</v>
      </c>
      <c r="F144" s="168">
        <f t="shared" si="23"/>
        <v>0</v>
      </c>
      <c r="G144" s="168">
        <v>21.03</v>
      </c>
      <c r="H144" s="118">
        <f t="shared" si="24"/>
        <v>5047.200000000001</v>
      </c>
      <c r="I144" s="130">
        <f t="shared" si="25"/>
        <v>5047.200000000001</v>
      </c>
    </row>
    <row r="145" spans="1:9" ht="27">
      <c r="A145" s="33">
        <v>11</v>
      </c>
      <c r="B145" s="126" t="s">
        <v>86</v>
      </c>
      <c r="C145" s="35" t="s">
        <v>11</v>
      </c>
      <c r="D145" s="81">
        <v>1</v>
      </c>
      <c r="E145" s="119">
        <v>0</v>
      </c>
      <c r="F145" s="120">
        <f t="shared" si="23"/>
        <v>0</v>
      </c>
      <c r="G145" s="120">
        <v>0</v>
      </c>
      <c r="H145" s="121">
        <v>284.25</v>
      </c>
      <c r="I145" s="131">
        <f t="shared" si="25"/>
        <v>284.25</v>
      </c>
    </row>
    <row r="146" spans="1:9" ht="13.5">
      <c r="A146" s="15"/>
      <c r="B146" s="18"/>
      <c r="C146" s="4"/>
      <c r="D146" s="94"/>
      <c r="E146" s="190"/>
      <c r="F146" s="147"/>
      <c r="G146" s="147"/>
      <c r="H146" s="147" t="s">
        <v>213</v>
      </c>
      <c r="I146" s="89">
        <f>SUM(H135:H145)</f>
        <v>320539.98</v>
      </c>
    </row>
    <row r="147" spans="1:9" ht="13.5">
      <c r="A147" s="15"/>
      <c r="B147" s="18"/>
      <c r="C147" s="4"/>
      <c r="D147" s="94"/>
      <c r="E147" s="106"/>
      <c r="F147" s="147"/>
      <c r="G147" s="147"/>
      <c r="H147" s="147" t="s">
        <v>214</v>
      </c>
      <c r="I147" s="89">
        <f>SUM(F135:F145)</f>
        <v>273701.88</v>
      </c>
    </row>
    <row r="148" spans="1:9" ht="13.5">
      <c r="A148" s="15"/>
      <c r="B148" s="13"/>
      <c r="C148" s="4"/>
      <c r="D148" s="94"/>
      <c r="E148" s="164"/>
      <c r="F148" s="89"/>
      <c r="G148" s="89"/>
      <c r="H148" s="89" t="s">
        <v>215</v>
      </c>
      <c r="I148" s="147">
        <f>I145+I144+I143+I142+I141+I140+I139+I138+I137+I136+I135</f>
        <v>594241.86</v>
      </c>
    </row>
    <row r="149" spans="1:9" ht="12.75">
      <c r="A149" s="52"/>
      <c r="B149" s="53" t="s">
        <v>83</v>
      </c>
      <c r="C149" s="53"/>
      <c r="D149" s="53"/>
      <c r="E149" s="53"/>
      <c r="F149" s="53"/>
      <c r="G149" s="53"/>
      <c r="H149" s="53"/>
      <c r="I149" s="53"/>
    </row>
    <row r="150" spans="1:9" ht="27">
      <c r="A150" s="34">
        <v>1</v>
      </c>
      <c r="B150" s="37" t="s">
        <v>78</v>
      </c>
      <c r="C150" s="150" t="s">
        <v>11</v>
      </c>
      <c r="D150" s="77">
        <v>5</v>
      </c>
      <c r="E150" s="196">
        <v>309.46799999999996</v>
      </c>
      <c r="F150" s="197">
        <f>D150*E150</f>
        <v>1547.3399999999997</v>
      </c>
      <c r="G150" s="197">
        <v>417.934</v>
      </c>
      <c r="H150" s="122">
        <f>D150*G150</f>
        <v>2089.67</v>
      </c>
      <c r="I150" s="123">
        <f>F150+H150</f>
        <v>3637.0099999999998</v>
      </c>
    </row>
    <row r="151" spans="1:9" ht="54.75">
      <c r="A151" s="32">
        <v>2</v>
      </c>
      <c r="B151" s="18" t="s">
        <v>72</v>
      </c>
      <c r="C151" s="70" t="s">
        <v>15</v>
      </c>
      <c r="D151" s="78">
        <v>240</v>
      </c>
      <c r="E151" s="198">
        <f>E138</f>
        <v>121.00000000000001</v>
      </c>
      <c r="F151" s="199">
        <f>D151*E151</f>
        <v>29040.000000000004</v>
      </c>
      <c r="G151" s="199">
        <v>128.17841666666666</v>
      </c>
      <c r="H151" s="124">
        <f>D151*G151</f>
        <v>30762.82</v>
      </c>
      <c r="I151" s="103">
        <f>F151+H151</f>
        <v>59802.82000000001</v>
      </c>
    </row>
    <row r="152" spans="1:9" ht="27">
      <c r="A152" s="32">
        <v>3</v>
      </c>
      <c r="B152" s="95" t="s">
        <v>79</v>
      </c>
      <c r="C152" s="200" t="s">
        <v>11</v>
      </c>
      <c r="D152" s="79">
        <v>10</v>
      </c>
      <c r="E152" s="198">
        <v>0</v>
      </c>
      <c r="F152" s="199">
        <f>D152*E152</f>
        <v>0</v>
      </c>
      <c r="G152" s="199">
        <v>85.721</v>
      </c>
      <c r="H152" s="124">
        <f>D152*G152</f>
        <v>857.21</v>
      </c>
      <c r="I152" s="103">
        <f>F152+H152</f>
        <v>857.21</v>
      </c>
    </row>
    <row r="153" spans="1:9" ht="13.5">
      <c r="A153" s="32">
        <v>4</v>
      </c>
      <c r="B153" s="132" t="s">
        <v>80</v>
      </c>
      <c r="C153" s="200" t="s">
        <v>11</v>
      </c>
      <c r="D153" s="79">
        <v>100</v>
      </c>
      <c r="E153" s="198">
        <v>0</v>
      </c>
      <c r="F153" s="199">
        <f>D153*E153</f>
        <v>0</v>
      </c>
      <c r="G153" s="199">
        <v>35.6388</v>
      </c>
      <c r="H153" s="124">
        <f>D153*G153</f>
        <v>3563.88</v>
      </c>
      <c r="I153" s="103">
        <f>F153+H153</f>
        <v>3563.88</v>
      </c>
    </row>
    <row r="154" spans="1:9" ht="27">
      <c r="A154" s="32">
        <v>5</v>
      </c>
      <c r="B154" s="126" t="s">
        <v>81</v>
      </c>
      <c r="C154" s="200" t="s">
        <v>11</v>
      </c>
      <c r="D154" s="79">
        <v>600</v>
      </c>
      <c r="E154" s="198">
        <v>0</v>
      </c>
      <c r="F154" s="199">
        <f>D154*E154</f>
        <v>0</v>
      </c>
      <c r="G154" s="199">
        <v>3.2640000000000002</v>
      </c>
      <c r="H154" s="124">
        <f>D154*G154</f>
        <v>1958.4</v>
      </c>
      <c r="I154" s="103">
        <f>F154+H154</f>
        <v>1958.4</v>
      </c>
    </row>
    <row r="155" spans="1:9" ht="13.5">
      <c r="A155" s="15"/>
      <c r="B155" s="18"/>
      <c r="C155" s="4"/>
      <c r="D155" s="94"/>
      <c r="E155" s="190"/>
      <c r="F155" s="147"/>
      <c r="G155" s="147"/>
      <c r="H155" s="147" t="s">
        <v>213</v>
      </c>
      <c r="I155" s="89">
        <f>SUM(H150:H154)</f>
        <v>39231.979999999996</v>
      </c>
    </row>
    <row r="156" spans="1:9" ht="13.5">
      <c r="A156" s="15"/>
      <c r="B156" s="18"/>
      <c r="C156" s="4"/>
      <c r="D156" s="94"/>
      <c r="E156" s="106"/>
      <c r="F156" s="147"/>
      <c r="G156" s="147"/>
      <c r="H156" s="147" t="s">
        <v>214</v>
      </c>
      <c r="I156" s="89">
        <f>SUM(F150:F154)</f>
        <v>30587.340000000004</v>
      </c>
    </row>
    <row r="157" spans="1:9" ht="13.5">
      <c r="A157" s="15"/>
      <c r="B157" s="13"/>
      <c r="C157" s="4"/>
      <c r="D157" s="94"/>
      <c r="E157" s="164"/>
      <c r="F157" s="89"/>
      <c r="G157" s="89"/>
      <c r="H157" s="89" t="s">
        <v>215</v>
      </c>
      <c r="I157" s="147">
        <f>I150+I151+I152+I153+I154</f>
        <v>69819.32</v>
      </c>
    </row>
    <row r="158" spans="1:9" ht="12.75">
      <c r="A158" s="54" t="s">
        <v>87</v>
      </c>
      <c r="B158" s="55"/>
      <c r="C158" s="55"/>
      <c r="D158" s="55"/>
      <c r="E158" s="55"/>
      <c r="F158" s="55"/>
      <c r="G158" s="55"/>
      <c r="H158" s="55"/>
      <c r="I158" s="55"/>
    </row>
    <row r="159" spans="1:9" ht="13.5">
      <c r="A159" s="15">
        <v>1</v>
      </c>
      <c r="B159" s="24" t="s">
        <v>63</v>
      </c>
      <c r="C159" s="4" t="s">
        <v>16</v>
      </c>
      <c r="D159" s="235">
        <v>30</v>
      </c>
      <c r="E159" s="190">
        <v>178.42000000000002</v>
      </c>
      <c r="F159" s="190">
        <f>D159*E159</f>
        <v>5352.6</v>
      </c>
      <c r="G159" s="190">
        <v>115.086</v>
      </c>
      <c r="H159" s="190">
        <f>D159*G159</f>
        <v>3452.58</v>
      </c>
      <c r="I159" s="191">
        <f>F159+H159</f>
        <v>8805.18</v>
      </c>
    </row>
    <row r="160" spans="1:9" ht="27">
      <c r="A160" s="15">
        <v>2</v>
      </c>
      <c r="B160" s="133" t="s">
        <v>64</v>
      </c>
      <c r="C160" s="4" t="s">
        <v>11</v>
      </c>
      <c r="D160" s="235">
        <v>40</v>
      </c>
      <c r="E160" s="190">
        <v>0</v>
      </c>
      <c r="F160" s="190">
        <f>D160*E160</f>
        <v>0</v>
      </c>
      <c r="G160" s="190">
        <v>2.5805</v>
      </c>
      <c r="H160" s="190">
        <f>D160*G160</f>
        <v>103.22</v>
      </c>
      <c r="I160" s="191">
        <f>F160+H160</f>
        <v>103.22</v>
      </c>
    </row>
    <row r="161" spans="1:9" ht="13.5">
      <c r="A161" s="15"/>
      <c r="B161" s="133" t="s">
        <v>208</v>
      </c>
      <c r="C161" s="4" t="s">
        <v>11</v>
      </c>
      <c r="D161" s="235">
        <v>8</v>
      </c>
      <c r="E161" s="190">
        <v>0</v>
      </c>
      <c r="F161" s="190">
        <f>D161*E161</f>
        <v>0</v>
      </c>
      <c r="G161" s="190">
        <v>16.62625</v>
      </c>
      <c r="H161" s="190">
        <f>D161*G161</f>
        <v>133.01</v>
      </c>
      <c r="I161" s="191">
        <f>F161+H161</f>
        <v>133.01</v>
      </c>
    </row>
    <row r="162" spans="1:9" ht="27">
      <c r="A162" s="15"/>
      <c r="B162" s="133" t="s">
        <v>209</v>
      </c>
      <c r="C162" s="4" t="s">
        <v>11</v>
      </c>
      <c r="D162" s="235">
        <v>16</v>
      </c>
      <c r="E162" s="190">
        <v>0</v>
      </c>
      <c r="F162" s="190">
        <f>D162*E162</f>
        <v>0</v>
      </c>
      <c r="G162" s="190">
        <v>2.6625</v>
      </c>
      <c r="H162" s="190">
        <f>D162*G162</f>
        <v>42.6</v>
      </c>
      <c r="I162" s="191">
        <f>F162+H162</f>
        <v>42.6</v>
      </c>
    </row>
    <row r="163" spans="1:9" ht="41.25">
      <c r="A163" s="15">
        <v>3</v>
      </c>
      <c r="B163" s="28" t="s">
        <v>210</v>
      </c>
      <c r="C163" s="4" t="s">
        <v>10</v>
      </c>
      <c r="D163" s="235">
        <v>2</v>
      </c>
      <c r="E163" s="190">
        <f>E38</f>
        <v>40.59238095238096</v>
      </c>
      <c r="F163" s="190">
        <f>D163*E163</f>
        <v>81.18476190476191</v>
      </c>
      <c r="G163" s="190">
        <f>G71</f>
        <v>147.68685714285715</v>
      </c>
      <c r="H163" s="190">
        <f>D163*G163</f>
        <v>295.3737142857143</v>
      </c>
      <c r="I163" s="191">
        <f>F163+H163</f>
        <v>376.5584761904762</v>
      </c>
    </row>
    <row r="164" spans="1:9" ht="13.5">
      <c r="A164" s="15"/>
      <c r="B164" s="18"/>
      <c r="C164" s="4"/>
      <c r="D164" s="94"/>
      <c r="E164" s="190"/>
      <c r="F164" s="147"/>
      <c r="G164" s="147"/>
      <c r="H164" s="147" t="s">
        <v>213</v>
      </c>
      <c r="I164" s="147">
        <f>SUM(H159:H163)</f>
        <v>4026.783714285714</v>
      </c>
    </row>
    <row r="165" spans="1:9" ht="13.5">
      <c r="A165" s="15"/>
      <c r="B165" s="18"/>
      <c r="C165" s="4"/>
      <c r="D165" s="94"/>
      <c r="E165" s="106"/>
      <c r="F165" s="147"/>
      <c r="G165" s="147"/>
      <c r="H165" s="147" t="s">
        <v>214</v>
      </c>
      <c r="I165" s="89">
        <f>SUM(F159:F163)</f>
        <v>5433.7847619047625</v>
      </c>
    </row>
    <row r="166" spans="1:9" ht="13.5">
      <c r="A166" s="15"/>
      <c r="B166" s="13"/>
      <c r="C166" s="4"/>
      <c r="D166" s="94"/>
      <c r="E166" s="164"/>
      <c r="F166" s="89"/>
      <c r="G166" s="89"/>
      <c r="H166" s="89" t="s">
        <v>215</v>
      </c>
      <c r="I166" s="147">
        <f>I159+I160+I161+I162+I163</f>
        <v>9460.568476190476</v>
      </c>
    </row>
    <row r="167" spans="1:9" ht="12.75">
      <c r="A167" s="56" t="s">
        <v>88</v>
      </c>
      <c r="B167" s="57"/>
      <c r="C167" s="57"/>
      <c r="D167" s="57"/>
      <c r="E167" s="57"/>
      <c r="F167" s="57"/>
      <c r="G167" s="57"/>
      <c r="H167" s="57"/>
      <c r="I167" s="57"/>
    </row>
    <row r="168" spans="1:9" ht="39">
      <c r="A168" s="15">
        <v>1</v>
      </c>
      <c r="B168" s="29" t="s">
        <v>65</v>
      </c>
      <c r="C168" s="30" t="s">
        <v>66</v>
      </c>
      <c r="D168" s="235">
        <v>8</v>
      </c>
      <c r="E168" s="106">
        <v>500</v>
      </c>
      <c r="F168" s="106">
        <f>D168*E168</f>
        <v>4000</v>
      </c>
      <c r="G168" s="106">
        <v>383.64000000000004</v>
      </c>
      <c r="H168" s="106">
        <f>D168*G168</f>
        <v>3069.1200000000003</v>
      </c>
      <c r="I168" s="107">
        <f>F168+H168</f>
        <v>7069.120000000001</v>
      </c>
    </row>
    <row r="169" spans="1:9" ht="26.25">
      <c r="A169" s="15">
        <f>A168+1</f>
        <v>2</v>
      </c>
      <c r="B169" s="29" t="s">
        <v>84</v>
      </c>
      <c r="C169" s="30" t="s">
        <v>66</v>
      </c>
      <c r="D169" s="235">
        <v>8</v>
      </c>
      <c r="E169" s="106">
        <v>300</v>
      </c>
      <c r="F169" s="106">
        <f>D169*E169</f>
        <v>2400</v>
      </c>
      <c r="G169" s="106">
        <v>336.1925</v>
      </c>
      <c r="H169" s="106">
        <f>D169*G169</f>
        <v>2689.54</v>
      </c>
      <c r="I169" s="107">
        <f>F169+H169</f>
        <v>5089.54</v>
      </c>
    </row>
    <row r="170" spans="1:9" ht="26.25">
      <c r="A170" s="15">
        <f>A169+1</f>
        <v>3</v>
      </c>
      <c r="B170" s="29" t="s">
        <v>67</v>
      </c>
      <c r="C170" s="30" t="s">
        <v>66</v>
      </c>
      <c r="D170" s="235">
        <v>8</v>
      </c>
      <c r="E170" s="106">
        <v>500</v>
      </c>
      <c r="F170" s="106">
        <f>D170*E170</f>
        <v>4000</v>
      </c>
      <c r="G170" s="106">
        <v>393.18375</v>
      </c>
      <c r="H170" s="106">
        <f>D170*G170</f>
        <v>3145.47</v>
      </c>
      <c r="I170" s="107">
        <f>F170+H170</f>
        <v>7145.469999999999</v>
      </c>
    </row>
    <row r="171" spans="1:9" ht="13.5">
      <c r="A171" s="15"/>
      <c r="B171" s="18"/>
      <c r="C171" s="4"/>
      <c r="D171" s="94"/>
      <c r="E171" s="190"/>
      <c r="F171" s="147"/>
      <c r="G171" s="147"/>
      <c r="H171" s="147" t="s">
        <v>213</v>
      </c>
      <c r="I171" s="147">
        <f>SUM(H168:H170)</f>
        <v>8904.13</v>
      </c>
    </row>
    <row r="172" spans="1:9" ht="13.5">
      <c r="A172" s="15"/>
      <c r="B172" s="18"/>
      <c r="C172" s="4"/>
      <c r="D172" s="94"/>
      <c r="E172" s="106"/>
      <c r="F172" s="147"/>
      <c r="G172" s="147"/>
      <c r="H172" s="147" t="s">
        <v>214</v>
      </c>
      <c r="I172" s="89">
        <f>SUM(F168:F170)</f>
        <v>10400</v>
      </c>
    </row>
    <row r="173" spans="1:9" ht="13.5">
      <c r="A173" s="15"/>
      <c r="B173" s="13"/>
      <c r="C173" s="4"/>
      <c r="D173" s="94"/>
      <c r="E173" s="164"/>
      <c r="F173" s="89"/>
      <c r="G173" s="89"/>
      <c r="H173" s="89" t="s">
        <v>215</v>
      </c>
      <c r="I173" s="147">
        <f>I168+I169+I170</f>
        <v>19304.129999999997</v>
      </c>
    </row>
    <row r="174" spans="1:9" ht="12.75">
      <c r="A174" s="58" t="s">
        <v>122</v>
      </c>
      <c r="B174" s="58"/>
      <c r="C174" s="58"/>
      <c r="D174" s="236"/>
      <c r="E174" s="58"/>
      <c r="F174" s="58"/>
      <c r="G174" s="58"/>
      <c r="H174" s="58"/>
      <c r="I174" s="58"/>
    </row>
    <row r="175" spans="1:9" ht="12.75">
      <c r="A175" s="15">
        <v>1</v>
      </c>
      <c r="B175" s="39" t="s">
        <v>123</v>
      </c>
      <c r="C175" s="14" t="s">
        <v>125</v>
      </c>
      <c r="D175" s="235">
        <v>4</v>
      </c>
      <c r="E175" s="110">
        <v>9300</v>
      </c>
      <c r="F175" s="110">
        <f>D175*E175</f>
        <v>37200</v>
      </c>
      <c r="G175" s="110">
        <v>45888.857500000006</v>
      </c>
      <c r="H175" s="108">
        <f>D175*G175</f>
        <v>183555.43000000002</v>
      </c>
      <c r="I175" s="109">
        <f>F175+H175</f>
        <v>220755.43000000002</v>
      </c>
    </row>
    <row r="176" spans="1:9" ht="12.75">
      <c r="A176" s="15">
        <v>2</v>
      </c>
      <c r="B176" s="134" t="s">
        <v>124</v>
      </c>
      <c r="C176" s="14" t="s">
        <v>11</v>
      </c>
      <c r="D176" s="235">
        <v>8</v>
      </c>
      <c r="E176" s="110">
        <v>0</v>
      </c>
      <c r="F176" s="110">
        <f aca="true" t="shared" si="26" ref="F176:F187">D176*E176</f>
        <v>0</v>
      </c>
      <c r="G176" s="110">
        <v>481.25625</v>
      </c>
      <c r="H176" s="108">
        <f aca="true" t="shared" si="27" ref="H176:H187">D176*G176</f>
        <v>3850.05</v>
      </c>
      <c r="I176" s="109">
        <f aca="true" t="shared" si="28" ref="I176:I187">F176+H176</f>
        <v>3850.05</v>
      </c>
    </row>
    <row r="177" spans="1:9" ht="27">
      <c r="A177" s="15">
        <v>3</v>
      </c>
      <c r="B177" s="135" t="s">
        <v>193</v>
      </c>
      <c r="C177" s="14" t="s">
        <v>11</v>
      </c>
      <c r="D177" s="235">
        <v>88</v>
      </c>
      <c r="E177" s="110">
        <v>0</v>
      </c>
      <c r="F177" s="110">
        <f t="shared" si="26"/>
        <v>0</v>
      </c>
      <c r="G177" s="110">
        <v>119.00340909090909</v>
      </c>
      <c r="H177" s="108">
        <f t="shared" si="27"/>
        <v>10472.3</v>
      </c>
      <c r="I177" s="109">
        <f t="shared" si="28"/>
        <v>10472.3</v>
      </c>
    </row>
    <row r="178" spans="1:9" ht="13.5">
      <c r="A178" s="15">
        <v>4</v>
      </c>
      <c r="B178" s="12" t="s">
        <v>169</v>
      </c>
      <c r="C178" s="14" t="s">
        <v>126</v>
      </c>
      <c r="D178" s="235">
        <v>148</v>
      </c>
      <c r="E178" s="110">
        <v>257.34385135135136</v>
      </c>
      <c r="F178" s="110">
        <f t="shared" si="26"/>
        <v>38086.89</v>
      </c>
      <c r="G178" s="110">
        <v>205.36385135135137</v>
      </c>
      <c r="H178" s="108">
        <f t="shared" si="27"/>
        <v>30393.850000000002</v>
      </c>
      <c r="I178" s="109">
        <f t="shared" si="28"/>
        <v>68480.74</v>
      </c>
    </row>
    <row r="179" spans="1:9" ht="27">
      <c r="A179" s="15">
        <v>5</v>
      </c>
      <c r="B179" s="12" t="s">
        <v>127</v>
      </c>
      <c r="C179" s="14" t="s">
        <v>115</v>
      </c>
      <c r="D179" s="235">
        <v>149</v>
      </c>
      <c r="E179" s="110">
        <f>50*1.1</f>
        <v>55.00000000000001</v>
      </c>
      <c r="F179" s="110">
        <f t="shared" si="26"/>
        <v>8195.000000000002</v>
      </c>
      <c r="G179" s="110">
        <v>269.9930201342282</v>
      </c>
      <c r="H179" s="108">
        <f t="shared" si="27"/>
        <v>40228.96</v>
      </c>
      <c r="I179" s="109">
        <f t="shared" si="28"/>
        <v>48423.96</v>
      </c>
    </row>
    <row r="180" spans="1:9" ht="13.5">
      <c r="A180" s="15">
        <v>6</v>
      </c>
      <c r="B180" s="12" t="s">
        <v>128</v>
      </c>
      <c r="C180" s="14" t="s">
        <v>129</v>
      </c>
      <c r="D180" s="235">
        <v>2</v>
      </c>
      <c r="E180" s="110">
        <v>1900</v>
      </c>
      <c r="F180" s="110">
        <f t="shared" si="26"/>
        <v>3800</v>
      </c>
      <c r="G180" s="110">
        <v>320.53</v>
      </c>
      <c r="H180" s="108">
        <f t="shared" si="27"/>
        <v>641.06</v>
      </c>
      <c r="I180" s="109">
        <f t="shared" si="28"/>
        <v>4441.0599999999995</v>
      </c>
    </row>
    <row r="181" spans="1:9" ht="27">
      <c r="A181" s="15">
        <v>7</v>
      </c>
      <c r="B181" s="12" t="s">
        <v>130</v>
      </c>
      <c r="C181" s="14" t="s">
        <v>125</v>
      </c>
      <c r="D181" s="235">
        <v>16</v>
      </c>
      <c r="E181" s="110">
        <v>450</v>
      </c>
      <c r="F181" s="110">
        <f t="shared" si="26"/>
        <v>7200</v>
      </c>
      <c r="G181" s="110">
        <v>4238.318749999999</v>
      </c>
      <c r="H181" s="108">
        <f t="shared" si="27"/>
        <v>67813.09999999999</v>
      </c>
      <c r="I181" s="109">
        <f t="shared" si="28"/>
        <v>75013.09999999999</v>
      </c>
    </row>
    <row r="182" spans="1:9" ht="13.5">
      <c r="A182" s="15">
        <v>8</v>
      </c>
      <c r="B182" s="12" t="s">
        <v>131</v>
      </c>
      <c r="C182" s="14" t="s">
        <v>115</v>
      </c>
      <c r="D182" s="235">
        <v>148</v>
      </c>
      <c r="E182" s="110">
        <v>3.129932432432432</v>
      </c>
      <c r="F182" s="110">
        <f t="shared" si="26"/>
        <v>463.2299999999999</v>
      </c>
      <c r="G182" s="110">
        <v>0.8823648648648649</v>
      </c>
      <c r="H182" s="108">
        <f t="shared" si="27"/>
        <v>130.59</v>
      </c>
      <c r="I182" s="109">
        <f t="shared" si="28"/>
        <v>593.8199999999999</v>
      </c>
    </row>
    <row r="183" spans="1:9" ht="12.75">
      <c r="A183" s="15">
        <v>9</v>
      </c>
      <c r="B183" s="40" t="s">
        <v>137</v>
      </c>
      <c r="C183" s="14" t="s">
        <v>11</v>
      </c>
      <c r="D183" s="235">
        <v>4</v>
      </c>
      <c r="E183" s="110">
        <v>1598.8750000000002</v>
      </c>
      <c r="F183" s="110">
        <f t="shared" si="26"/>
        <v>6395.500000000001</v>
      </c>
      <c r="G183" s="110">
        <v>9431.005000000001</v>
      </c>
      <c r="H183" s="108">
        <f t="shared" si="27"/>
        <v>37724.020000000004</v>
      </c>
      <c r="I183" s="109">
        <f t="shared" si="28"/>
        <v>44119.520000000004</v>
      </c>
    </row>
    <row r="184" spans="1:9" ht="41.25">
      <c r="A184" s="15">
        <v>10</v>
      </c>
      <c r="B184" s="12" t="s">
        <v>170</v>
      </c>
      <c r="C184" s="14" t="s">
        <v>11</v>
      </c>
      <c r="D184" s="235">
        <v>8</v>
      </c>
      <c r="E184" s="110">
        <f>500</f>
        <v>500</v>
      </c>
      <c r="F184" s="110">
        <f t="shared" si="26"/>
        <v>4000</v>
      </c>
      <c r="G184" s="110">
        <v>2378.7975</v>
      </c>
      <c r="H184" s="108">
        <f t="shared" si="27"/>
        <v>19030.38</v>
      </c>
      <c r="I184" s="109">
        <f t="shared" si="28"/>
        <v>23030.38</v>
      </c>
    </row>
    <row r="185" spans="1:9" ht="27">
      <c r="A185" s="15">
        <v>11</v>
      </c>
      <c r="B185" s="12" t="s">
        <v>134</v>
      </c>
      <c r="C185" s="14" t="s">
        <v>11</v>
      </c>
      <c r="D185" s="235">
        <v>16</v>
      </c>
      <c r="E185" s="110">
        <v>105.95374999999999</v>
      </c>
      <c r="F185" s="110">
        <f t="shared" si="26"/>
        <v>1695.2599999999998</v>
      </c>
      <c r="G185" s="110">
        <v>507.31125000000003</v>
      </c>
      <c r="H185" s="108">
        <f t="shared" si="27"/>
        <v>8116.9800000000005</v>
      </c>
      <c r="I185" s="109">
        <f t="shared" si="28"/>
        <v>9812.24</v>
      </c>
    </row>
    <row r="186" spans="1:9" ht="13.5">
      <c r="A186" s="15">
        <v>12</v>
      </c>
      <c r="B186" s="76" t="s">
        <v>135</v>
      </c>
      <c r="C186" s="14" t="s">
        <v>11</v>
      </c>
      <c r="D186" s="235">
        <v>8</v>
      </c>
      <c r="E186" s="110">
        <v>900</v>
      </c>
      <c r="F186" s="110">
        <f t="shared" si="26"/>
        <v>7200</v>
      </c>
      <c r="G186" s="110">
        <v>5362.55</v>
      </c>
      <c r="H186" s="108">
        <f t="shared" si="27"/>
        <v>42900.4</v>
      </c>
      <c r="I186" s="109">
        <f t="shared" si="28"/>
        <v>50100.4</v>
      </c>
    </row>
    <row r="187" spans="1:9" ht="54.75">
      <c r="A187" s="15">
        <v>13</v>
      </c>
      <c r="B187" s="12" t="s">
        <v>136</v>
      </c>
      <c r="C187" s="14" t="s">
        <v>11</v>
      </c>
      <c r="D187" s="235">
        <v>8</v>
      </c>
      <c r="E187" s="110">
        <v>1000</v>
      </c>
      <c r="F187" s="110">
        <f t="shared" si="26"/>
        <v>8000</v>
      </c>
      <c r="G187" s="110">
        <v>2293.9300000000003</v>
      </c>
      <c r="H187" s="108">
        <f t="shared" si="27"/>
        <v>18351.440000000002</v>
      </c>
      <c r="I187" s="109">
        <f t="shared" si="28"/>
        <v>26351.440000000002</v>
      </c>
    </row>
    <row r="188" spans="1:9" ht="13.5">
      <c r="A188" s="15"/>
      <c r="B188" s="18"/>
      <c r="C188" s="4"/>
      <c r="D188" s="94"/>
      <c r="E188" s="190"/>
      <c r="F188" s="147"/>
      <c r="G188" s="147"/>
      <c r="H188" s="147" t="s">
        <v>213</v>
      </c>
      <c r="I188" s="147">
        <f>SUM(H175:H187)</f>
        <v>463208.56000000006</v>
      </c>
    </row>
    <row r="189" spans="1:9" ht="13.5">
      <c r="A189" s="15"/>
      <c r="B189" s="18"/>
      <c r="C189" s="4"/>
      <c r="D189" s="94"/>
      <c r="E189" s="106"/>
      <c r="F189" s="147"/>
      <c r="G189" s="147"/>
      <c r="H189" s="147" t="s">
        <v>214</v>
      </c>
      <c r="I189" s="89">
        <f>SUM(F175:F187)</f>
        <v>122235.87999999999</v>
      </c>
    </row>
    <row r="190" spans="1:9" ht="13.5">
      <c r="A190" s="15"/>
      <c r="B190" s="13"/>
      <c r="C190" s="4"/>
      <c r="D190" s="94"/>
      <c r="E190" s="164"/>
      <c r="F190" s="89"/>
      <c r="G190" s="89"/>
      <c r="H190" s="89" t="s">
        <v>215</v>
      </c>
      <c r="I190" s="147">
        <f>I175+I176+I177+I178+I179+I180+I181+I182+I183+I184+I185+I186+I187</f>
        <v>585444.44</v>
      </c>
    </row>
    <row r="191" spans="1:9" ht="12.75">
      <c r="A191" s="59" t="s">
        <v>139</v>
      </c>
      <c r="B191" s="60"/>
      <c r="C191" s="60"/>
      <c r="D191" s="237"/>
      <c r="E191" s="60"/>
      <c r="F191" s="60"/>
      <c r="G191" s="60"/>
      <c r="H191" s="60"/>
      <c r="I191" s="60"/>
    </row>
    <row r="192" spans="1:9" ht="41.25">
      <c r="A192" s="15">
        <v>1</v>
      </c>
      <c r="B192" s="12" t="s">
        <v>171</v>
      </c>
      <c r="C192" s="14" t="s">
        <v>10</v>
      </c>
      <c r="D192" s="235">
        <v>13</v>
      </c>
      <c r="E192" s="108">
        <v>1336.9661538461537</v>
      </c>
      <c r="F192" s="108">
        <f>D192*E192</f>
        <v>17380.559999999998</v>
      </c>
      <c r="G192" s="108">
        <v>6046.736153846154</v>
      </c>
      <c r="H192" s="108">
        <f>D192*G192</f>
        <v>78607.56999999999</v>
      </c>
      <c r="I192" s="109">
        <f>F192+H192</f>
        <v>95988.12999999999</v>
      </c>
    </row>
    <row r="193" spans="1:9" ht="27">
      <c r="A193" s="15">
        <v>2</v>
      </c>
      <c r="B193" s="12" t="s">
        <v>211</v>
      </c>
      <c r="C193" s="14" t="s">
        <v>126</v>
      </c>
      <c r="D193" s="235">
        <v>35</v>
      </c>
      <c r="E193" s="108">
        <v>40</v>
      </c>
      <c r="F193" s="108">
        <f>D193*E193</f>
        <v>1400</v>
      </c>
      <c r="G193" s="108">
        <v>2.25457142857143</v>
      </c>
      <c r="H193" s="108">
        <f>D193*G193</f>
        <v>78.91000000000004</v>
      </c>
      <c r="I193" s="109">
        <f>F193+H193</f>
        <v>1478.91</v>
      </c>
    </row>
    <row r="194" spans="1:9" ht="13.5">
      <c r="A194" s="15"/>
      <c r="B194" s="18"/>
      <c r="C194" s="4"/>
      <c r="D194" s="94"/>
      <c r="E194" s="190"/>
      <c r="F194" s="147"/>
      <c r="G194" s="147"/>
      <c r="H194" s="147" t="s">
        <v>213</v>
      </c>
      <c r="I194" s="147">
        <f>H192+H193</f>
        <v>78686.48</v>
      </c>
    </row>
    <row r="195" spans="1:9" ht="13.5">
      <c r="A195" s="15"/>
      <c r="B195" s="18"/>
      <c r="C195" s="4"/>
      <c r="D195" s="94"/>
      <c r="E195" s="106"/>
      <c r="F195" s="147"/>
      <c r="G195" s="147"/>
      <c r="H195" s="147" t="s">
        <v>214</v>
      </c>
      <c r="I195" s="89">
        <f>F192+F193</f>
        <v>18780.559999999998</v>
      </c>
    </row>
    <row r="196" spans="1:9" ht="13.5">
      <c r="A196" s="15"/>
      <c r="B196" s="13"/>
      <c r="C196" s="4"/>
      <c r="D196" s="94"/>
      <c r="E196" s="164"/>
      <c r="F196" s="89"/>
      <c r="G196" s="89"/>
      <c r="H196" s="89" t="s">
        <v>215</v>
      </c>
      <c r="I196" s="147">
        <f>I192+I193</f>
        <v>97467.04</v>
      </c>
    </row>
    <row r="197" spans="1:9" ht="12.75">
      <c r="A197" s="61" t="s">
        <v>172</v>
      </c>
      <c r="B197" s="62"/>
      <c r="C197" s="62"/>
      <c r="D197" s="238"/>
      <c r="E197" s="62"/>
      <c r="F197" s="62"/>
      <c r="G197" s="62"/>
      <c r="H197" s="62"/>
      <c r="I197" s="62"/>
    </row>
    <row r="198" spans="1:9" ht="27">
      <c r="A198" s="15">
        <v>1</v>
      </c>
      <c r="B198" s="12" t="s">
        <v>173</v>
      </c>
      <c r="C198" s="14" t="s">
        <v>11</v>
      </c>
      <c r="D198" s="235">
        <v>4</v>
      </c>
      <c r="E198" s="108">
        <v>800</v>
      </c>
      <c r="F198" s="108">
        <f aca="true" t="shared" si="29" ref="F198:F203">D198*E198</f>
        <v>3200</v>
      </c>
      <c r="G198" s="108">
        <v>423.86</v>
      </c>
      <c r="H198" s="108">
        <f aca="true" t="shared" si="30" ref="H198:H203">D198*G198</f>
        <v>1695.44</v>
      </c>
      <c r="I198" s="109">
        <f aca="true" t="shared" si="31" ref="I198:I203">F198+H198</f>
        <v>4895.4400000000005</v>
      </c>
    </row>
    <row r="199" spans="1:9" ht="27">
      <c r="A199" s="15">
        <v>2</v>
      </c>
      <c r="B199" s="12" t="s">
        <v>174</v>
      </c>
      <c r="C199" s="14" t="s">
        <v>11</v>
      </c>
      <c r="D199" s="235">
        <v>6</v>
      </c>
      <c r="E199" s="108">
        <v>1000</v>
      </c>
      <c r="F199" s="108">
        <f t="shared" si="29"/>
        <v>6000</v>
      </c>
      <c r="G199" s="137">
        <v>48.94</v>
      </c>
      <c r="H199" s="108">
        <f t="shared" si="30"/>
        <v>293.64</v>
      </c>
      <c r="I199" s="109">
        <f t="shared" si="31"/>
        <v>6293.64</v>
      </c>
    </row>
    <row r="200" spans="1:9" ht="27">
      <c r="A200" s="15">
        <v>3</v>
      </c>
      <c r="B200" s="136" t="s">
        <v>175</v>
      </c>
      <c r="C200" s="14" t="s">
        <v>11</v>
      </c>
      <c r="D200" s="235">
        <v>4</v>
      </c>
      <c r="E200" s="108">
        <v>0</v>
      </c>
      <c r="F200" s="108">
        <f t="shared" si="29"/>
        <v>0</v>
      </c>
      <c r="G200" s="137">
        <v>79.62</v>
      </c>
      <c r="H200" s="108">
        <f t="shared" si="30"/>
        <v>318.48</v>
      </c>
      <c r="I200" s="109">
        <f t="shared" si="31"/>
        <v>318.48</v>
      </c>
    </row>
    <row r="201" spans="1:9" ht="27">
      <c r="A201" s="15">
        <v>4</v>
      </c>
      <c r="B201" s="136" t="s">
        <v>176</v>
      </c>
      <c r="C201" s="14" t="s">
        <v>11</v>
      </c>
      <c r="D201" s="235">
        <v>18</v>
      </c>
      <c r="E201" s="108">
        <v>0</v>
      </c>
      <c r="F201" s="108">
        <f t="shared" si="29"/>
        <v>0</v>
      </c>
      <c r="G201" s="137">
        <v>80</v>
      </c>
      <c r="H201" s="108">
        <f t="shared" si="30"/>
        <v>1440</v>
      </c>
      <c r="I201" s="109">
        <f t="shared" si="31"/>
        <v>1440</v>
      </c>
    </row>
    <row r="202" spans="1:9" ht="27">
      <c r="A202" s="15">
        <v>5</v>
      </c>
      <c r="B202" s="136" t="s">
        <v>177</v>
      </c>
      <c r="C202" s="14" t="s">
        <v>11</v>
      </c>
      <c r="D202" s="235">
        <v>4</v>
      </c>
      <c r="E202" s="108">
        <v>0</v>
      </c>
      <c r="F202" s="108">
        <f t="shared" si="29"/>
        <v>0</v>
      </c>
      <c r="G202" s="137">
        <v>114.63</v>
      </c>
      <c r="H202" s="108">
        <f t="shared" si="30"/>
        <v>458.52</v>
      </c>
      <c r="I202" s="109">
        <f t="shared" si="31"/>
        <v>458.52</v>
      </c>
    </row>
    <row r="203" spans="1:9" ht="27">
      <c r="A203" s="15">
        <v>6</v>
      </c>
      <c r="B203" s="12" t="s">
        <v>178</v>
      </c>
      <c r="C203" s="14" t="s">
        <v>66</v>
      </c>
      <c r="D203" s="235">
        <v>5</v>
      </c>
      <c r="E203" s="138">
        <v>500</v>
      </c>
      <c r="F203" s="108">
        <f t="shared" si="29"/>
        <v>2500</v>
      </c>
      <c r="G203" s="137">
        <v>1291.7859999999998</v>
      </c>
      <c r="H203" s="108">
        <f t="shared" si="30"/>
        <v>6458.929999999999</v>
      </c>
      <c r="I203" s="109">
        <f t="shared" si="31"/>
        <v>8958.93</v>
      </c>
    </row>
    <row r="204" spans="1:9" ht="13.5">
      <c r="A204" s="15"/>
      <c r="B204" s="18"/>
      <c r="C204" s="4"/>
      <c r="D204" s="94"/>
      <c r="E204" s="190"/>
      <c r="F204" s="147"/>
      <c r="G204" s="147"/>
      <c r="H204" s="147" t="s">
        <v>213</v>
      </c>
      <c r="I204" s="147">
        <f>SUM(H198:H203)</f>
        <v>10665.009999999998</v>
      </c>
    </row>
    <row r="205" spans="1:9" ht="13.5">
      <c r="A205" s="15"/>
      <c r="B205" s="18"/>
      <c r="C205" s="4"/>
      <c r="D205" s="94"/>
      <c r="E205" s="106"/>
      <c r="F205" s="147"/>
      <c r="G205" s="147"/>
      <c r="H205" s="147" t="s">
        <v>214</v>
      </c>
      <c r="I205" s="89">
        <f>SUM(F198:F203)</f>
        <v>11700</v>
      </c>
    </row>
    <row r="206" spans="1:9" ht="13.5">
      <c r="A206" s="15"/>
      <c r="B206" s="13"/>
      <c r="C206" s="4"/>
      <c r="D206" s="94"/>
      <c r="E206" s="164"/>
      <c r="F206" s="89"/>
      <c r="G206" s="89"/>
      <c r="H206" s="89" t="s">
        <v>215</v>
      </c>
      <c r="I206" s="147">
        <f>I198+I199+I201+I200+I202+I203</f>
        <v>22365.010000000002</v>
      </c>
    </row>
    <row r="207" spans="1:9" ht="12.75">
      <c r="A207" s="61" t="s">
        <v>140</v>
      </c>
      <c r="B207" s="62"/>
      <c r="C207" s="62"/>
      <c r="D207" s="238"/>
      <c r="E207" s="62"/>
      <c r="F207" s="62"/>
      <c r="G207" s="62"/>
      <c r="H207" s="62"/>
      <c r="I207" s="62"/>
    </row>
    <row r="208" spans="1:9" ht="27">
      <c r="A208" s="15">
        <v>1</v>
      </c>
      <c r="B208" s="12" t="s">
        <v>179</v>
      </c>
      <c r="C208" s="14" t="s">
        <v>10</v>
      </c>
      <c r="D208" s="235">
        <v>54</v>
      </c>
      <c r="E208" s="108">
        <f>E8</f>
        <v>100</v>
      </c>
      <c r="F208" s="108">
        <f aca="true" t="shared" si="32" ref="F208:F218">D208*E208</f>
        <v>5400</v>
      </c>
      <c r="G208" s="108">
        <v>0</v>
      </c>
      <c r="H208" s="108">
        <f aca="true" t="shared" si="33" ref="H208:H218">D208*G208</f>
        <v>0</v>
      </c>
      <c r="I208" s="109">
        <f aca="true" t="shared" si="34" ref="I208:I218">F208+H208</f>
        <v>5400</v>
      </c>
    </row>
    <row r="209" spans="1:9" ht="27">
      <c r="A209" s="15">
        <v>2</v>
      </c>
      <c r="B209" s="12" t="s">
        <v>180</v>
      </c>
      <c r="C209" s="14" t="s">
        <v>10</v>
      </c>
      <c r="D209" s="235">
        <v>18</v>
      </c>
      <c r="E209" s="108">
        <f>E11</f>
        <v>200</v>
      </c>
      <c r="F209" s="108">
        <f t="shared" si="32"/>
        <v>3600</v>
      </c>
      <c r="G209" s="108">
        <v>0</v>
      </c>
      <c r="H209" s="108">
        <f t="shared" si="33"/>
        <v>0</v>
      </c>
      <c r="I209" s="109">
        <f t="shared" si="34"/>
        <v>3600</v>
      </c>
    </row>
    <row r="210" spans="1:9" ht="27">
      <c r="A210" s="15">
        <v>3</v>
      </c>
      <c r="B210" s="193" t="s">
        <v>181</v>
      </c>
      <c r="C210" s="69" t="s">
        <v>10</v>
      </c>
      <c r="D210" s="235">
        <v>846</v>
      </c>
      <c r="E210" s="110">
        <f>E67</f>
        <v>33.951026086956524</v>
      </c>
      <c r="F210" s="110">
        <f t="shared" si="32"/>
        <v>28722.56806956522</v>
      </c>
      <c r="G210" s="201">
        <v>1.0375531914893614</v>
      </c>
      <c r="H210" s="110">
        <f t="shared" si="33"/>
        <v>877.7699999999998</v>
      </c>
      <c r="I210" s="111">
        <f t="shared" si="34"/>
        <v>29600.33806956522</v>
      </c>
    </row>
    <row r="211" spans="1:9" ht="27">
      <c r="A211" s="15">
        <v>4</v>
      </c>
      <c r="B211" s="193" t="s">
        <v>182</v>
      </c>
      <c r="C211" s="69" t="s">
        <v>10</v>
      </c>
      <c r="D211" s="235" t="s">
        <v>183</v>
      </c>
      <c r="E211" s="110">
        <f>E68</f>
        <v>504.9322133333333</v>
      </c>
      <c r="F211" s="110">
        <f>300*E211</f>
        <v>151479.664</v>
      </c>
      <c r="G211" s="201">
        <v>64.71</v>
      </c>
      <c r="H211" s="110">
        <f>300*G211</f>
        <v>19412.999999999996</v>
      </c>
      <c r="I211" s="111">
        <f t="shared" si="34"/>
        <v>170892.664</v>
      </c>
    </row>
    <row r="212" spans="1:9" ht="41.25">
      <c r="A212" s="15">
        <v>5</v>
      </c>
      <c r="B212" s="193" t="s">
        <v>184</v>
      </c>
      <c r="C212" s="69" t="s">
        <v>10</v>
      </c>
      <c r="D212" s="235" t="s">
        <v>185</v>
      </c>
      <c r="E212" s="110">
        <f>E70</f>
        <v>504.93483333333336</v>
      </c>
      <c r="F212" s="110">
        <f>100*E212</f>
        <v>50493.48333333334</v>
      </c>
      <c r="G212" s="110">
        <f>G66</f>
        <v>99.06195000000001</v>
      </c>
      <c r="H212" s="110">
        <f>100*G212</f>
        <v>9906.195000000002</v>
      </c>
      <c r="I212" s="111">
        <f t="shared" si="34"/>
        <v>60399.67833333334</v>
      </c>
    </row>
    <row r="213" spans="1:9" ht="41.25">
      <c r="A213" s="15">
        <v>6</v>
      </c>
      <c r="B213" s="193" t="s">
        <v>186</v>
      </c>
      <c r="C213" s="69" t="s">
        <v>10</v>
      </c>
      <c r="D213" s="235">
        <v>20</v>
      </c>
      <c r="E213" s="110">
        <f>E163</f>
        <v>40.59238095238096</v>
      </c>
      <c r="F213" s="110">
        <f>100*E213</f>
        <v>4059.238095238096</v>
      </c>
      <c r="G213" s="110">
        <f>G163</f>
        <v>147.68685714285715</v>
      </c>
      <c r="H213" s="110">
        <f t="shared" si="33"/>
        <v>2953.737142857143</v>
      </c>
      <c r="I213" s="111">
        <f t="shared" si="34"/>
        <v>7012.97523809524</v>
      </c>
    </row>
    <row r="214" spans="1:9" ht="69">
      <c r="A214" s="15">
        <v>7</v>
      </c>
      <c r="B214" s="193" t="s">
        <v>187</v>
      </c>
      <c r="C214" s="69" t="s">
        <v>10</v>
      </c>
      <c r="D214" s="235">
        <v>148.8</v>
      </c>
      <c r="E214" s="110">
        <f>E215</f>
        <v>67.86702847826083</v>
      </c>
      <c r="F214" s="110">
        <f t="shared" si="32"/>
        <v>10098.613837565214</v>
      </c>
      <c r="G214" s="201">
        <v>79.07412634408601</v>
      </c>
      <c r="H214" s="110">
        <f>D214*G214</f>
        <v>11766.23</v>
      </c>
      <c r="I214" s="111">
        <f t="shared" si="34"/>
        <v>21864.84383756521</v>
      </c>
    </row>
    <row r="215" spans="1:9" ht="54.75">
      <c r="A215" s="15">
        <v>8</v>
      </c>
      <c r="B215" s="193" t="s">
        <v>189</v>
      </c>
      <c r="C215" s="69" t="s">
        <v>10</v>
      </c>
      <c r="D215" s="235">
        <v>846</v>
      </c>
      <c r="E215" s="110">
        <f>E72</f>
        <v>67.86702847826083</v>
      </c>
      <c r="F215" s="110">
        <f t="shared" si="32"/>
        <v>57415.506092608666</v>
      </c>
      <c r="G215" s="110">
        <f>G72</f>
        <v>122.752495652174</v>
      </c>
      <c r="H215" s="110">
        <f t="shared" si="33"/>
        <v>103848.61132173921</v>
      </c>
      <c r="I215" s="111">
        <f t="shared" si="34"/>
        <v>161264.1174143479</v>
      </c>
    </row>
    <row r="216" spans="1:9" ht="13.5">
      <c r="A216" s="15">
        <v>9</v>
      </c>
      <c r="B216" s="193" t="s">
        <v>188</v>
      </c>
      <c r="C216" s="69" t="s">
        <v>10</v>
      </c>
      <c r="D216" s="235">
        <v>250</v>
      </c>
      <c r="E216" s="110">
        <v>15</v>
      </c>
      <c r="F216" s="110">
        <f t="shared" si="32"/>
        <v>3750</v>
      </c>
      <c r="G216" s="110">
        <v>0</v>
      </c>
      <c r="H216" s="110">
        <f t="shared" si="33"/>
        <v>0</v>
      </c>
      <c r="I216" s="111">
        <f t="shared" si="34"/>
        <v>3750</v>
      </c>
    </row>
    <row r="217" spans="1:9" ht="27">
      <c r="A217" s="15">
        <v>10</v>
      </c>
      <c r="B217" s="193" t="s">
        <v>191</v>
      </c>
      <c r="C217" s="69" t="s">
        <v>10</v>
      </c>
      <c r="D217" s="235">
        <v>80</v>
      </c>
      <c r="E217" s="110">
        <v>353.89633333333336</v>
      </c>
      <c r="F217" s="110">
        <f t="shared" si="32"/>
        <v>28311.70666666667</v>
      </c>
      <c r="G217" s="110">
        <v>0</v>
      </c>
      <c r="H217" s="110">
        <f t="shared" si="33"/>
        <v>0</v>
      </c>
      <c r="I217" s="111">
        <f t="shared" si="34"/>
        <v>28311.70666666667</v>
      </c>
    </row>
    <row r="218" spans="1:9" ht="27">
      <c r="A218" s="15">
        <v>11</v>
      </c>
      <c r="B218" s="12" t="s">
        <v>192</v>
      </c>
      <c r="C218" s="14" t="s">
        <v>10</v>
      </c>
      <c r="D218" s="235">
        <v>108</v>
      </c>
      <c r="E218" s="108">
        <f>E210</f>
        <v>33.951026086956524</v>
      </c>
      <c r="F218" s="108">
        <f t="shared" si="32"/>
        <v>3666.7108173913048</v>
      </c>
      <c r="G218" s="108">
        <v>12</v>
      </c>
      <c r="H218" s="108">
        <f t="shared" si="33"/>
        <v>1296</v>
      </c>
      <c r="I218" s="109">
        <f t="shared" si="34"/>
        <v>4962.710817391305</v>
      </c>
    </row>
    <row r="219" spans="1:9" ht="13.5">
      <c r="A219" s="15"/>
      <c r="B219" s="18"/>
      <c r="C219" s="4"/>
      <c r="D219" s="94"/>
      <c r="E219" s="190"/>
      <c r="F219" s="147"/>
      <c r="G219" s="147"/>
      <c r="H219" s="147" t="s">
        <v>213</v>
      </c>
      <c r="I219" s="147">
        <f>SUM(H208:H218)</f>
        <v>150061.54346459635</v>
      </c>
    </row>
    <row r="220" spans="1:9" ht="13.5">
      <c r="A220" s="15"/>
      <c r="B220" s="18"/>
      <c r="C220" s="4"/>
      <c r="D220" s="94"/>
      <c r="E220" s="106"/>
      <c r="F220" s="147"/>
      <c r="G220" s="147"/>
      <c r="H220" s="147" t="s">
        <v>214</v>
      </c>
      <c r="I220" s="89">
        <f>SUM(F208:F218)</f>
        <v>346997.49091236846</v>
      </c>
    </row>
    <row r="221" spans="1:9" ht="14.25" thickBot="1">
      <c r="A221" s="64"/>
      <c r="B221" s="205"/>
      <c r="C221" s="65"/>
      <c r="D221" s="227"/>
      <c r="E221" s="206"/>
      <c r="F221" s="207"/>
      <c r="G221" s="207"/>
      <c r="H221" s="207" t="s">
        <v>215</v>
      </c>
      <c r="I221" s="208">
        <f>I208+I209+I210+I211+I212+I213+I214+I215+I216+I217+I218</f>
        <v>497059.0343769648</v>
      </c>
    </row>
    <row r="222" spans="1:9" ht="13.5">
      <c r="A222" s="63"/>
      <c r="B222" s="202"/>
      <c r="C222" s="203"/>
      <c r="D222" s="239"/>
      <c r="E222" s="204"/>
      <c r="F222" s="204"/>
      <c r="G222" s="245" t="s">
        <v>212</v>
      </c>
      <c r="H222" s="246"/>
      <c r="I222" s="243">
        <f>I29+I45+I63+I76+I133+I148+I157+I166+I173+I190+I196+I206+I221</f>
        <v>12173503.028907478</v>
      </c>
    </row>
    <row r="223" spans="1:9" ht="13.5">
      <c r="A223" s="15"/>
      <c r="B223" s="12"/>
      <c r="C223" s="14"/>
      <c r="D223" s="240"/>
      <c r="E223" s="16"/>
      <c r="F223" s="16"/>
      <c r="G223" s="247" t="s">
        <v>216</v>
      </c>
      <c r="H223" s="248"/>
      <c r="I223" s="244">
        <f>I222*0.2</f>
        <v>2434700.6057814956</v>
      </c>
    </row>
    <row r="224" spans="1:9" ht="13.5">
      <c r="A224" s="15"/>
      <c r="B224" s="12"/>
      <c r="C224" s="14"/>
      <c r="D224" s="240"/>
      <c r="E224" s="16"/>
      <c r="F224" s="16"/>
      <c r="G224" s="249" t="s">
        <v>217</v>
      </c>
      <c r="H224" s="250"/>
      <c r="I224" s="244">
        <f>I222+I223</f>
        <v>14608203.634688973</v>
      </c>
    </row>
    <row r="226" ht="13.5">
      <c r="A226" s="67"/>
    </row>
  </sheetData>
  <sheetProtection selectLockedCells="1" selectUnlockedCells="1"/>
  <autoFilter ref="I1:I226"/>
  <mergeCells count="16">
    <mergeCell ref="A2:I2"/>
    <mergeCell ref="A4:A5"/>
    <mergeCell ref="B4:B5"/>
    <mergeCell ref="C4:C5"/>
    <mergeCell ref="D4:D5"/>
    <mergeCell ref="E4:F4"/>
    <mergeCell ref="G4:H4"/>
    <mergeCell ref="A3:I3"/>
    <mergeCell ref="I4:I5"/>
    <mergeCell ref="G224:H224"/>
    <mergeCell ref="B77:H77"/>
    <mergeCell ref="A6:I6"/>
    <mergeCell ref="A7:I7"/>
    <mergeCell ref="B46:H46"/>
    <mergeCell ref="G222:H222"/>
    <mergeCell ref="G223:H223"/>
  </mergeCells>
  <printOptions/>
  <pageMargins left="0.5902777777777778" right="0.15763888888888888" top="0.2361111111111111" bottom="0.39375" header="0.5118055555555555" footer="0.5118055555555555"/>
  <pageSetup horizontalDpi="600" verticalDpi="600" orientation="portrait" paperSize="9" scale="67" r:id="rId3"/>
  <ignoredErrors>
    <ignoredError sqref="F39 F66 H66 F116:F117 F102:F104 H102:H104 H3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Буданов Алексей Анатольевич</cp:lastModifiedBy>
  <cp:lastPrinted>2023-10-25T08:08:48Z</cp:lastPrinted>
  <dcterms:created xsi:type="dcterms:W3CDTF">2021-01-26T06:50:05Z</dcterms:created>
  <dcterms:modified xsi:type="dcterms:W3CDTF">2023-11-23T11:34:03Z</dcterms:modified>
  <cp:category/>
  <cp:version/>
  <cp:contentType/>
  <cp:contentStatus/>
</cp:coreProperties>
</file>