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ВОР КинЛог" sheetId="3" r:id="rId1"/>
  </sheets>
  <definedNames>
    <definedName name="_xlnm._FilterDatabase" localSheetId="0" hidden="1">'ВОР КинЛог'!$C$9:$C$394</definedName>
    <definedName name="_xlnm.Print_Area" localSheetId="0">'ВОР КинЛог'!$A$1:$F$373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3" l="1"/>
  <c r="F133" i="3"/>
  <c r="F128" i="3"/>
  <c r="F127" i="3"/>
  <c r="E98" i="3"/>
  <c r="E103" i="3"/>
  <c r="E102" i="3"/>
  <c r="E101" i="3"/>
  <c r="E100" i="3"/>
  <c r="E99" i="3"/>
  <c r="E91" i="3"/>
  <c r="E96" i="3"/>
  <c r="E95" i="3"/>
  <c r="E94" i="3"/>
  <c r="E93" i="3"/>
  <c r="E92" i="3"/>
  <c r="F80" i="3"/>
  <c r="F81" i="3"/>
  <c r="F82" i="3"/>
  <c r="E27" i="3" l="1"/>
  <c r="E33" i="3"/>
  <c r="E44" i="3"/>
  <c r="E55" i="3"/>
  <c r="E66" i="3"/>
  <c r="E142" i="3"/>
  <c r="E163" i="3"/>
  <c r="E174" i="3"/>
  <c r="E186" i="3"/>
  <c r="E323" i="3"/>
  <c r="E334" i="3"/>
  <c r="E345" i="3"/>
  <c r="E356" i="3"/>
  <c r="E351" i="3"/>
  <c r="E350" i="3"/>
  <c r="E348" i="3"/>
  <c r="E346" i="3"/>
  <c r="E344" i="3"/>
  <c r="E364" i="3"/>
  <c r="E353" i="3"/>
  <c r="E342" i="3"/>
  <c r="E331" i="3"/>
  <c r="E315" i="3"/>
  <c r="E225" i="3"/>
  <c r="E123" i="3"/>
  <c r="E108" i="3"/>
  <c r="E363" i="3" l="1"/>
  <c r="E352" i="3"/>
  <c r="E341" i="3"/>
  <c r="E330" i="3"/>
  <c r="F328" i="3"/>
  <c r="E314" i="3"/>
  <c r="F312" i="3"/>
  <c r="F308" i="3"/>
  <c r="F302" i="3"/>
  <c r="F296" i="3"/>
  <c r="F290" i="3"/>
  <c r="F235" i="3"/>
  <c r="E224" i="3"/>
  <c r="F222" i="3"/>
  <c r="F191" i="3"/>
  <c r="E181" i="3"/>
  <c r="F135" i="3" l="1"/>
  <c r="F134" i="3"/>
  <c r="F129" i="3"/>
  <c r="F118" i="3"/>
  <c r="F119" i="3"/>
  <c r="F120" i="3"/>
  <c r="F61" i="3"/>
  <c r="F60" i="3"/>
  <c r="F50" i="3"/>
  <c r="F49" i="3"/>
  <c r="F39" i="3"/>
  <c r="F38" i="3"/>
  <c r="F71" i="3"/>
  <c r="F72" i="3"/>
  <c r="F74" i="3"/>
  <c r="F63" i="3"/>
  <c r="F52" i="3"/>
  <c r="F41" i="3"/>
  <c r="E107" i="3"/>
  <c r="E109" i="3"/>
  <c r="E110" i="3" s="1"/>
  <c r="F73" i="3"/>
  <c r="F62" i="3"/>
  <c r="E70" i="3"/>
  <c r="E68" i="3"/>
  <c r="F51" i="3"/>
  <c r="F40" i="3"/>
  <c r="E48" i="3"/>
  <c r="E46" i="3"/>
  <c r="E23" i="3"/>
  <c r="E360" i="3" l="1"/>
  <c r="E358" i="3"/>
  <c r="E349" i="3"/>
  <c r="E347" i="3"/>
  <c r="E338" i="3"/>
  <c r="E336" i="3"/>
  <c r="E327" i="3"/>
  <c r="E325" i="3"/>
  <c r="E311" i="3"/>
  <c r="E307" i="3"/>
  <c r="E305" i="3"/>
  <c r="E301" i="3"/>
  <c r="E299" i="3"/>
  <c r="E295" i="3"/>
  <c r="E293" i="3"/>
  <c r="E289" i="3"/>
  <c r="E287" i="3"/>
  <c r="E234" i="3" l="1"/>
  <c r="E190" i="3"/>
  <c r="E178" i="3"/>
  <c r="E176" i="3"/>
  <c r="E167" i="3"/>
  <c r="E165" i="3"/>
  <c r="E132" i="3" l="1"/>
  <c r="E126" i="3"/>
  <c r="E89" i="3"/>
  <c r="E88" i="3"/>
  <c r="E87" i="3"/>
  <c r="E86" i="3"/>
  <c r="E59" i="3"/>
  <c r="E57" i="3"/>
  <c r="E79" i="3"/>
  <c r="E77" i="3"/>
  <c r="E83" i="3" l="1"/>
  <c r="E85" i="3"/>
  <c r="E146" i="3"/>
  <c r="E117" i="3"/>
  <c r="E37" i="3"/>
  <c r="E243" i="3" l="1"/>
  <c r="E242" i="3"/>
  <c r="E241" i="3"/>
  <c r="E219" i="3"/>
  <c r="E221" i="3"/>
  <c r="E220" i="3"/>
  <c r="E214" i="3"/>
  <c r="E213" i="3"/>
  <c r="E212" i="3"/>
  <c r="E204" i="3"/>
  <c r="E206" i="3"/>
  <c r="E205" i="3"/>
  <c r="E198" i="3"/>
  <c r="E199" i="3"/>
  <c r="E197" i="3"/>
  <c r="E240" i="3" l="1"/>
  <c r="E238" i="3" s="1"/>
  <c r="E211" i="3"/>
  <c r="E209" i="3" s="1"/>
  <c r="E218" i="3"/>
  <c r="E216" i="3" s="1"/>
  <c r="E196" i="3"/>
  <c r="E194" i="3" s="1"/>
  <c r="E203" i="3"/>
  <c r="E201" i="3" s="1"/>
  <c r="E263" i="3" l="1"/>
  <c r="E270" i="3"/>
  <c r="E267" i="3"/>
  <c r="E115" i="3" l="1"/>
  <c r="E144" i="3"/>
  <c r="E35" i="3"/>
  <c r="E188" i="3" l="1"/>
  <c r="E260" i="3" l="1"/>
  <c r="E245" i="3"/>
  <c r="E246" i="3" s="1"/>
</calcChain>
</file>

<file path=xl/sharedStrings.xml><?xml version="1.0" encoding="utf-8"?>
<sst xmlns="http://schemas.openxmlformats.org/spreadsheetml/2006/main" count="802" uniqueCount="308">
  <si>
    <t>м3</t>
  </si>
  <si>
    <t>м2</t>
  </si>
  <si>
    <t>ООО "АЭРОТЕРМИНАЛ"</t>
  </si>
  <si>
    <t>№ п/п</t>
  </si>
  <si>
    <t>Наименование работ и материалов</t>
  </si>
  <si>
    <t>Ед. изм.</t>
  </si>
  <si>
    <t>Примечание</t>
  </si>
  <si>
    <t>4.1</t>
  </si>
  <si>
    <t>Кол-во</t>
  </si>
  <si>
    <t>на выполнение:</t>
  </si>
  <si>
    <t>по проекту:</t>
  </si>
  <si>
    <t>код направления:</t>
  </si>
  <si>
    <t>код объекта:</t>
  </si>
  <si>
    <t>Строительство Аэровокзального комплекса (АВК) и объектов служебно-технической территории аэропорта 
г. Краснодар»</t>
  </si>
  <si>
    <t>16 «Вспомогательные аэропортовые объекты»</t>
  </si>
  <si>
    <t>Раздел 1. Земляные работы</t>
  </si>
  <si>
    <t>1.1</t>
  </si>
  <si>
    <t>Разработка грунта с погрузкой на автомобили-самосвалы экскаваторами с ковшом вместимостью: 1 (1-1,2)м3, группа грунтов 2</t>
  </si>
  <si>
    <t>1.2</t>
  </si>
  <si>
    <t>1.3</t>
  </si>
  <si>
    <t>тн</t>
  </si>
  <si>
    <t>1.4</t>
  </si>
  <si>
    <t>Обратная засыпка грунта с послойным уплотнением</t>
  </si>
  <si>
    <t>2.1</t>
  </si>
  <si>
    <t xml:space="preserve">Устройство бетонной подготовки, толщ.100 мм </t>
  </si>
  <si>
    <t>Бетон В 7,5 (М100)</t>
  </si>
  <si>
    <t>2.2</t>
  </si>
  <si>
    <t xml:space="preserve">Устройство монолитных конструкций ЖБ фундаментов </t>
  </si>
  <si>
    <t>Бетон B25, F100</t>
  </si>
  <si>
    <t>Арматура А500С, d=12mm</t>
  </si>
  <si>
    <t>2.3</t>
  </si>
  <si>
    <t>2.4</t>
  </si>
  <si>
    <t>2.5</t>
  </si>
  <si>
    <t>2.6</t>
  </si>
  <si>
    <t>3.1</t>
  </si>
  <si>
    <t>3.2</t>
  </si>
  <si>
    <t>Устройство монолитных конструкций ЖБ фундаментных балок</t>
  </si>
  <si>
    <t>Бетон B25, F150</t>
  </si>
  <si>
    <t>3.3</t>
  </si>
  <si>
    <t>4.2</t>
  </si>
  <si>
    <t>4.3</t>
  </si>
  <si>
    <t xml:space="preserve">Устройство монолитных конструкций ЖБ приямков </t>
  </si>
  <si>
    <t>4.4</t>
  </si>
  <si>
    <t>5.1</t>
  </si>
  <si>
    <t>5.2</t>
  </si>
  <si>
    <t>5.3</t>
  </si>
  <si>
    <t>5.4</t>
  </si>
  <si>
    <t>Арматура А500С, d=8mm</t>
  </si>
  <si>
    <t>7.1</t>
  </si>
  <si>
    <t>Сталь листовая горячекатанная, толщ.8 мм;                                           ГОСТ Р 19903-74; С245-4</t>
  </si>
  <si>
    <t>толщина листовой стали в проекте не указанна, принял самостоятельно</t>
  </si>
  <si>
    <t>7.2</t>
  </si>
  <si>
    <t>Профиль стальной гнутый замкнутый сварной квадратный 150*8;   ГОСТ Р 30245-2003; С355-5</t>
  </si>
  <si>
    <t>Профиль стальной гнутый замкнутый сварной квадратный 80*4;   ГОСТ Р 30245-2003; С245-4</t>
  </si>
  <si>
    <t>Профиль стальной гнутый замкнутый сварной квадратный 120*4;   ГОСТ Р 30245-2003; С245-4</t>
  </si>
  <si>
    <t>Профиль стальной гнутый замкнутый сварной прямоугольный 150*100*4;   ГОСТ Р 30245-2003; С245-4</t>
  </si>
  <si>
    <t>Уголок стальной горячекатанный равнополочный 100*10;                         ГОСТ Р 8509-93; С245-4</t>
  </si>
  <si>
    <t>Уголок стальной горячекатанный равнополочный 100*7;                         ГОСТ Р 8509-93; С245-4</t>
  </si>
  <si>
    <t>Швеллер стальной гнутый равнополочный 160*60*4;                         ГОСТ Р 8278-83; С245-4</t>
  </si>
  <si>
    <t>8.1</t>
  </si>
  <si>
    <t>Лист стальной профилированный Н75-750-0.8</t>
  </si>
  <si>
    <t>Кладка стен, толщ.150 мм из газобетонного блока</t>
  </si>
  <si>
    <t>Блоки газобетонные, полнотелые, конструкционно-теплоизоляционные, плотносттью не менее 800 кг/м3</t>
  </si>
  <si>
    <t>Арматура А240, d=8mm</t>
  </si>
  <si>
    <t>Швеллер стальной горячекатанный 16П;                                          ГОСТ Р 8240-97; С245-4</t>
  </si>
  <si>
    <t>Сталь листовая горячекатанная, толщ.8 мм;                                           ГОСТ Р 19903-74; С355-5</t>
  </si>
  <si>
    <t>Профиль стальной гнутый замкнутый сварной квадратный 100*4;   ГОСТ Р 30245-2003; С245-4</t>
  </si>
  <si>
    <t>в том числе ПРОЧЕЕ по специф</t>
  </si>
  <si>
    <r>
      <t xml:space="preserve">Гидроизоляция </t>
    </r>
    <r>
      <rPr>
        <b/>
        <sz val="11"/>
        <color rgb="FF002060"/>
        <rFont val="Verdana"/>
        <family val="2"/>
        <charset val="204"/>
      </rPr>
      <t>боковая</t>
    </r>
    <r>
      <rPr>
        <sz val="11"/>
        <color rgb="FF002060"/>
        <rFont val="Verdana"/>
        <family val="2"/>
        <charset val="204"/>
      </rPr>
      <t xml:space="preserve"> обмазочная битумной мастикой в два слоя по выровненной бетонной поверхности (+ 1 подготовительный слой покрытия праймером)</t>
    </r>
  </si>
  <si>
    <t>370 м2 - ВОР в ExCel</t>
  </si>
  <si>
    <t xml:space="preserve">Раздел 4. Монолитные ж/б конструкции приямков </t>
  </si>
  <si>
    <t>Двутавр стальной горячекатанный с параллельными гранями полок 25Б2;   ГОСТ Р 57837-2017; С355-5</t>
  </si>
  <si>
    <t>Уголок стальной горячекатанный равнополочный 70*5;                       ГОСТ Р 8509-93; С245-4</t>
  </si>
  <si>
    <t>Швеллер стальной горячекатанный 22П;                                          ГОСТ Р 8240-97; С245-4</t>
  </si>
  <si>
    <t>Профиль стальной гнутый замкнутый сварной квадратный 120*4;   ГОСТ Р 30245-2003; С245-5</t>
  </si>
  <si>
    <t>Устройство покрытия кровли из профилированного листа</t>
  </si>
  <si>
    <t>Устройство ограждающих конструкций из сендвич-панелей</t>
  </si>
  <si>
    <t>Устройство кровельного ограждения из сендвич-панелей</t>
  </si>
  <si>
    <t>Сендвич-панели заводского изготовления ГОСТ 32603-2012;  ТСП-К-100-1200-ТГ-Г-MB
(PVDV-01-RAL7045-05/PVDV-01-RAL9003-05),
ГОСТ 32603-2012</t>
  </si>
  <si>
    <t>Сендвич-панели заводского изготовления ГОСТ 32603-2012; ТСП-Z-100-1200-В-Г-MB (PVDV-01-RAL7045-05/PVDV-01-RAL9003-05)</t>
  </si>
  <si>
    <t>шт</t>
  </si>
  <si>
    <t>Балка Б1</t>
  </si>
  <si>
    <t>Справочно, состав одной балки Б1</t>
  </si>
  <si>
    <t>Монтаж металлоконструкций балок покрытия Б1</t>
  </si>
  <si>
    <t>Справочно, состав одной балки Б2</t>
  </si>
  <si>
    <t>Балка Б2</t>
  </si>
  <si>
    <t>Монтаж металлоконструкций балок покрытия Б2</t>
  </si>
  <si>
    <t>Колонна К-1</t>
  </si>
  <si>
    <t>Справочно, состав одной колонны К-1</t>
  </si>
  <si>
    <t>Колонна К-2</t>
  </si>
  <si>
    <r>
      <t xml:space="preserve">Монтаж металлоконструкций колонн одноэтажных зданий, цельного сечения </t>
    </r>
    <r>
      <rPr>
        <b/>
        <sz val="11"/>
        <color rgb="FF002060"/>
        <rFont val="Verdana"/>
        <family val="2"/>
        <charset val="204"/>
      </rPr>
      <t>К-2</t>
    </r>
  </si>
  <si>
    <t>Справочно, состав одной колонны К-2</t>
  </si>
  <si>
    <t>Справочно, состав одной конструкции связи</t>
  </si>
  <si>
    <t>Металлоконструкция связи (ограждение кровли)</t>
  </si>
  <si>
    <t>Монтаж металлоконструкций связей (ограждение кровли)</t>
  </si>
  <si>
    <t>8.2</t>
  </si>
  <si>
    <r>
      <t xml:space="preserve">Примечание: </t>
    </r>
    <r>
      <rPr>
        <sz val="11"/>
        <color rgb="FF002060"/>
        <rFont val="Verdana"/>
        <family val="2"/>
        <charset val="204"/>
      </rPr>
      <t xml:space="preserve">  Ведомоть объёмов работ выполнена по данным технической документации</t>
    </r>
  </si>
  <si>
    <r>
      <t xml:space="preserve">Монтаж металлоконструкций колонн одноэтажных зданий, цельного сечения </t>
    </r>
    <r>
      <rPr>
        <b/>
        <sz val="11"/>
        <color rgb="FF002060"/>
        <rFont val="Verdana"/>
        <family val="2"/>
        <charset val="204"/>
      </rPr>
      <t>К-1</t>
    </r>
  </si>
  <si>
    <t>Монтаж металлоконструкций фахверка</t>
  </si>
  <si>
    <t>Металлоконструкции фахверка</t>
  </si>
  <si>
    <t>Справочно, состав металлоконструкций фахверка</t>
  </si>
  <si>
    <t>6.1</t>
  </si>
  <si>
    <t>6.2</t>
  </si>
  <si>
    <t>6.3</t>
  </si>
  <si>
    <t>6.4</t>
  </si>
  <si>
    <t>6.5</t>
  </si>
  <si>
    <t>6.6</t>
  </si>
  <si>
    <t>Раздел 7. Кровля</t>
  </si>
  <si>
    <t>Раздел 8. Ограждающие конструкции (стены).</t>
  </si>
  <si>
    <t xml:space="preserve">Раздел 6. Монтаж металлоконструкций каркаса </t>
  </si>
  <si>
    <t>Разработка грунта в отвал экскаваторами "драглайн" или "обратная лопата" с ковшом вместимостью: 1 (1-1,2) м3, группа грунтов 2</t>
  </si>
  <si>
    <t>1.5</t>
  </si>
  <si>
    <t>Работ по устройству монолитных железобетонных конструкций здания Кинологического комплекса</t>
  </si>
  <si>
    <t>кг</t>
  </si>
  <si>
    <t>Объемы уточняются на месте после геодезических изысканий</t>
  </si>
  <si>
    <t>Бетон B30, F200</t>
  </si>
  <si>
    <t>Сетка 4С А500С-100 d=8mm</t>
  </si>
  <si>
    <t>Фм1 (18 шт)  и Фм2 (4 шт) (Вольеры)</t>
  </si>
  <si>
    <t xml:space="preserve">Раздел 2. Монолитные ж/б конструкции фундаментов </t>
  </si>
  <si>
    <t>Бетон В 7,5 (F150)</t>
  </si>
  <si>
    <t>Бетон B30, F150</t>
  </si>
  <si>
    <t xml:space="preserve">Устройство бетонной подготовки, толщ.400 мм </t>
  </si>
  <si>
    <t>Справочно, состав одного анкерного каркаса</t>
  </si>
  <si>
    <t xml:space="preserve">Анкерный болт М30, l=710mm </t>
  </si>
  <si>
    <t>Гайка М30, ГОСТ 5915-70</t>
  </si>
  <si>
    <t>Шайба М30, ГОСТ 24379.1-2012</t>
  </si>
  <si>
    <t>Уголок 75х6мм, l=400mm ; ГОСТ 8509-93; С245 ГОСТ 27772-2015</t>
  </si>
  <si>
    <t>масса 4шт.</t>
  </si>
  <si>
    <t>масса 12шт.</t>
  </si>
  <si>
    <t>масса 8шт.</t>
  </si>
  <si>
    <t>Анкерный каркас Ак1(КЖ1)</t>
  </si>
  <si>
    <t>Битумная мастика в 2 слоя ТЕХНОНИКОЛЬ
№21</t>
  </si>
  <si>
    <t>Праймер битумный ТЕХНОНИКОЛЬ №01</t>
  </si>
  <si>
    <t>Гидроизоляция рулонным наплавляемый битумно-полимерным материалом в два слоя (+ 1 подготовительный слой покрытия праймером)</t>
  </si>
  <si>
    <t>Рулонный гидроизоляционный наплавляемый битумно-полимерный материал ТЕХНОЭЛАСТ ЭПП</t>
  </si>
  <si>
    <t>Праймер битумный эмульсионный №04</t>
  </si>
  <si>
    <t xml:space="preserve">Раздел 3. Монолитные ж/б конструкции фундаментных балок </t>
  </si>
  <si>
    <t>3.4</t>
  </si>
  <si>
    <t>Фб1 (1 шт) (Вольеры)</t>
  </si>
  <si>
    <t>Фб2 (1 шт) (Вольеры)</t>
  </si>
  <si>
    <t>3.5</t>
  </si>
  <si>
    <t>Арматура А500С, d=18mm</t>
  </si>
  <si>
    <t>3.6</t>
  </si>
  <si>
    <t>Песок</t>
  </si>
  <si>
    <t xml:space="preserve">Приямок монолитный Пр1 </t>
  </si>
  <si>
    <t xml:space="preserve">Приямок монолитный Пр2 </t>
  </si>
  <si>
    <t>Приямок монолитный Пр3</t>
  </si>
  <si>
    <t>4.5</t>
  </si>
  <si>
    <t>4.6</t>
  </si>
  <si>
    <t>4.7</t>
  </si>
  <si>
    <t>4.8</t>
  </si>
  <si>
    <t>4.9</t>
  </si>
  <si>
    <t>4.10</t>
  </si>
  <si>
    <t>Гидроизоляция битумной мастикой в два слоя по выровненной бетонной поверхности (+ 1 подготовительный слой покрытия праймером) (Здание: Пр1, Пр2, Пр3)</t>
  </si>
  <si>
    <t>Бетон В 7,5 (F200)</t>
  </si>
  <si>
    <t xml:space="preserve">Устройство бетонной подготовки, толщ. 50 мм </t>
  </si>
  <si>
    <t xml:space="preserve">Устройство монолитной ЖБ плиты ПМ1, толщ. 150 мм  </t>
  </si>
  <si>
    <t>Бетон B25, F200</t>
  </si>
  <si>
    <t xml:space="preserve">Гидроизоляция битумной мастикой в два слоя по выровненной бетонной поверхности (+ 1 подготовительный слой покрытия праймером) </t>
  </si>
  <si>
    <t>Раздел 6. Балка Бм1</t>
  </si>
  <si>
    <t xml:space="preserve">Устройство монолитной ЖБ балки Бм1 </t>
  </si>
  <si>
    <t xml:space="preserve">Раздел 7. Крышки приямков </t>
  </si>
  <si>
    <t>Лист стальной с чечевичным рифлением,
t=5мм ГОСТ 8568-77</t>
  </si>
  <si>
    <t>Арматура А240, d=12mm</t>
  </si>
  <si>
    <t>Труба стальная Ø16, t=1.2, l=40</t>
  </si>
  <si>
    <t xml:space="preserve">Изготовление крышки стальной Крс2 приямков </t>
  </si>
  <si>
    <t>Крышка Крс2</t>
  </si>
  <si>
    <t>4.12</t>
  </si>
  <si>
    <t>4.11</t>
  </si>
  <si>
    <t>Монолитная плита Пм1</t>
  </si>
  <si>
    <t>8.3</t>
  </si>
  <si>
    <t xml:space="preserve">Устройство монолитной ЖБ плиты Пм1  </t>
  </si>
  <si>
    <t>Монолитная плита Пм2</t>
  </si>
  <si>
    <t>8.4</t>
  </si>
  <si>
    <t xml:space="preserve">Устройство монолитной ЖБ плиты Пм2  </t>
  </si>
  <si>
    <t>Монолитная плита Пм3</t>
  </si>
  <si>
    <t xml:space="preserve">Устройство монолитной ЖБ плиты Пм3  </t>
  </si>
  <si>
    <t>8.5</t>
  </si>
  <si>
    <t>8.6</t>
  </si>
  <si>
    <t>8.7</t>
  </si>
  <si>
    <t>8.8</t>
  </si>
  <si>
    <t>Монолитная плита Пм4</t>
  </si>
  <si>
    <t xml:space="preserve">Устройство монолитной ЖБ плиты Пм4 </t>
  </si>
  <si>
    <t>Бортики</t>
  </si>
  <si>
    <t xml:space="preserve">Устройство монолитных ЖБ бортиков </t>
  </si>
  <si>
    <t>8.9</t>
  </si>
  <si>
    <t>8.10</t>
  </si>
  <si>
    <t>Изолирующий материал "Порифлекс"</t>
  </si>
  <si>
    <t>Герметик "Мasterflex"</t>
  </si>
  <si>
    <t>м.п.</t>
  </si>
  <si>
    <t>8.11</t>
  </si>
  <si>
    <t>8.12</t>
  </si>
  <si>
    <t>Раздел 8. Монолитные плиты Пм1-Пм4, Бортики, Лестницы Л1-Л4 (Вольеры)</t>
  </si>
  <si>
    <t>Лестница Л1</t>
  </si>
  <si>
    <t xml:space="preserve">Устройство уплотненной песчаной подготовки, толщ.500 мм </t>
  </si>
  <si>
    <t xml:space="preserve">Устройство уплотненной песчаной подготовки, толщ.300 мм </t>
  </si>
  <si>
    <t>Песок средней крупности,средней плотности</t>
  </si>
  <si>
    <t xml:space="preserve">Устройство монолитной ЖБ лестницы Л1 </t>
  </si>
  <si>
    <t>Арматура А500С, d=10mm</t>
  </si>
  <si>
    <t>8.13</t>
  </si>
  <si>
    <t>8.14</t>
  </si>
  <si>
    <t>8.15</t>
  </si>
  <si>
    <t>8.16</t>
  </si>
  <si>
    <t>8.17</t>
  </si>
  <si>
    <t>8.18</t>
  </si>
  <si>
    <t>Лестница Л2</t>
  </si>
  <si>
    <t xml:space="preserve">Устройство монолитной ЖБ лестницы Л2 </t>
  </si>
  <si>
    <t xml:space="preserve">Устройство монолитной ЖБ лестницы Л3 </t>
  </si>
  <si>
    <t>8.19</t>
  </si>
  <si>
    <t>8.20</t>
  </si>
  <si>
    <t>8.21</t>
  </si>
  <si>
    <t>8.22</t>
  </si>
  <si>
    <t>Лестница Л4</t>
  </si>
  <si>
    <t xml:space="preserve">Устройство монолитной ЖБ лестницы Л4 </t>
  </si>
  <si>
    <t>Молниезащита</t>
  </si>
  <si>
    <t>8.23</t>
  </si>
  <si>
    <t>8.24</t>
  </si>
  <si>
    <t>8.25</t>
  </si>
  <si>
    <t>8.26</t>
  </si>
  <si>
    <t>8.27</t>
  </si>
  <si>
    <t>Устройство контура молниезащиты</t>
  </si>
  <si>
    <t>Полоса 4х25, ГОСТ 103-2006, Покрытие: ГОСТ 9.307-89</t>
  </si>
  <si>
    <t>Цинкнаполненная антикоррозийная композиция "Цинол", либо аналог, для восстановления покрытия в местах сварочных работ.</t>
  </si>
  <si>
    <t>Разработка грунта с погрузкой на автомобили-самосвалы экскаваторами с ковшом вместимостью: 1 (1-1,2)м3, группа грунтов 1 (ПРС)</t>
  </si>
  <si>
    <t>Перевозка грузов автомобилями-самосвалами грузоподъемностью 10 т работающих вне карьера на расстояние: 1 класс груза до 1 км.</t>
  </si>
  <si>
    <t>1 т груза</t>
  </si>
  <si>
    <t xml:space="preserve">Вес 1 м3 грунта принят равным 1,81т. </t>
  </si>
  <si>
    <t>1.6</t>
  </si>
  <si>
    <t>1.7</t>
  </si>
  <si>
    <t>5% от разработки</t>
  </si>
  <si>
    <t>Фм1 (5 шт) (Здание)</t>
  </si>
  <si>
    <t>Фм2 (11 шт) (Здание)</t>
  </si>
  <si>
    <t>Фм1.А (1 шт) (Здание)</t>
  </si>
  <si>
    <t>Фм2.А (3 шт) (Здание)</t>
  </si>
  <si>
    <t xml:space="preserve">Устройство песчанной подсыпки, толщ.300 мм </t>
  </si>
  <si>
    <t>Песок средней крупности</t>
  </si>
  <si>
    <t>Устройство выкружки из цементно-песчаного раствора</t>
  </si>
  <si>
    <t>Гидроизоляция битумной мастикой в два слоя по выровненной бетонной поверхности (+ 1 подготовительный слой покрытия праймером) (Здание: Фм1-5шт, Фм2-11шт, Фм1.А-1шт, Фм2.А-3шт)</t>
  </si>
  <si>
    <t>Расход 0,25кг на 1м2</t>
  </si>
  <si>
    <t>Цементо-песчаный раствор М100</t>
  </si>
  <si>
    <t>Фб1 (1 шт), Фб1.1 (1 шт), Фб2 (6 шт), Фб3 (1 шт), Фб4 (1 шт), Фб5 (3 шт), Фб6 (1 шт) (Здание)</t>
  </si>
  <si>
    <t>Арматура А240, d=10mm</t>
  </si>
  <si>
    <t>Монтаж закладной детали</t>
  </si>
  <si>
    <t>Труба 530х5х300 ГОСТ10704-91 Вст3сп ГОСТ10705-80</t>
  </si>
  <si>
    <t>масса 1шт 0,36кг</t>
  </si>
  <si>
    <t>Кольцо стеновое КС7-5, ТУ 22.21.21-082-27564371 - 2017</t>
  </si>
  <si>
    <t>Муфта соединительная резьбовая ССД-Пайп
160 мм (Dвнеш.=173мм), L=250, ТУ 22.21.21-082-27564371 - 2017</t>
  </si>
  <si>
    <t>Изготовление и установка закладной детали ЗД3</t>
  </si>
  <si>
    <t>Закладное изделие МН201-2, Серия 1.400-15 вып.1</t>
  </si>
  <si>
    <t>Изготовление и установка закладной детали ЗД4</t>
  </si>
  <si>
    <t>Закладное изделие МН201-3, Серия 1.400-15 вып.1</t>
  </si>
  <si>
    <t>Установка закладных деталей ЗД2</t>
  </si>
  <si>
    <t>Установка закладных деталей ЗД1</t>
  </si>
  <si>
    <t>Установка закладной детали ЗД5</t>
  </si>
  <si>
    <t>Сальник набивной Dy500, L=200, Серия 5.900-2</t>
  </si>
  <si>
    <t>Полоса 40х5 ГОСТ 103-2006/9.307-89 L=1365 мм</t>
  </si>
  <si>
    <t>Полоса 40х5 ГОСТ 103-2006/9.307-89 L=1870 мм</t>
  </si>
  <si>
    <t>Раздел 5. Плита монолитная Пм1 (Здание)</t>
  </si>
  <si>
    <t>4.15</t>
  </si>
  <si>
    <t>4.13</t>
  </si>
  <si>
    <t>4.14</t>
  </si>
  <si>
    <t>4.16</t>
  </si>
  <si>
    <t xml:space="preserve">Изготовление и монтаж закладной детали Зд2 крышки стальной Крс2 приямков </t>
  </si>
  <si>
    <t>Арматура Ø8 A500C,ГОСТ Р 52544-2006, l=200</t>
  </si>
  <si>
    <t>Уголок 250x16, ГОСТ 8509-93, l=800</t>
  </si>
  <si>
    <t>Уголок 90x6 ГОСТ 8509-93</t>
  </si>
  <si>
    <t>Праймер битумный ТЕХНОНИКОЛЬ №04</t>
  </si>
  <si>
    <t>Ведущий специалист ИТД</t>
  </si>
  <si>
    <t>Ружило Д.Ю.</t>
  </si>
  <si>
    <t xml:space="preserve">Устройство и заделка усадочного шва t=5мм в плите Пм1 </t>
  </si>
  <si>
    <t>м.п</t>
  </si>
  <si>
    <t>Уплотнительный шнур Вилатерм Ø8</t>
  </si>
  <si>
    <t>Герметик Masterflex</t>
  </si>
  <si>
    <t>5.6</t>
  </si>
  <si>
    <t>5.5</t>
  </si>
  <si>
    <t xml:space="preserve">Заделка деформационного шва t=20мм в плите Пм1 </t>
  </si>
  <si>
    <t>Изолирующий материал Порифлекс</t>
  </si>
  <si>
    <t>Устройство деформационного шва t=50мм балки Бм1</t>
  </si>
  <si>
    <t>1322-Эт2-10-КЖ1_изм.2</t>
  </si>
  <si>
    <t>УТВЕРЖДАЮ:</t>
  </si>
  <si>
    <t>Директор по производству</t>
  </si>
  <si>
    <t>______________ В.Г. Коктыш</t>
  </si>
  <si>
    <t>"_____"  ______________  2024 г.</t>
  </si>
  <si>
    <t>главный аналитик: ________________ С.С. Сенцов</t>
  </si>
  <si>
    <t>160501 «Здание кинологического комплекса»</t>
  </si>
  <si>
    <t>контрактный пакет: 16-С021 "Устройство зданий ЗСГО, Кинологического комплекса, КПП №1, АПС – 2"</t>
  </si>
  <si>
    <t>Руководитель департамента строительного производства ________________________Легкоконец И.Г.</t>
  </si>
  <si>
    <t>Легкоконец И.Г.</t>
  </si>
  <si>
    <t>Расход 3кг на 1м2 в 2 слоя</t>
  </si>
  <si>
    <t>Расход 3кг на 1м2 на 2 слоя</t>
  </si>
  <si>
    <t>Лестница Л3 (2шт)</t>
  </si>
  <si>
    <t xml:space="preserve">Доработка грунта вручную </t>
  </si>
  <si>
    <t>1322-Эт2-10-КЖ2_Изм.3</t>
  </si>
  <si>
    <t>Болт фундаментный глухой с анкерной
плитой тип 2 исполнение 1, М30х710
09Г2С-6 ГОСТ 24379.1-2012</t>
  </si>
  <si>
    <t>Справочно, состав одного анкерного блока</t>
  </si>
  <si>
    <t>Установка анкерных каркасов и блоков</t>
  </si>
  <si>
    <t>масса 72шт.</t>
  </si>
  <si>
    <t>масса 216шт.</t>
  </si>
  <si>
    <t>масса 144шт.</t>
  </si>
  <si>
    <t>Шайба 70х70х24 с отв. Ø23 мм ГОСТ
19903-2015</t>
  </si>
  <si>
    <t>Уголок 75х6мм, l=350mm ; ГОСТ 8509-93; С245 ГОСТ 27772-2015</t>
  </si>
  <si>
    <t>Анкерный блок Аб1(КЖ2)</t>
  </si>
  <si>
    <t>Анкерный блок Аб2(КЖ2)</t>
  </si>
  <si>
    <t>Болт фундаментный изогнутый тип 1
исполнение 1, М30х1000 09Г2С-6 ГОСТ
24379.1-2012</t>
  </si>
  <si>
    <t>масса 16шт.</t>
  </si>
  <si>
    <t>масса 48шт.</t>
  </si>
  <si>
    <t>масса 32шт.</t>
  </si>
  <si>
    <t>ВЕДОМОСТЬ ОБЪЕМОВ РАБОТ № 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</si>
</sst>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2060"/>
      <name val="Verdana"/>
      <family val="2"/>
      <charset val="204"/>
    </font>
    <font>
      <b/>
      <u/>
      <sz val="11"/>
      <color rgb="FF002060"/>
      <name val="Verdana"/>
      <family val="2"/>
      <charset val="204"/>
    </font>
    <font>
      <b/>
      <sz val="11"/>
      <color rgb="FF002060"/>
      <name val="Verdana"/>
      <family val="2"/>
      <charset val="204"/>
    </font>
    <font>
      <i/>
      <sz val="10.5"/>
      <color rgb="FF002060"/>
      <name val="Verdana"/>
      <family val="2"/>
      <charset val="204"/>
    </font>
    <font>
      <i/>
      <sz val="11"/>
      <color rgb="FF002060"/>
      <name val="Verdana"/>
      <family val="2"/>
      <charset val="204"/>
    </font>
    <font>
      <i/>
      <sz val="10"/>
      <color rgb="FF002060"/>
      <name val="Verdana"/>
      <family val="2"/>
      <charset val="204"/>
    </font>
    <font>
      <i/>
      <u/>
      <sz val="9"/>
      <color rgb="FF002060"/>
      <name val="Verdana"/>
      <family val="2"/>
      <charset val="204"/>
    </font>
    <font>
      <i/>
      <sz val="9"/>
      <color rgb="FF002060"/>
      <name val="Verdana"/>
      <family val="2"/>
      <charset val="204"/>
    </font>
    <font>
      <sz val="10"/>
      <color rgb="FF002060"/>
      <name val="Verdana"/>
      <family val="2"/>
      <charset val="204"/>
    </font>
    <font>
      <sz val="9"/>
      <color rgb="FF002060"/>
      <name val="Verdana"/>
      <family val="2"/>
      <charset val="204"/>
    </font>
    <font>
      <b/>
      <sz val="10"/>
      <color rgb="FF002060"/>
      <name val="Verdana"/>
      <family val="2"/>
      <charset val="204"/>
    </font>
    <font>
      <u/>
      <sz val="11"/>
      <color rgb="FF002060"/>
      <name val="Verdana"/>
      <family val="2"/>
      <charset val="204"/>
    </font>
    <font>
      <u/>
      <sz val="10"/>
      <color rgb="FF002060"/>
      <name val="Verdana"/>
      <family val="2"/>
      <charset val="204"/>
    </font>
    <font>
      <i/>
      <sz val="9"/>
      <color rgb="FFFF0000"/>
      <name val="Verdana"/>
      <family val="2"/>
      <charset val="204"/>
    </font>
    <font>
      <i/>
      <sz val="10"/>
      <name val="Verdana"/>
      <family val="2"/>
      <charset val="204"/>
    </font>
    <font>
      <i/>
      <u/>
      <sz val="9"/>
      <name val="Verdana"/>
      <family val="2"/>
      <charset val="204"/>
    </font>
    <font>
      <i/>
      <sz val="9"/>
      <name val="Verdana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Verdana"/>
      <family val="2"/>
      <charset val="204"/>
    </font>
    <font>
      <sz val="14"/>
      <color theme="1"/>
      <name val="Times New Roman"/>
      <family val="1"/>
      <charset val="204"/>
    </font>
    <font>
      <sz val="10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/>
    <xf numFmtId="0" fontId="10" fillId="0" borderId="0" xfId="0" applyFont="1" applyFill="1"/>
    <xf numFmtId="0" fontId="10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center" vertical="center"/>
    </xf>
    <xf numFmtId="0" fontId="10" fillId="2" borderId="0" xfId="1" applyFont="1" applyFill="1" applyBorder="1" applyAlignment="1">
      <alignment vertical="center"/>
    </xf>
    <xf numFmtId="0" fontId="10" fillId="2" borderId="0" xfId="1" applyFont="1" applyFill="1" applyBorder="1" applyAlignment="1">
      <alignment vertical="top"/>
    </xf>
    <xf numFmtId="0" fontId="4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 indent="3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 indent="3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 indent="3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 indent="3"/>
    </xf>
    <xf numFmtId="0" fontId="15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49" fontId="16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0" fontId="12" fillId="0" borderId="0" xfId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19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4" fontId="20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4" fontId="20" fillId="0" borderId="0" xfId="0" applyNumberFormat="1" applyFont="1" applyFill="1" applyAlignment="1">
      <alignment horizontal="right" vertical="center" wrapText="1"/>
    </xf>
    <xf numFmtId="0" fontId="20" fillId="0" borderId="0" xfId="1" applyFont="1" applyFill="1" applyAlignment="1">
      <alignment vertical="center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Alignment="1"/>
    <xf numFmtId="0" fontId="23" fillId="0" borderId="0" xfId="0" applyFont="1" applyFill="1" applyAlignment="1">
      <alignment horizontal="center" vertical="center"/>
    </xf>
    <xf numFmtId="0" fontId="4" fillId="2" borderId="7" xfId="0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12" fillId="0" borderId="0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0" fontId="20" fillId="0" borderId="8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H374"/>
  <sheetViews>
    <sheetView tabSelected="1" view="pageBreakPreview" zoomScale="90" zoomScaleNormal="100" zoomScaleSheetLayoutView="90" workbookViewId="0">
      <selection activeCell="B10" sqref="B10:F10"/>
    </sheetView>
  </sheetViews>
  <sheetFormatPr defaultColWidth="9.140625" defaultRowHeight="14.25" x14ac:dyDescent="0.25"/>
  <cols>
    <col min="1" max="1" width="3" style="3" customWidth="1"/>
    <col min="2" max="2" width="8.7109375" style="3" customWidth="1"/>
    <col min="3" max="3" width="66.28515625" style="3" customWidth="1"/>
    <col min="4" max="4" width="10.7109375" style="6" customWidth="1"/>
    <col min="5" max="5" width="13.5703125" style="6" customWidth="1"/>
    <col min="6" max="6" width="30.7109375" style="3" customWidth="1"/>
    <col min="7" max="7" width="67.28515625" style="17" customWidth="1"/>
    <col min="8" max="8" width="29.5703125" style="3" customWidth="1"/>
    <col min="9" max="15" width="10.7109375" style="3" customWidth="1"/>
    <col min="16" max="16384" width="9.140625" style="3"/>
  </cols>
  <sheetData>
    <row r="1" spans="2:8" s="95" customFormat="1" ht="12.75" customHeight="1" x14ac:dyDescent="0.25">
      <c r="B1" s="96"/>
      <c r="C1" s="97"/>
      <c r="D1" s="98"/>
      <c r="E1" s="99"/>
      <c r="F1" s="99" t="s">
        <v>279</v>
      </c>
      <c r="H1" s="100"/>
    </row>
    <row r="2" spans="2:8" s="95" customFormat="1" ht="12.75" customHeight="1" x14ac:dyDescent="0.25">
      <c r="B2" s="96"/>
      <c r="C2" s="97"/>
      <c r="D2" s="98"/>
      <c r="E2" s="99"/>
      <c r="F2" s="99" t="s">
        <v>280</v>
      </c>
      <c r="H2" s="100"/>
    </row>
    <row r="3" spans="2:8" s="95" customFormat="1" ht="12.75" customHeight="1" x14ac:dyDescent="0.25">
      <c r="B3" s="96"/>
      <c r="C3" s="97"/>
      <c r="D3" s="98"/>
      <c r="E3" s="99"/>
      <c r="F3" s="99" t="s">
        <v>2</v>
      </c>
      <c r="H3" s="100"/>
    </row>
    <row r="4" spans="2:8" s="95" customFormat="1" ht="12.75" customHeight="1" x14ac:dyDescent="0.25">
      <c r="B4" s="96"/>
      <c r="C4" s="97"/>
      <c r="D4" s="98"/>
      <c r="E4" s="99"/>
      <c r="F4" s="99"/>
      <c r="H4" s="100"/>
    </row>
    <row r="5" spans="2:8" s="95" customFormat="1" ht="12.75" customHeight="1" x14ac:dyDescent="0.25">
      <c r="B5" s="96"/>
      <c r="C5" s="97"/>
      <c r="D5" s="98"/>
      <c r="E5" s="99"/>
      <c r="F5" s="99" t="s">
        <v>281</v>
      </c>
      <c r="H5" s="100"/>
    </row>
    <row r="6" spans="2:8" s="95" customFormat="1" ht="12.75" customHeight="1" x14ac:dyDescent="0.25">
      <c r="B6" s="96"/>
      <c r="C6" s="97"/>
      <c r="D6" s="98"/>
      <c r="E6" s="99"/>
      <c r="F6" s="101"/>
      <c r="H6" s="100"/>
    </row>
    <row r="7" spans="2:8" s="95" customFormat="1" ht="12.75" customHeight="1" x14ac:dyDescent="0.25">
      <c r="B7" s="96"/>
      <c r="C7" s="97"/>
      <c r="D7" s="98"/>
      <c r="E7" s="99"/>
      <c r="F7" s="99"/>
      <c r="H7" s="100"/>
    </row>
    <row r="8" spans="2:8" s="95" customFormat="1" ht="12.75" customHeight="1" x14ac:dyDescent="0.25">
      <c r="B8" s="96"/>
      <c r="C8" s="97"/>
      <c r="D8" s="98"/>
      <c r="E8" s="99"/>
      <c r="F8" s="99" t="s">
        <v>282</v>
      </c>
      <c r="H8" s="100"/>
    </row>
    <row r="9" spans="2:8" s="18" customFormat="1" ht="12.75" customHeight="1" x14ac:dyDescent="0.2">
      <c r="B9" s="19"/>
      <c r="C9" s="20"/>
      <c r="D9" s="17"/>
      <c r="E9" s="21"/>
      <c r="F9" s="22"/>
    </row>
    <row r="10" spans="2:8" s="18" customFormat="1" ht="12.75" customHeight="1" x14ac:dyDescent="0.2">
      <c r="B10" s="110" t="s">
        <v>307</v>
      </c>
      <c r="C10" s="110"/>
      <c r="D10" s="110"/>
      <c r="E10" s="110"/>
      <c r="F10" s="110"/>
    </row>
    <row r="11" spans="2:8" s="18" customFormat="1" ht="12.75" customHeight="1" x14ac:dyDescent="0.2">
      <c r="B11" s="87"/>
      <c r="C11" s="87"/>
      <c r="D11" s="87"/>
      <c r="E11" s="23"/>
      <c r="F11" s="24"/>
    </row>
    <row r="12" spans="2:8" s="18" customFormat="1" ht="49.5" customHeight="1" x14ac:dyDescent="0.2">
      <c r="B12" s="35" t="s">
        <v>9</v>
      </c>
      <c r="C12" s="34"/>
      <c r="D12" s="111" t="s">
        <v>112</v>
      </c>
      <c r="E12" s="111"/>
      <c r="F12" s="111"/>
    </row>
    <row r="13" spans="2:8" s="18" customFormat="1" ht="55.5" customHeight="1" x14ac:dyDescent="0.2">
      <c r="B13" s="34" t="s">
        <v>10</v>
      </c>
      <c r="C13" s="34"/>
      <c r="D13" s="112" t="s">
        <v>13</v>
      </c>
      <c r="E13" s="112"/>
      <c r="F13" s="112"/>
    </row>
    <row r="14" spans="2:8" s="18" customFormat="1" ht="21.75" customHeight="1" x14ac:dyDescent="0.2">
      <c r="B14" s="34" t="s">
        <v>11</v>
      </c>
      <c r="C14" s="34"/>
      <c r="D14" s="113" t="s">
        <v>14</v>
      </c>
      <c r="E14" s="113"/>
      <c r="F14" s="113"/>
    </row>
    <row r="15" spans="2:8" s="18" customFormat="1" ht="21.75" customHeight="1" x14ac:dyDescent="0.2">
      <c r="B15" s="34" t="s">
        <v>12</v>
      </c>
      <c r="C15" s="34"/>
      <c r="D15" s="113" t="s">
        <v>284</v>
      </c>
      <c r="E15" s="113"/>
      <c r="F15" s="113"/>
    </row>
    <row r="16" spans="2:8" s="95" customFormat="1" ht="30" customHeight="1" x14ac:dyDescent="0.25">
      <c r="B16" s="34" t="s">
        <v>283</v>
      </c>
      <c r="C16" s="102"/>
      <c r="D16" s="115"/>
      <c r="E16" s="115"/>
      <c r="F16" s="115"/>
      <c r="H16" s="100"/>
    </row>
    <row r="17" spans="2:7" s="18" customFormat="1" ht="30" customHeight="1" x14ac:dyDescent="0.2">
      <c r="B17" s="107" t="s">
        <v>285</v>
      </c>
      <c r="C17" s="107"/>
      <c r="D17" s="107"/>
      <c r="E17" s="107"/>
      <c r="F17" s="107"/>
    </row>
    <row r="18" spans="2:7" s="25" customFormat="1" ht="15" customHeight="1" x14ac:dyDescent="0.25">
      <c r="B18" s="36"/>
      <c r="C18" s="106"/>
      <c r="D18" s="106"/>
      <c r="E18" s="106"/>
      <c r="F18" s="106"/>
      <c r="G18" s="26"/>
    </row>
    <row r="19" spans="2:7" s="6" customFormat="1" ht="48.75" customHeight="1" x14ac:dyDescent="0.25">
      <c r="B19" s="37" t="s">
        <v>3</v>
      </c>
      <c r="C19" s="37" t="s">
        <v>4</v>
      </c>
      <c r="D19" s="37" t="s">
        <v>5</v>
      </c>
      <c r="E19" s="37" t="s">
        <v>8</v>
      </c>
      <c r="F19" s="37" t="s">
        <v>6</v>
      </c>
      <c r="G19" s="27"/>
    </row>
    <row r="20" spans="2:7" s="88" customFormat="1" x14ac:dyDescent="0.25">
      <c r="B20" s="89"/>
      <c r="C20" s="90" t="s">
        <v>278</v>
      </c>
      <c r="D20" s="91"/>
      <c r="E20" s="91"/>
      <c r="F20" s="92"/>
      <c r="G20" s="93"/>
    </row>
    <row r="21" spans="2:7" s="1" customFormat="1" x14ac:dyDescent="0.25">
      <c r="B21" s="38"/>
      <c r="C21" s="39" t="s">
        <v>15</v>
      </c>
      <c r="D21" s="40"/>
      <c r="E21" s="40"/>
      <c r="F21" s="41"/>
      <c r="G21" s="28"/>
    </row>
    <row r="22" spans="2:7" s="30" customFormat="1" ht="42.75" x14ac:dyDescent="0.25">
      <c r="B22" s="42" t="s">
        <v>16</v>
      </c>
      <c r="C22" s="43" t="s">
        <v>223</v>
      </c>
      <c r="D22" s="44" t="s">
        <v>0</v>
      </c>
      <c r="E22" s="44">
        <v>150</v>
      </c>
      <c r="F22" s="45"/>
      <c r="G22" s="31"/>
    </row>
    <row r="23" spans="2:7" s="30" customFormat="1" ht="42.75" x14ac:dyDescent="0.25">
      <c r="B23" s="42" t="s">
        <v>18</v>
      </c>
      <c r="C23" s="43" t="s">
        <v>224</v>
      </c>
      <c r="D23" s="44" t="s">
        <v>225</v>
      </c>
      <c r="E23" s="44">
        <f>E22*1.81</f>
        <v>271.5</v>
      </c>
      <c r="F23" s="43" t="s">
        <v>226</v>
      </c>
      <c r="G23" s="31"/>
    </row>
    <row r="24" spans="2:7" s="30" customFormat="1" ht="42.75" x14ac:dyDescent="0.25">
      <c r="B24" s="42" t="s">
        <v>19</v>
      </c>
      <c r="C24" s="43" t="s">
        <v>110</v>
      </c>
      <c r="D24" s="44" t="s">
        <v>0</v>
      </c>
      <c r="E24" s="44">
        <v>1174.4349999999999</v>
      </c>
      <c r="F24" s="45"/>
      <c r="G24" s="31" t="s">
        <v>114</v>
      </c>
    </row>
    <row r="25" spans="2:7" ht="46.5" customHeight="1" x14ac:dyDescent="0.25">
      <c r="B25" s="42" t="s">
        <v>21</v>
      </c>
      <c r="C25" s="43" t="s">
        <v>17</v>
      </c>
      <c r="D25" s="44" t="s">
        <v>0</v>
      </c>
      <c r="E25" s="44">
        <v>128.30000000000001</v>
      </c>
      <c r="F25" s="43"/>
      <c r="G25" s="29" t="s">
        <v>69</v>
      </c>
    </row>
    <row r="26" spans="2:7" x14ac:dyDescent="0.25">
      <c r="B26" s="42" t="s">
        <v>111</v>
      </c>
      <c r="C26" s="43" t="s">
        <v>291</v>
      </c>
      <c r="D26" s="44" t="s">
        <v>0</v>
      </c>
      <c r="E26" s="44">
        <v>68.564999999999998</v>
      </c>
      <c r="F26" s="72" t="s">
        <v>229</v>
      </c>
      <c r="G26" s="29"/>
    </row>
    <row r="27" spans="2:7" s="30" customFormat="1" ht="42.75" x14ac:dyDescent="0.25">
      <c r="B27" s="42" t="s">
        <v>227</v>
      </c>
      <c r="C27" s="43" t="s">
        <v>224</v>
      </c>
      <c r="D27" s="44" t="s">
        <v>225</v>
      </c>
      <c r="E27" s="44">
        <f>E25*1.81</f>
        <v>232.22300000000004</v>
      </c>
      <c r="F27" s="43" t="s">
        <v>226</v>
      </c>
      <c r="G27" s="31"/>
    </row>
    <row r="28" spans="2:7" ht="21" customHeight="1" x14ac:dyDescent="0.25">
      <c r="B28" s="42" t="s">
        <v>228</v>
      </c>
      <c r="C28" s="43" t="s">
        <v>22</v>
      </c>
      <c r="D28" s="44" t="s">
        <v>0</v>
      </c>
      <c r="E28" s="44">
        <v>1243</v>
      </c>
      <c r="F28" s="43"/>
      <c r="G28" s="29"/>
    </row>
    <row r="29" spans="2:7" s="88" customFormat="1" x14ac:dyDescent="0.25">
      <c r="B29" s="89"/>
      <c r="C29" s="90" t="s">
        <v>292</v>
      </c>
      <c r="D29" s="91"/>
      <c r="E29" s="91"/>
      <c r="F29" s="92"/>
      <c r="G29" s="93"/>
    </row>
    <row r="30" spans="2:7" x14ac:dyDescent="0.25">
      <c r="B30" s="42"/>
      <c r="C30" s="46" t="s">
        <v>118</v>
      </c>
      <c r="D30" s="37"/>
      <c r="E30" s="37"/>
      <c r="F30" s="43"/>
      <c r="G30" s="29"/>
    </row>
    <row r="31" spans="2:7" x14ac:dyDescent="0.25">
      <c r="B31" s="42"/>
      <c r="C31" s="46" t="s">
        <v>230</v>
      </c>
      <c r="D31" s="37"/>
      <c r="E31" s="37"/>
      <c r="F31" s="43"/>
      <c r="G31" s="29"/>
    </row>
    <row r="32" spans="2:7" s="63" customFormat="1" x14ac:dyDescent="0.25">
      <c r="B32" s="42" t="s">
        <v>23</v>
      </c>
      <c r="C32" s="43" t="s">
        <v>234</v>
      </c>
      <c r="D32" s="44" t="s">
        <v>0</v>
      </c>
      <c r="E32" s="44">
        <v>9.4</v>
      </c>
      <c r="F32" s="43"/>
    </row>
    <row r="33" spans="2:7" s="73" customFormat="1" ht="18.75" customHeight="1" x14ac:dyDescent="0.25">
      <c r="B33" s="47"/>
      <c r="C33" s="48" t="s">
        <v>235</v>
      </c>
      <c r="D33" s="49" t="s">
        <v>0</v>
      </c>
      <c r="E33" s="49">
        <f>E32*1.24</f>
        <v>11.656000000000001</v>
      </c>
      <c r="F33" s="50"/>
    </row>
    <row r="34" spans="2:7" x14ac:dyDescent="0.25">
      <c r="B34" s="42" t="s">
        <v>26</v>
      </c>
      <c r="C34" s="43" t="s">
        <v>24</v>
      </c>
      <c r="D34" s="44" t="s">
        <v>0</v>
      </c>
      <c r="E34" s="44">
        <v>1.8</v>
      </c>
      <c r="F34" s="43"/>
      <c r="G34" s="3"/>
    </row>
    <row r="35" spans="2:7" s="73" customFormat="1" ht="18.75" customHeight="1" x14ac:dyDescent="0.25">
      <c r="B35" s="47"/>
      <c r="C35" s="48" t="s">
        <v>119</v>
      </c>
      <c r="D35" s="49" t="s">
        <v>0</v>
      </c>
      <c r="E35" s="49">
        <f>E34*1.02</f>
        <v>1.8360000000000001</v>
      </c>
      <c r="F35" s="50"/>
    </row>
    <row r="36" spans="2:7" s="63" customFormat="1" ht="31.5" customHeight="1" x14ac:dyDescent="0.25">
      <c r="B36" s="42" t="s">
        <v>30</v>
      </c>
      <c r="C36" s="43" t="s">
        <v>27</v>
      </c>
      <c r="D36" s="44" t="s">
        <v>0</v>
      </c>
      <c r="E36" s="44">
        <v>7.3</v>
      </c>
      <c r="F36" s="43"/>
    </row>
    <row r="37" spans="2:7" s="73" customFormat="1" ht="12.75" x14ac:dyDescent="0.25">
      <c r="B37" s="47"/>
      <c r="C37" s="48" t="s">
        <v>37</v>
      </c>
      <c r="D37" s="49" t="s">
        <v>0</v>
      </c>
      <c r="E37" s="49">
        <f>E36*1.015</f>
        <v>7.4094999999999995</v>
      </c>
      <c r="F37" s="50"/>
    </row>
    <row r="38" spans="2:7" s="73" customFormat="1" ht="15.75" customHeight="1" x14ac:dyDescent="0.25">
      <c r="B38" s="47"/>
      <c r="C38" s="48" t="s">
        <v>47</v>
      </c>
      <c r="D38" s="49" t="s">
        <v>20</v>
      </c>
      <c r="E38" s="49">
        <v>3.6999999999999998E-2</v>
      </c>
      <c r="F38" s="50">
        <f>0.036*1.015</f>
        <v>3.6539999999999996E-2</v>
      </c>
    </row>
    <row r="39" spans="2:7" s="73" customFormat="1" ht="15.75" customHeight="1" x14ac:dyDescent="0.25">
      <c r="B39" s="47"/>
      <c r="C39" s="48" t="s">
        <v>63</v>
      </c>
      <c r="D39" s="49" t="s">
        <v>20</v>
      </c>
      <c r="E39" s="49">
        <v>2.69E-2</v>
      </c>
      <c r="F39" s="50">
        <f>0.0265*1.015</f>
        <v>2.6897499999999998E-2</v>
      </c>
    </row>
    <row r="40" spans="2:7" s="73" customFormat="1" ht="15.75" customHeight="1" x14ac:dyDescent="0.25">
      <c r="B40" s="47"/>
      <c r="C40" s="48" t="s">
        <v>116</v>
      </c>
      <c r="D40" s="49" t="s">
        <v>20</v>
      </c>
      <c r="E40" s="49">
        <v>1.7999999999999999E-2</v>
      </c>
      <c r="F40" s="50">
        <f>0.018*1.015</f>
        <v>1.8269999999999998E-2</v>
      </c>
    </row>
    <row r="41" spans="2:7" s="73" customFormat="1" ht="15.75" customHeight="1" x14ac:dyDescent="0.25">
      <c r="B41" s="47"/>
      <c r="C41" s="48" t="s">
        <v>29</v>
      </c>
      <c r="D41" s="49" t="s">
        <v>20</v>
      </c>
      <c r="E41" s="49">
        <v>0.28499999999999998</v>
      </c>
      <c r="F41" s="50">
        <f>(0.2+0.081)*1.015</f>
        <v>0.285215</v>
      </c>
    </row>
    <row r="42" spans="2:7" s="63" customFormat="1" x14ac:dyDescent="0.25">
      <c r="B42" s="42"/>
      <c r="C42" s="46" t="s">
        <v>231</v>
      </c>
      <c r="D42" s="37"/>
      <c r="E42" s="37"/>
      <c r="F42" s="43"/>
      <c r="G42" s="74"/>
    </row>
    <row r="43" spans="2:7" s="63" customFormat="1" x14ac:dyDescent="0.25">
      <c r="B43" s="42" t="s">
        <v>23</v>
      </c>
      <c r="C43" s="43" t="s">
        <v>234</v>
      </c>
      <c r="D43" s="44" t="s">
        <v>0</v>
      </c>
      <c r="E43" s="44">
        <v>20.7</v>
      </c>
      <c r="F43" s="43"/>
    </row>
    <row r="44" spans="2:7" s="73" customFormat="1" ht="18.75" customHeight="1" x14ac:dyDescent="0.25">
      <c r="B44" s="47"/>
      <c r="C44" s="48" t="s">
        <v>235</v>
      </c>
      <c r="D44" s="49" t="s">
        <v>0</v>
      </c>
      <c r="E44" s="49">
        <f>E43*1.24</f>
        <v>25.667999999999999</v>
      </c>
      <c r="F44" s="50"/>
    </row>
    <row r="45" spans="2:7" s="63" customFormat="1" x14ac:dyDescent="0.25">
      <c r="B45" s="42" t="s">
        <v>26</v>
      </c>
      <c r="C45" s="43" t="s">
        <v>24</v>
      </c>
      <c r="D45" s="44" t="s">
        <v>0</v>
      </c>
      <c r="E45" s="44">
        <v>3.96</v>
      </c>
      <c r="F45" s="43"/>
    </row>
    <row r="46" spans="2:7" s="73" customFormat="1" ht="18.75" customHeight="1" x14ac:dyDescent="0.25">
      <c r="B46" s="47"/>
      <c r="C46" s="48" t="s">
        <v>119</v>
      </c>
      <c r="D46" s="49" t="s">
        <v>0</v>
      </c>
      <c r="E46" s="49">
        <f>E45*1.02</f>
        <v>4.0392000000000001</v>
      </c>
      <c r="F46" s="50"/>
    </row>
    <row r="47" spans="2:7" s="63" customFormat="1" ht="31.5" customHeight="1" x14ac:dyDescent="0.25">
      <c r="B47" s="42" t="s">
        <v>30</v>
      </c>
      <c r="C47" s="43" t="s">
        <v>27</v>
      </c>
      <c r="D47" s="44" t="s">
        <v>0</v>
      </c>
      <c r="E47" s="44">
        <v>15.18</v>
      </c>
      <c r="F47" s="43"/>
    </row>
    <row r="48" spans="2:7" s="73" customFormat="1" ht="12.75" x14ac:dyDescent="0.25">
      <c r="B48" s="47"/>
      <c r="C48" s="48" t="s">
        <v>37</v>
      </c>
      <c r="D48" s="49" t="s">
        <v>0</v>
      </c>
      <c r="E48" s="49">
        <f>E47*1.015</f>
        <v>15.407699999999998</v>
      </c>
      <c r="F48" s="50"/>
    </row>
    <row r="49" spans="2:7" s="73" customFormat="1" ht="15.75" customHeight="1" x14ac:dyDescent="0.25">
      <c r="B49" s="47"/>
      <c r="C49" s="48" t="s">
        <v>47</v>
      </c>
      <c r="D49" s="49" t="s">
        <v>20</v>
      </c>
      <c r="E49" s="49">
        <v>6.7000000000000004E-2</v>
      </c>
      <c r="F49" s="50">
        <f>0.066*1.015</f>
        <v>6.6989999999999994E-2</v>
      </c>
    </row>
    <row r="50" spans="2:7" s="73" customFormat="1" ht="15.75" customHeight="1" x14ac:dyDescent="0.25">
      <c r="B50" s="47"/>
      <c r="C50" s="48" t="s">
        <v>63</v>
      </c>
      <c r="D50" s="49" t="s">
        <v>20</v>
      </c>
      <c r="E50" s="49">
        <v>4.9000000000000002E-2</v>
      </c>
      <c r="F50" s="50">
        <f>0.0484*1.015</f>
        <v>4.9125999999999996E-2</v>
      </c>
    </row>
    <row r="51" spans="2:7" s="73" customFormat="1" ht="15.75" customHeight="1" x14ac:dyDescent="0.25">
      <c r="B51" s="47"/>
      <c r="C51" s="48" t="s">
        <v>116</v>
      </c>
      <c r="D51" s="49" t="s">
        <v>20</v>
      </c>
      <c r="E51" s="49">
        <v>0.04</v>
      </c>
      <c r="F51" s="50">
        <f>0.0396*1.015</f>
        <v>4.0194000000000001E-2</v>
      </c>
    </row>
    <row r="52" spans="2:7" s="73" customFormat="1" ht="15.75" customHeight="1" x14ac:dyDescent="0.25">
      <c r="B52" s="47"/>
      <c r="C52" s="48" t="s">
        <v>29</v>
      </c>
      <c r="D52" s="49" t="s">
        <v>20</v>
      </c>
      <c r="E52" s="49">
        <v>0.60899999999999999</v>
      </c>
      <c r="F52" s="50">
        <f>(0.44+0.1606)*1.015</f>
        <v>0.60960899999999996</v>
      </c>
    </row>
    <row r="53" spans="2:7" x14ac:dyDescent="0.25">
      <c r="B53" s="42"/>
      <c r="C53" s="46" t="s">
        <v>232</v>
      </c>
      <c r="D53" s="37"/>
      <c r="E53" s="37"/>
      <c r="F53" s="43"/>
      <c r="G53" s="29"/>
    </row>
    <row r="54" spans="2:7" s="63" customFormat="1" x14ac:dyDescent="0.25">
      <c r="B54" s="42" t="s">
        <v>23</v>
      </c>
      <c r="C54" s="43" t="s">
        <v>234</v>
      </c>
      <c r="D54" s="44" t="s">
        <v>0</v>
      </c>
      <c r="E54" s="44">
        <v>1.9</v>
      </c>
      <c r="F54" s="43"/>
    </row>
    <row r="55" spans="2:7" s="73" customFormat="1" ht="18.75" customHeight="1" x14ac:dyDescent="0.25">
      <c r="B55" s="47"/>
      <c r="C55" s="48" t="s">
        <v>235</v>
      </c>
      <c r="D55" s="49" t="s">
        <v>0</v>
      </c>
      <c r="E55" s="49">
        <f>E54*1.24</f>
        <v>2.3559999999999999</v>
      </c>
      <c r="F55" s="50"/>
    </row>
    <row r="56" spans="2:7" x14ac:dyDescent="0.25">
      <c r="B56" s="42" t="s">
        <v>26</v>
      </c>
      <c r="C56" s="43" t="s">
        <v>121</v>
      </c>
      <c r="D56" s="44" t="s">
        <v>0</v>
      </c>
      <c r="E56" s="44">
        <v>0.36</v>
      </c>
      <c r="F56" s="43"/>
      <c r="G56" s="3"/>
    </row>
    <row r="57" spans="2:7" s="73" customFormat="1" ht="18.75" customHeight="1" x14ac:dyDescent="0.25">
      <c r="B57" s="47"/>
      <c r="C57" s="48" t="s">
        <v>119</v>
      </c>
      <c r="D57" s="49" t="s">
        <v>0</v>
      </c>
      <c r="E57" s="49">
        <f>E56*1.02</f>
        <v>0.36719999999999997</v>
      </c>
      <c r="F57" s="50"/>
    </row>
    <row r="58" spans="2:7" s="63" customFormat="1" ht="31.5" customHeight="1" x14ac:dyDescent="0.25">
      <c r="B58" s="42" t="s">
        <v>30</v>
      </c>
      <c r="C58" s="43" t="s">
        <v>27</v>
      </c>
      <c r="D58" s="44" t="s">
        <v>0</v>
      </c>
      <c r="E58" s="44">
        <v>1.87</v>
      </c>
      <c r="F58" s="43"/>
    </row>
    <row r="59" spans="2:7" s="73" customFormat="1" ht="12.75" x14ac:dyDescent="0.25">
      <c r="B59" s="47"/>
      <c r="C59" s="48" t="s">
        <v>37</v>
      </c>
      <c r="D59" s="49" t="s">
        <v>0</v>
      </c>
      <c r="E59" s="49">
        <f>E58*1.015</f>
        <v>1.89805</v>
      </c>
      <c r="F59" s="50"/>
    </row>
    <row r="60" spans="2:7" s="73" customFormat="1" ht="15.75" customHeight="1" x14ac:dyDescent="0.25">
      <c r="B60" s="47"/>
      <c r="C60" s="48" t="s">
        <v>47</v>
      </c>
      <c r="D60" s="49" t="s">
        <v>20</v>
      </c>
      <c r="E60" s="49">
        <v>1.2E-2</v>
      </c>
      <c r="F60" s="50">
        <f>0.012*1.015</f>
        <v>1.218E-2</v>
      </c>
    </row>
    <row r="61" spans="2:7" s="73" customFormat="1" ht="15.75" customHeight="1" x14ac:dyDescent="0.25">
      <c r="B61" s="47"/>
      <c r="C61" s="48" t="s">
        <v>63</v>
      </c>
      <c r="D61" s="49" t="s">
        <v>20</v>
      </c>
      <c r="E61" s="49">
        <v>8.9999999999999993E-3</v>
      </c>
      <c r="F61" s="50">
        <f>0.009*1.015</f>
        <v>9.134999999999999E-3</v>
      </c>
    </row>
    <row r="62" spans="2:7" s="73" customFormat="1" ht="15.75" customHeight="1" x14ac:dyDescent="0.25">
      <c r="B62" s="47"/>
      <c r="C62" s="48" t="s">
        <v>116</v>
      </c>
      <c r="D62" s="49" t="s">
        <v>20</v>
      </c>
      <c r="E62" s="49">
        <v>3.5999999999999999E-3</v>
      </c>
      <c r="F62" s="50">
        <f>0.0036*1.015</f>
        <v>3.6539999999999997E-3</v>
      </c>
    </row>
    <row r="63" spans="2:7" s="73" customFormat="1" ht="15.75" customHeight="1" x14ac:dyDescent="0.25">
      <c r="B63" s="47"/>
      <c r="C63" s="48" t="s">
        <v>29</v>
      </c>
      <c r="D63" s="49" t="s">
        <v>20</v>
      </c>
      <c r="E63" s="49">
        <v>6.6000000000000003E-2</v>
      </c>
      <c r="F63" s="50">
        <f>(0.04+0.02525)*1.015</f>
        <v>6.6228750000000003E-2</v>
      </c>
    </row>
    <row r="64" spans="2:7" x14ac:dyDescent="0.25">
      <c r="B64" s="42"/>
      <c r="C64" s="46" t="s">
        <v>233</v>
      </c>
      <c r="D64" s="37"/>
      <c r="E64" s="37"/>
      <c r="F64" s="43"/>
      <c r="G64" s="29"/>
    </row>
    <row r="65" spans="2:7" s="63" customFormat="1" x14ac:dyDescent="0.25">
      <c r="B65" s="42" t="s">
        <v>23</v>
      </c>
      <c r="C65" s="43" t="s">
        <v>234</v>
      </c>
      <c r="D65" s="44" t="s">
        <v>0</v>
      </c>
      <c r="E65" s="44">
        <v>5.6</v>
      </c>
      <c r="F65" s="43"/>
    </row>
    <row r="66" spans="2:7" s="73" customFormat="1" ht="18.75" customHeight="1" x14ac:dyDescent="0.25">
      <c r="B66" s="47"/>
      <c r="C66" s="48" t="s">
        <v>235</v>
      </c>
      <c r="D66" s="49" t="s">
        <v>0</v>
      </c>
      <c r="E66" s="49">
        <f>E65*1.24</f>
        <v>6.944</v>
      </c>
      <c r="F66" s="50"/>
    </row>
    <row r="67" spans="2:7" x14ac:dyDescent="0.25">
      <c r="B67" s="42" t="s">
        <v>26</v>
      </c>
      <c r="C67" s="43" t="s">
        <v>121</v>
      </c>
      <c r="D67" s="44" t="s">
        <v>0</v>
      </c>
      <c r="E67" s="44">
        <v>1.08</v>
      </c>
      <c r="F67" s="43"/>
      <c r="G67" s="3"/>
    </row>
    <row r="68" spans="2:7" s="73" customFormat="1" ht="18.75" customHeight="1" x14ac:dyDescent="0.25">
      <c r="B68" s="47"/>
      <c r="C68" s="48" t="s">
        <v>119</v>
      </c>
      <c r="D68" s="49" t="s">
        <v>0</v>
      </c>
      <c r="E68" s="49">
        <f>E67*1.02</f>
        <v>1.1016000000000001</v>
      </c>
      <c r="F68" s="50"/>
    </row>
    <row r="69" spans="2:7" s="63" customFormat="1" ht="31.5" customHeight="1" x14ac:dyDescent="0.25">
      <c r="B69" s="42" t="s">
        <v>30</v>
      </c>
      <c r="C69" s="43" t="s">
        <v>27</v>
      </c>
      <c r="D69" s="44" t="s">
        <v>0</v>
      </c>
      <c r="E69" s="44">
        <v>5.4</v>
      </c>
      <c r="F69" s="43"/>
    </row>
    <row r="70" spans="2:7" s="73" customFormat="1" ht="12.75" x14ac:dyDescent="0.25">
      <c r="B70" s="47"/>
      <c r="C70" s="48" t="s">
        <v>37</v>
      </c>
      <c r="D70" s="49" t="s">
        <v>0</v>
      </c>
      <c r="E70" s="49">
        <f>E69*1.015</f>
        <v>5.4809999999999999</v>
      </c>
      <c r="F70" s="50"/>
    </row>
    <row r="71" spans="2:7" s="73" customFormat="1" ht="15.75" customHeight="1" x14ac:dyDescent="0.25">
      <c r="B71" s="47"/>
      <c r="C71" s="48" t="s">
        <v>47</v>
      </c>
      <c r="D71" s="49" t="s">
        <v>20</v>
      </c>
      <c r="E71" s="49">
        <v>3.3000000000000002E-2</v>
      </c>
      <c r="F71" s="50">
        <f>0.0324*1.015</f>
        <v>3.2885999999999992E-2</v>
      </c>
    </row>
    <row r="72" spans="2:7" s="73" customFormat="1" ht="15.75" customHeight="1" x14ac:dyDescent="0.25">
      <c r="B72" s="47"/>
      <c r="C72" s="48" t="s">
        <v>63</v>
      </c>
      <c r="D72" s="49" t="s">
        <v>20</v>
      </c>
      <c r="E72" s="49">
        <v>2.4E-2</v>
      </c>
      <c r="F72" s="50">
        <f>0.024*1.015</f>
        <v>2.436E-2</v>
      </c>
    </row>
    <row r="73" spans="2:7" s="73" customFormat="1" ht="15.75" customHeight="1" x14ac:dyDescent="0.25">
      <c r="B73" s="47"/>
      <c r="C73" s="48" t="s">
        <v>116</v>
      </c>
      <c r="D73" s="49" t="s">
        <v>20</v>
      </c>
      <c r="E73" s="49">
        <v>1.0999999999999999E-2</v>
      </c>
      <c r="F73" s="50">
        <f>0.011*1.015</f>
        <v>1.1164999999999998E-2</v>
      </c>
    </row>
    <row r="74" spans="2:7" s="73" customFormat="1" ht="15.75" customHeight="1" x14ac:dyDescent="0.25">
      <c r="B74" s="47"/>
      <c r="C74" s="48" t="s">
        <v>29</v>
      </c>
      <c r="D74" s="49" t="s">
        <v>20</v>
      </c>
      <c r="E74" s="49">
        <v>0.19800000000000001</v>
      </c>
      <c r="F74" s="50">
        <f>(0.12+0.0756)*1.015</f>
        <v>0.19853399999999999</v>
      </c>
    </row>
    <row r="75" spans="2:7" s="10" customFormat="1" ht="15.75" customHeight="1" x14ac:dyDescent="0.25">
      <c r="B75" s="47"/>
      <c r="C75" s="46" t="s">
        <v>117</v>
      </c>
      <c r="D75" s="49"/>
      <c r="E75" s="49"/>
      <c r="F75" s="50"/>
    </row>
    <row r="76" spans="2:7" x14ac:dyDescent="0.25">
      <c r="B76" s="42" t="s">
        <v>23</v>
      </c>
      <c r="C76" s="43" t="s">
        <v>24</v>
      </c>
      <c r="D76" s="44" t="s">
        <v>0</v>
      </c>
      <c r="E76" s="44">
        <v>2.42</v>
      </c>
      <c r="F76" s="43"/>
      <c r="G76" s="3"/>
    </row>
    <row r="77" spans="2:7" s="73" customFormat="1" ht="18.75" customHeight="1" x14ac:dyDescent="0.25">
      <c r="B77" s="47"/>
      <c r="C77" s="48" t="s">
        <v>119</v>
      </c>
      <c r="D77" s="49" t="s">
        <v>0</v>
      </c>
      <c r="E77" s="49">
        <f>E76*1.02</f>
        <v>2.4683999999999999</v>
      </c>
      <c r="F77" s="50"/>
    </row>
    <row r="78" spans="2:7" s="63" customFormat="1" ht="31.5" customHeight="1" x14ac:dyDescent="0.25">
      <c r="B78" s="42" t="s">
        <v>26</v>
      </c>
      <c r="C78" s="43" t="s">
        <v>27</v>
      </c>
      <c r="D78" s="44" t="s">
        <v>0</v>
      </c>
      <c r="E78" s="44">
        <v>6.8</v>
      </c>
      <c r="F78" s="43"/>
    </row>
    <row r="79" spans="2:7" s="73" customFormat="1" ht="12.75" x14ac:dyDescent="0.25">
      <c r="B79" s="47"/>
      <c r="C79" s="48" t="s">
        <v>120</v>
      </c>
      <c r="D79" s="49" t="s">
        <v>0</v>
      </c>
      <c r="E79" s="49">
        <f>E78*1.015</f>
        <v>6.9019999999999992</v>
      </c>
      <c r="F79" s="50"/>
    </row>
    <row r="80" spans="2:7" s="73" customFormat="1" ht="15.75" customHeight="1" x14ac:dyDescent="0.25">
      <c r="B80" s="47"/>
      <c r="C80" s="48" t="s">
        <v>63</v>
      </c>
      <c r="D80" s="49" t="s">
        <v>20</v>
      </c>
      <c r="E80" s="49">
        <v>0.04</v>
      </c>
      <c r="F80" s="50">
        <f>0.0394*1.015</f>
        <v>3.9990999999999992E-2</v>
      </c>
    </row>
    <row r="81" spans="2:7" s="10" customFormat="1" ht="15.75" customHeight="1" x14ac:dyDescent="0.25">
      <c r="B81" s="47"/>
      <c r="C81" s="48" t="s">
        <v>116</v>
      </c>
      <c r="D81" s="49" t="s">
        <v>20</v>
      </c>
      <c r="E81" s="49">
        <v>0.18099999999999999</v>
      </c>
      <c r="F81" s="50">
        <f>0.1784*1.015</f>
        <v>0.18107599999999999</v>
      </c>
    </row>
    <row r="82" spans="2:7" s="10" customFormat="1" ht="15.75" customHeight="1" x14ac:dyDescent="0.25">
      <c r="B82" s="47"/>
      <c r="C82" s="48" t="s">
        <v>29</v>
      </c>
      <c r="D82" s="49" t="s">
        <v>20</v>
      </c>
      <c r="E82" s="49">
        <v>0.36230000000000001</v>
      </c>
      <c r="F82" s="50">
        <f>0.315*1.15</f>
        <v>0.36224999999999996</v>
      </c>
    </row>
    <row r="83" spans="2:7" ht="18" customHeight="1" x14ac:dyDescent="0.25">
      <c r="B83" s="42" t="s">
        <v>30</v>
      </c>
      <c r="C83" s="43" t="s">
        <v>295</v>
      </c>
      <c r="D83" s="44" t="s">
        <v>20</v>
      </c>
      <c r="E83" s="44">
        <f>E85*E84+E90*E91+E97*E98</f>
        <v>28.236199999999993</v>
      </c>
      <c r="F83" s="54"/>
      <c r="G83" s="8"/>
    </row>
    <row r="84" spans="2:7" s="10" customFormat="1" ht="17.25" customHeight="1" x14ac:dyDescent="0.25">
      <c r="B84" s="47"/>
      <c r="C84" s="48" t="s">
        <v>130</v>
      </c>
      <c r="D84" s="49" t="s">
        <v>80</v>
      </c>
      <c r="E84" s="49">
        <v>20</v>
      </c>
      <c r="F84" s="50"/>
      <c r="G84" s="9"/>
    </row>
    <row r="85" spans="2:7" s="11" customFormat="1" ht="15" customHeight="1" x14ac:dyDescent="0.25">
      <c r="B85" s="55"/>
      <c r="C85" s="56" t="s">
        <v>122</v>
      </c>
      <c r="D85" s="56" t="s">
        <v>20</v>
      </c>
      <c r="E85" s="56">
        <f>E86+E87+E88+E89</f>
        <v>3.5400000000000001E-2</v>
      </c>
      <c r="F85" s="57"/>
      <c r="G85" s="12"/>
    </row>
    <row r="86" spans="2:7" s="13" customFormat="1" ht="15" customHeight="1" x14ac:dyDescent="0.25">
      <c r="B86" s="58"/>
      <c r="C86" s="59" t="s">
        <v>123</v>
      </c>
      <c r="D86" s="60" t="s">
        <v>20</v>
      </c>
      <c r="E86" s="60">
        <f>ROUND((0.019),3)</f>
        <v>1.9E-2</v>
      </c>
      <c r="F86" s="61" t="s">
        <v>127</v>
      </c>
      <c r="G86" s="14"/>
    </row>
    <row r="87" spans="2:7" s="13" customFormat="1" ht="11.25" x14ac:dyDescent="0.25">
      <c r="B87" s="58"/>
      <c r="C87" s="59" t="s">
        <v>124</v>
      </c>
      <c r="D87" s="60" t="s">
        <v>20</v>
      </c>
      <c r="E87" s="60">
        <f>ROUND((0.0028),4)</f>
        <v>2.8E-3</v>
      </c>
      <c r="F87" s="61" t="s">
        <v>128</v>
      </c>
      <c r="G87" s="14"/>
    </row>
    <row r="88" spans="2:7" s="13" customFormat="1" ht="11.25" x14ac:dyDescent="0.25">
      <c r="B88" s="58"/>
      <c r="C88" s="59" t="s">
        <v>125</v>
      </c>
      <c r="D88" s="60" t="s">
        <v>20</v>
      </c>
      <c r="E88" s="60">
        <f>ROUND((0.00264),4)</f>
        <v>2.5999999999999999E-3</v>
      </c>
      <c r="F88" s="61" t="s">
        <v>129</v>
      </c>
      <c r="G88" s="14"/>
    </row>
    <row r="89" spans="2:7" s="13" customFormat="1" ht="22.5" x14ac:dyDescent="0.25">
      <c r="B89" s="58"/>
      <c r="C89" s="59" t="s">
        <v>126</v>
      </c>
      <c r="D89" s="60" t="s">
        <v>20</v>
      </c>
      <c r="E89" s="60">
        <f>ROUND((0.011),3)</f>
        <v>1.0999999999999999E-2</v>
      </c>
      <c r="F89" s="61" t="s">
        <v>127</v>
      </c>
      <c r="G89" s="14"/>
    </row>
    <row r="90" spans="2:7" s="75" customFormat="1" ht="17.25" customHeight="1" x14ac:dyDescent="0.25">
      <c r="B90" s="76"/>
      <c r="C90" s="59" t="s">
        <v>301</v>
      </c>
      <c r="D90" s="49" t="s">
        <v>80</v>
      </c>
      <c r="E90" s="49">
        <v>18</v>
      </c>
      <c r="F90" s="77"/>
      <c r="G90" s="77"/>
    </row>
    <row r="91" spans="2:7" s="78" customFormat="1" ht="15" customHeight="1" x14ac:dyDescent="0.25">
      <c r="B91" s="79"/>
      <c r="C91" s="56" t="s">
        <v>294</v>
      </c>
      <c r="D91" s="60" t="s">
        <v>20</v>
      </c>
      <c r="E91" s="60">
        <f>E92+E93+E94+E96+E95</f>
        <v>1.4590999999999998</v>
      </c>
      <c r="F91" s="60"/>
      <c r="G91" s="80"/>
    </row>
    <row r="92" spans="2:7" s="81" customFormat="1" ht="33.75" x14ac:dyDescent="0.25">
      <c r="B92" s="82"/>
      <c r="C92" s="59" t="s">
        <v>293</v>
      </c>
      <c r="D92" s="60" t="s">
        <v>20</v>
      </c>
      <c r="E92" s="60">
        <f>ROUND((0.522),3)</f>
        <v>0.52200000000000002</v>
      </c>
      <c r="F92" s="61" t="s">
        <v>296</v>
      </c>
      <c r="G92" s="83"/>
    </row>
    <row r="93" spans="2:7" s="81" customFormat="1" ht="11.25" x14ac:dyDescent="0.25">
      <c r="B93" s="82"/>
      <c r="C93" s="59" t="s">
        <v>124</v>
      </c>
      <c r="D93" s="60" t="s">
        <v>20</v>
      </c>
      <c r="E93" s="60">
        <f>ROUND((0.052),4)</f>
        <v>5.1999999999999998E-2</v>
      </c>
      <c r="F93" s="61" t="s">
        <v>297</v>
      </c>
      <c r="G93" s="83"/>
    </row>
    <row r="94" spans="2:7" s="81" customFormat="1" ht="11.25" x14ac:dyDescent="0.25">
      <c r="B94" s="82"/>
      <c r="C94" s="59" t="s">
        <v>125</v>
      </c>
      <c r="D94" s="60" t="s">
        <v>20</v>
      </c>
      <c r="E94" s="60">
        <f>ROUND((0.0475),4)</f>
        <v>4.7500000000000001E-2</v>
      </c>
      <c r="F94" s="61" t="s">
        <v>298</v>
      </c>
      <c r="G94" s="83"/>
    </row>
    <row r="95" spans="2:7" s="81" customFormat="1" ht="22.5" x14ac:dyDescent="0.25">
      <c r="B95" s="82"/>
      <c r="C95" s="59" t="s">
        <v>299</v>
      </c>
      <c r="D95" s="60" t="s">
        <v>20</v>
      </c>
      <c r="E95" s="60">
        <f>ROUND((0.6646),4)</f>
        <v>0.66459999999999997</v>
      </c>
      <c r="F95" s="61" t="s">
        <v>296</v>
      </c>
      <c r="G95" s="83"/>
    </row>
    <row r="96" spans="2:7" s="81" customFormat="1" ht="22.5" x14ac:dyDescent="0.25">
      <c r="B96" s="82"/>
      <c r="C96" s="59" t="s">
        <v>300</v>
      </c>
      <c r="D96" s="60" t="s">
        <v>20</v>
      </c>
      <c r="E96" s="60">
        <f>ROUND((0.173),3)</f>
        <v>0.17299999999999999</v>
      </c>
      <c r="F96" s="61" t="s">
        <v>296</v>
      </c>
      <c r="G96" s="83"/>
    </row>
    <row r="97" spans="2:7" s="75" customFormat="1" ht="17.25" customHeight="1" x14ac:dyDescent="0.25">
      <c r="B97" s="76"/>
      <c r="C97" s="59" t="s">
        <v>302</v>
      </c>
      <c r="D97" s="49" t="s">
        <v>80</v>
      </c>
      <c r="E97" s="49">
        <v>4</v>
      </c>
      <c r="F97" s="77"/>
      <c r="G97" s="77"/>
    </row>
    <row r="98" spans="2:7" s="78" customFormat="1" ht="15" customHeight="1" x14ac:dyDescent="0.25">
      <c r="B98" s="79"/>
      <c r="C98" s="56" t="s">
        <v>294</v>
      </c>
      <c r="D98" s="60" t="s">
        <v>20</v>
      </c>
      <c r="E98" s="60">
        <f>E99+E100+E101+E103+E102</f>
        <v>0.31609999999999999</v>
      </c>
      <c r="F98" s="61"/>
      <c r="G98" s="80"/>
    </row>
    <row r="99" spans="2:7" s="81" customFormat="1" ht="33.75" x14ac:dyDescent="0.25">
      <c r="B99" s="82"/>
      <c r="C99" s="59" t="s">
        <v>303</v>
      </c>
      <c r="D99" s="60" t="s">
        <v>20</v>
      </c>
      <c r="E99" s="60">
        <f>ROUND((0.1083),3)</f>
        <v>0.108</v>
      </c>
      <c r="F99" s="61" t="s">
        <v>304</v>
      </c>
      <c r="G99" s="83"/>
    </row>
    <row r="100" spans="2:7" s="81" customFormat="1" ht="11.25" x14ac:dyDescent="0.25">
      <c r="B100" s="82"/>
      <c r="C100" s="59" t="s">
        <v>124</v>
      </c>
      <c r="D100" s="60" t="s">
        <v>20</v>
      </c>
      <c r="E100" s="60">
        <f>ROUND((0.0115),4)</f>
        <v>1.15E-2</v>
      </c>
      <c r="F100" s="61" t="s">
        <v>305</v>
      </c>
      <c r="G100" s="83"/>
    </row>
    <row r="101" spans="2:7" s="81" customFormat="1" ht="11.25" x14ac:dyDescent="0.25">
      <c r="B101" s="82"/>
      <c r="C101" s="59" t="s">
        <v>125</v>
      </c>
      <c r="D101" s="60" t="s">
        <v>20</v>
      </c>
      <c r="E101" s="60">
        <f>ROUND((0.0106),4)</f>
        <v>1.06E-2</v>
      </c>
      <c r="F101" s="61" t="s">
        <v>306</v>
      </c>
      <c r="G101" s="83"/>
    </row>
    <row r="102" spans="2:7" s="81" customFormat="1" ht="22.5" x14ac:dyDescent="0.25">
      <c r="B102" s="82"/>
      <c r="C102" s="59" t="s">
        <v>299</v>
      </c>
      <c r="D102" s="60" t="s">
        <v>20</v>
      </c>
      <c r="E102" s="60">
        <f>ROUND((0.148),4)</f>
        <v>0.14799999999999999</v>
      </c>
      <c r="F102" s="61" t="s">
        <v>304</v>
      </c>
      <c r="G102" s="83"/>
    </row>
    <row r="103" spans="2:7" s="81" customFormat="1" ht="22.5" x14ac:dyDescent="0.25">
      <c r="B103" s="82"/>
      <c r="C103" s="59" t="s">
        <v>300</v>
      </c>
      <c r="D103" s="60" t="s">
        <v>20</v>
      </c>
      <c r="E103" s="60">
        <f>ROUND((0.0384),3)</f>
        <v>3.7999999999999999E-2</v>
      </c>
      <c r="F103" s="61" t="s">
        <v>304</v>
      </c>
      <c r="G103" s="83"/>
    </row>
    <row r="104" spans="2:7" s="63" customFormat="1" x14ac:dyDescent="0.25">
      <c r="B104" s="42" t="s">
        <v>31</v>
      </c>
      <c r="C104" s="43" t="s">
        <v>236</v>
      </c>
      <c r="D104" s="44" t="s">
        <v>1</v>
      </c>
      <c r="E104" s="44">
        <v>0.2</v>
      </c>
      <c r="F104" s="43"/>
    </row>
    <row r="105" spans="2:7" s="85" customFormat="1" ht="13.5" x14ac:dyDescent="0.25">
      <c r="B105" s="51"/>
      <c r="C105" s="52" t="s">
        <v>239</v>
      </c>
      <c r="D105" s="53" t="s">
        <v>0</v>
      </c>
      <c r="E105" s="53">
        <v>3.5000000000000001E-3</v>
      </c>
      <c r="F105" s="54"/>
    </row>
    <row r="106" spans="2:7" ht="57" x14ac:dyDescent="0.25">
      <c r="B106" s="42" t="s">
        <v>32</v>
      </c>
      <c r="C106" s="43" t="s">
        <v>237</v>
      </c>
      <c r="D106" s="44" t="s">
        <v>1</v>
      </c>
      <c r="E106" s="44">
        <v>283.95999999999998</v>
      </c>
      <c r="F106" s="43"/>
      <c r="G106" s="3"/>
    </row>
    <row r="107" spans="2:7" s="63" customFormat="1" x14ac:dyDescent="0.25">
      <c r="B107" s="42"/>
      <c r="C107" s="59" t="s">
        <v>132</v>
      </c>
      <c r="D107" s="59" t="s">
        <v>113</v>
      </c>
      <c r="E107" s="84">
        <f>E106*0.25</f>
        <v>70.989999999999995</v>
      </c>
      <c r="F107" s="65" t="s">
        <v>238</v>
      </c>
    </row>
    <row r="108" spans="2:7" s="63" customFormat="1" ht="22.5" x14ac:dyDescent="0.25">
      <c r="B108" s="42"/>
      <c r="C108" s="59" t="s">
        <v>131</v>
      </c>
      <c r="D108" s="59" t="s">
        <v>113</v>
      </c>
      <c r="E108" s="84">
        <f>E106*3</f>
        <v>851.87999999999988</v>
      </c>
      <c r="F108" s="65" t="s">
        <v>288</v>
      </c>
    </row>
    <row r="109" spans="2:7" ht="44.25" customHeight="1" x14ac:dyDescent="0.25">
      <c r="B109" s="42" t="s">
        <v>33</v>
      </c>
      <c r="C109" s="43" t="s">
        <v>133</v>
      </c>
      <c r="D109" s="44" t="s">
        <v>1</v>
      </c>
      <c r="E109" s="44">
        <f>77.44*1.15</f>
        <v>89.055999999999997</v>
      </c>
      <c r="F109" s="43"/>
      <c r="G109" s="3"/>
    </row>
    <row r="110" spans="2:7" s="63" customFormat="1" x14ac:dyDescent="0.25">
      <c r="B110" s="42"/>
      <c r="C110" s="59" t="s">
        <v>135</v>
      </c>
      <c r="D110" s="59" t="s">
        <v>113</v>
      </c>
      <c r="E110" s="59">
        <f>E109*0.25</f>
        <v>22.263999999999999</v>
      </c>
      <c r="F110" s="65" t="s">
        <v>238</v>
      </c>
    </row>
    <row r="111" spans="2:7" s="63" customFormat="1" ht="22.5" x14ac:dyDescent="0.25">
      <c r="B111" s="42"/>
      <c r="C111" s="59" t="s">
        <v>134</v>
      </c>
      <c r="D111" s="59" t="s">
        <v>1</v>
      </c>
      <c r="E111" s="59">
        <v>204.83</v>
      </c>
      <c r="F111" s="65"/>
      <c r="G111" s="74"/>
    </row>
    <row r="112" spans="2:7" x14ac:dyDescent="0.25">
      <c r="B112" s="42"/>
      <c r="C112" s="114" t="s">
        <v>136</v>
      </c>
      <c r="D112" s="108"/>
      <c r="E112" s="108"/>
      <c r="F112" s="109"/>
      <c r="G112" s="29"/>
    </row>
    <row r="113" spans="2:7" s="63" customFormat="1" ht="33" customHeight="1" x14ac:dyDescent="0.25">
      <c r="B113" s="66"/>
      <c r="C113" s="108" t="s">
        <v>240</v>
      </c>
      <c r="D113" s="108"/>
      <c r="E113" s="108"/>
      <c r="F113" s="109"/>
      <c r="G113" s="74"/>
    </row>
    <row r="114" spans="2:7" s="63" customFormat="1" ht="20.25" customHeight="1" x14ac:dyDescent="0.25">
      <c r="B114" s="42" t="s">
        <v>34</v>
      </c>
      <c r="C114" s="43" t="s">
        <v>24</v>
      </c>
      <c r="D114" s="44" t="s">
        <v>0</v>
      </c>
      <c r="E114" s="44">
        <v>3</v>
      </c>
      <c r="F114" s="43"/>
    </row>
    <row r="115" spans="2:7" s="73" customFormat="1" ht="17.25" customHeight="1" x14ac:dyDescent="0.25">
      <c r="B115" s="47"/>
      <c r="C115" s="48" t="s">
        <v>25</v>
      </c>
      <c r="D115" s="49" t="s">
        <v>0</v>
      </c>
      <c r="E115" s="49">
        <f>E114*1.02</f>
        <v>3.06</v>
      </c>
      <c r="F115" s="50"/>
    </row>
    <row r="116" spans="2:7" s="63" customFormat="1" ht="32.25" customHeight="1" x14ac:dyDescent="0.25">
      <c r="B116" s="42" t="s">
        <v>35</v>
      </c>
      <c r="C116" s="43" t="s">
        <v>36</v>
      </c>
      <c r="D116" s="44" t="s">
        <v>0</v>
      </c>
      <c r="E116" s="44">
        <v>12.7</v>
      </c>
      <c r="F116" s="43"/>
    </row>
    <row r="117" spans="2:7" s="73" customFormat="1" ht="15.75" customHeight="1" x14ac:dyDescent="0.25">
      <c r="B117" s="47"/>
      <c r="C117" s="48" t="s">
        <v>37</v>
      </c>
      <c r="D117" s="49" t="s">
        <v>0</v>
      </c>
      <c r="E117" s="86">
        <f>E116*1.015</f>
        <v>12.890499999999998</v>
      </c>
      <c r="F117" s="50"/>
    </row>
    <row r="118" spans="2:7" s="73" customFormat="1" ht="16.5" customHeight="1" x14ac:dyDescent="0.25">
      <c r="B118" s="47"/>
      <c r="C118" s="48" t="s">
        <v>241</v>
      </c>
      <c r="D118" s="49" t="s">
        <v>20</v>
      </c>
      <c r="E118" s="49">
        <v>9.4E-2</v>
      </c>
      <c r="F118" s="50">
        <f>0.092*1.015</f>
        <v>9.3379999999999991E-2</v>
      </c>
    </row>
    <row r="119" spans="2:7" s="73" customFormat="1" ht="16.5" customHeight="1" x14ac:dyDescent="0.25">
      <c r="B119" s="47"/>
      <c r="C119" s="48" t="s">
        <v>198</v>
      </c>
      <c r="D119" s="49" t="s">
        <v>20</v>
      </c>
      <c r="E119" s="49">
        <v>0.80200000000000005</v>
      </c>
      <c r="F119" s="50">
        <f>0.79*1.015</f>
        <v>0.80184999999999995</v>
      </c>
    </row>
    <row r="120" spans="2:7" s="73" customFormat="1" ht="16.5" customHeight="1" x14ac:dyDescent="0.25">
      <c r="B120" s="47"/>
      <c r="C120" s="48" t="s">
        <v>29</v>
      </c>
      <c r="D120" s="49" t="s">
        <v>20</v>
      </c>
      <c r="E120" s="49">
        <v>0.56200000000000006</v>
      </c>
      <c r="F120" s="50">
        <f>0.554*1.015</f>
        <v>0.56230999999999998</v>
      </c>
    </row>
    <row r="121" spans="2:7" s="63" customFormat="1" ht="57" customHeight="1" x14ac:dyDescent="0.25">
      <c r="B121" s="42" t="s">
        <v>38</v>
      </c>
      <c r="C121" s="43" t="s">
        <v>68</v>
      </c>
      <c r="D121" s="44" t="s">
        <v>1</v>
      </c>
      <c r="E121" s="44">
        <v>41.27</v>
      </c>
      <c r="F121" s="43"/>
    </row>
    <row r="122" spans="2:7" s="63" customFormat="1" x14ac:dyDescent="0.25">
      <c r="B122" s="42"/>
      <c r="C122" s="59" t="s">
        <v>132</v>
      </c>
      <c r="D122" s="59" t="s">
        <v>113</v>
      </c>
      <c r="E122" s="84">
        <v>10.32</v>
      </c>
      <c r="F122" s="65" t="s">
        <v>238</v>
      </c>
    </row>
    <row r="123" spans="2:7" s="63" customFormat="1" ht="22.5" x14ac:dyDescent="0.25">
      <c r="B123" s="42"/>
      <c r="C123" s="59" t="s">
        <v>131</v>
      </c>
      <c r="D123" s="59" t="s">
        <v>113</v>
      </c>
      <c r="E123" s="84">
        <f>E121*3</f>
        <v>123.81</v>
      </c>
      <c r="F123" s="65" t="s">
        <v>288</v>
      </c>
    </row>
    <row r="124" spans="2:7" x14ac:dyDescent="0.25">
      <c r="B124" s="66"/>
      <c r="C124" s="108" t="s">
        <v>138</v>
      </c>
      <c r="D124" s="108"/>
      <c r="E124" s="108"/>
      <c r="F124" s="109"/>
      <c r="G124" s="29"/>
    </row>
    <row r="125" spans="2:7" ht="32.25" customHeight="1" x14ac:dyDescent="0.25">
      <c r="B125" s="42" t="s">
        <v>137</v>
      </c>
      <c r="C125" s="43" t="s">
        <v>36</v>
      </c>
      <c r="D125" s="44" t="s">
        <v>0</v>
      </c>
      <c r="E125" s="44">
        <v>19.5</v>
      </c>
      <c r="F125" s="43"/>
      <c r="G125" s="3"/>
    </row>
    <row r="126" spans="2:7" s="73" customFormat="1" ht="15.75" customHeight="1" x14ac:dyDescent="0.25">
      <c r="B126" s="47"/>
      <c r="C126" s="48" t="s">
        <v>115</v>
      </c>
      <c r="D126" s="49" t="s">
        <v>0</v>
      </c>
      <c r="E126" s="86">
        <f>E125*1.015</f>
        <v>19.792499999999997</v>
      </c>
      <c r="F126" s="50"/>
    </row>
    <row r="127" spans="2:7" s="73" customFormat="1" ht="16.5" customHeight="1" x14ac:dyDescent="0.25">
      <c r="B127" s="47"/>
      <c r="C127" s="48" t="s">
        <v>47</v>
      </c>
      <c r="D127" s="49" t="s">
        <v>20</v>
      </c>
      <c r="E127" s="49">
        <v>6.2E-2</v>
      </c>
      <c r="F127" s="50">
        <f>0.061*1.015</f>
        <v>6.1914999999999991E-2</v>
      </c>
    </row>
    <row r="128" spans="2:7" s="73" customFormat="1" ht="16.5" customHeight="1" x14ac:dyDescent="0.25">
      <c r="B128" s="47"/>
      <c r="C128" s="48" t="s">
        <v>29</v>
      </c>
      <c r="D128" s="49" t="s">
        <v>20</v>
      </c>
      <c r="E128" s="49">
        <v>8.5999999999999993E-2</v>
      </c>
      <c r="F128" s="50">
        <f>0.085*1.015</f>
        <v>8.6275000000000004E-2</v>
      </c>
    </row>
    <row r="129" spans="2:7" s="73" customFormat="1" ht="16.5" customHeight="1" x14ac:dyDescent="0.25">
      <c r="B129" s="47"/>
      <c r="C129" s="48" t="s">
        <v>141</v>
      </c>
      <c r="D129" s="49" t="s">
        <v>20</v>
      </c>
      <c r="E129" s="49">
        <v>9.9000000000000005E-2</v>
      </c>
      <c r="F129" s="50">
        <f>0.098*1.015</f>
        <v>9.9469999999999989E-2</v>
      </c>
    </row>
    <row r="130" spans="2:7" s="63" customFormat="1" x14ac:dyDescent="0.25">
      <c r="B130" s="66"/>
      <c r="C130" s="108" t="s">
        <v>139</v>
      </c>
      <c r="D130" s="108"/>
      <c r="E130" s="108"/>
      <c r="F130" s="109"/>
      <c r="G130" s="74"/>
    </row>
    <row r="131" spans="2:7" s="63" customFormat="1" ht="32.25" customHeight="1" x14ac:dyDescent="0.25">
      <c r="B131" s="42" t="s">
        <v>140</v>
      </c>
      <c r="C131" s="43" t="s">
        <v>36</v>
      </c>
      <c r="D131" s="44" t="s">
        <v>0</v>
      </c>
      <c r="E131" s="44">
        <v>67.7</v>
      </c>
      <c r="F131" s="43"/>
    </row>
    <row r="132" spans="2:7" s="73" customFormat="1" ht="15.75" customHeight="1" x14ac:dyDescent="0.25">
      <c r="B132" s="47"/>
      <c r="C132" s="48" t="s">
        <v>115</v>
      </c>
      <c r="D132" s="49" t="s">
        <v>0</v>
      </c>
      <c r="E132" s="86">
        <f>E131*1.015</f>
        <v>68.715499999999992</v>
      </c>
      <c r="F132" s="50"/>
    </row>
    <row r="133" spans="2:7" s="73" customFormat="1" ht="16.5" customHeight="1" x14ac:dyDescent="0.25">
      <c r="B133" s="47"/>
      <c r="C133" s="48" t="s">
        <v>47</v>
      </c>
      <c r="D133" s="49" t="s">
        <v>20</v>
      </c>
      <c r="E133" s="49">
        <v>0.19800000000000001</v>
      </c>
      <c r="F133" s="50">
        <f>0.195*1.015</f>
        <v>0.19792499999999999</v>
      </c>
    </row>
    <row r="134" spans="2:7" s="10" customFormat="1" ht="16.5" customHeight="1" x14ac:dyDescent="0.25">
      <c r="B134" s="47"/>
      <c r="C134" s="48" t="s">
        <v>29</v>
      </c>
      <c r="D134" s="49" t="s">
        <v>20</v>
      </c>
      <c r="E134" s="49">
        <v>0.249</v>
      </c>
      <c r="F134" s="50">
        <f>0.245*1.015</f>
        <v>0.24867499999999998</v>
      </c>
    </row>
    <row r="135" spans="2:7" s="10" customFormat="1" ht="16.5" customHeight="1" x14ac:dyDescent="0.25">
      <c r="B135" s="47"/>
      <c r="C135" s="48" t="s">
        <v>141</v>
      </c>
      <c r="D135" s="49" t="s">
        <v>20</v>
      </c>
      <c r="E135" s="49">
        <v>0.28899999999999998</v>
      </c>
      <c r="F135" s="50">
        <f>0.285*1.015</f>
        <v>0.28927499999999995</v>
      </c>
    </row>
    <row r="136" spans="2:7" ht="57" customHeight="1" x14ac:dyDescent="0.25">
      <c r="B136" s="42" t="s">
        <v>142</v>
      </c>
      <c r="C136" s="43" t="s">
        <v>133</v>
      </c>
      <c r="D136" s="44" t="s">
        <v>1</v>
      </c>
      <c r="E136" s="44">
        <f>88.3*1.15</f>
        <v>101.54499999999999</v>
      </c>
      <c r="F136" s="43"/>
      <c r="G136" s="3"/>
    </row>
    <row r="137" spans="2:7" s="63" customFormat="1" x14ac:dyDescent="0.25">
      <c r="B137" s="42"/>
      <c r="C137" s="59" t="s">
        <v>135</v>
      </c>
      <c r="D137" s="59" t="s">
        <v>113</v>
      </c>
      <c r="E137" s="59">
        <v>25.39</v>
      </c>
      <c r="F137" s="65" t="s">
        <v>238</v>
      </c>
    </row>
    <row r="138" spans="2:7" s="63" customFormat="1" ht="22.5" x14ac:dyDescent="0.25">
      <c r="B138" s="42"/>
      <c r="C138" s="59" t="s">
        <v>134</v>
      </c>
      <c r="D138" s="59" t="s">
        <v>1</v>
      </c>
      <c r="E138" s="59">
        <v>233.55</v>
      </c>
      <c r="F138" s="65"/>
      <c r="G138" s="74"/>
    </row>
    <row r="139" spans="2:7" x14ac:dyDescent="0.25">
      <c r="B139" s="42"/>
      <c r="C139" s="46" t="s">
        <v>70</v>
      </c>
      <c r="D139" s="37"/>
      <c r="E139" s="37"/>
      <c r="F139" s="43"/>
      <c r="G139" s="29"/>
    </row>
    <row r="140" spans="2:7" ht="14.25" customHeight="1" x14ac:dyDescent="0.25">
      <c r="B140" s="42"/>
      <c r="C140" s="108" t="s">
        <v>144</v>
      </c>
      <c r="D140" s="108"/>
      <c r="E140" s="108"/>
      <c r="F140" s="109"/>
      <c r="G140" s="29"/>
    </row>
    <row r="141" spans="2:7" s="63" customFormat="1" ht="28.5" x14ac:dyDescent="0.25">
      <c r="B141" s="42" t="s">
        <v>7</v>
      </c>
      <c r="C141" s="43" t="s">
        <v>195</v>
      </c>
      <c r="D141" s="44" t="s">
        <v>0</v>
      </c>
      <c r="E141" s="44">
        <v>1.5</v>
      </c>
      <c r="F141" s="43"/>
    </row>
    <row r="142" spans="2:7" s="73" customFormat="1" ht="12.75" x14ac:dyDescent="0.25">
      <c r="B142" s="47"/>
      <c r="C142" s="48" t="s">
        <v>143</v>
      </c>
      <c r="D142" s="49" t="s">
        <v>0</v>
      </c>
      <c r="E142" s="49">
        <f>E141*1.24</f>
        <v>1.8599999999999999</v>
      </c>
      <c r="F142" s="50"/>
    </row>
    <row r="143" spans="2:7" s="63" customFormat="1" x14ac:dyDescent="0.25">
      <c r="B143" s="42" t="s">
        <v>39</v>
      </c>
      <c r="C143" s="43" t="s">
        <v>24</v>
      </c>
      <c r="D143" s="44" t="s">
        <v>0</v>
      </c>
      <c r="E143" s="44">
        <v>1.1000000000000001</v>
      </c>
      <c r="F143" s="43"/>
    </row>
    <row r="144" spans="2:7" s="73" customFormat="1" ht="12.75" x14ac:dyDescent="0.25">
      <c r="B144" s="47"/>
      <c r="C144" s="48" t="s">
        <v>119</v>
      </c>
      <c r="D144" s="49" t="s">
        <v>0</v>
      </c>
      <c r="E144" s="49">
        <f>E143*1.02</f>
        <v>1.1220000000000001</v>
      </c>
      <c r="F144" s="50"/>
    </row>
    <row r="145" spans="2:7" x14ac:dyDescent="0.25">
      <c r="B145" s="42" t="s">
        <v>40</v>
      </c>
      <c r="C145" s="43" t="s">
        <v>41</v>
      </c>
      <c r="D145" s="44" t="s">
        <v>0</v>
      </c>
      <c r="E145" s="44">
        <v>27.3</v>
      </c>
      <c r="F145" s="43"/>
      <c r="G145" s="3"/>
    </row>
    <row r="146" spans="2:7" s="73" customFormat="1" ht="17.25" customHeight="1" x14ac:dyDescent="0.25">
      <c r="B146" s="47"/>
      <c r="C146" s="48" t="s">
        <v>37</v>
      </c>
      <c r="D146" s="49" t="s">
        <v>0</v>
      </c>
      <c r="E146" s="49">
        <f>E145*1.015</f>
        <v>27.709499999999998</v>
      </c>
      <c r="F146" s="50"/>
    </row>
    <row r="147" spans="2:7" s="10" customFormat="1" ht="17.25" customHeight="1" x14ac:dyDescent="0.25">
      <c r="B147" s="47"/>
      <c r="C147" s="48" t="s">
        <v>63</v>
      </c>
      <c r="D147" s="49" t="s">
        <v>20</v>
      </c>
      <c r="E147" s="49">
        <v>2.8000000000000001E-2</v>
      </c>
      <c r="F147" s="50"/>
    </row>
    <row r="148" spans="2:7" s="10" customFormat="1" ht="17.25" customHeight="1" x14ac:dyDescent="0.25">
      <c r="B148" s="47"/>
      <c r="C148" s="48" t="s">
        <v>29</v>
      </c>
      <c r="D148" s="49" t="s">
        <v>20</v>
      </c>
      <c r="E148" s="49">
        <v>0.13700000000000001</v>
      </c>
      <c r="F148" s="50"/>
    </row>
    <row r="149" spans="2:7" x14ac:dyDescent="0.25">
      <c r="B149" s="42" t="s">
        <v>42</v>
      </c>
      <c r="C149" s="43" t="s">
        <v>252</v>
      </c>
      <c r="D149" s="44" t="s">
        <v>80</v>
      </c>
      <c r="E149" s="44">
        <v>10</v>
      </c>
      <c r="F149" s="43"/>
      <c r="G149" s="3"/>
    </row>
    <row r="150" spans="2:7" ht="38.25" x14ac:dyDescent="0.25">
      <c r="B150" s="42"/>
      <c r="C150" s="48" t="s">
        <v>246</v>
      </c>
      <c r="D150" s="49" t="s">
        <v>20</v>
      </c>
      <c r="E150" s="49">
        <v>4.0000000000000001E-3</v>
      </c>
      <c r="F150" s="65" t="s">
        <v>244</v>
      </c>
      <c r="G150" s="3"/>
    </row>
    <row r="151" spans="2:7" x14ac:dyDescent="0.25">
      <c r="B151" s="42" t="s">
        <v>147</v>
      </c>
      <c r="C151" s="43" t="s">
        <v>251</v>
      </c>
      <c r="D151" s="44" t="s">
        <v>80</v>
      </c>
      <c r="E151" s="44">
        <v>4</v>
      </c>
      <c r="F151" s="43"/>
      <c r="G151" s="3"/>
    </row>
    <row r="152" spans="2:7" x14ac:dyDescent="0.25">
      <c r="B152" s="42"/>
      <c r="C152" s="48" t="s">
        <v>245</v>
      </c>
      <c r="D152" s="49" t="s">
        <v>80</v>
      </c>
      <c r="E152" s="49">
        <v>4</v>
      </c>
      <c r="F152" s="67"/>
      <c r="G152" s="3"/>
    </row>
    <row r="153" spans="2:7" x14ac:dyDescent="0.25">
      <c r="B153" s="42" t="s">
        <v>148</v>
      </c>
      <c r="C153" s="43" t="s">
        <v>247</v>
      </c>
      <c r="D153" s="44" t="s">
        <v>80</v>
      </c>
      <c r="E153" s="44">
        <v>1</v>
      </c>
      <c r="F153" s="43"/>
      <c r="G153" s="3"/>
    </row>
    <row r="154" spans="2:7" x14ac:dyDescent="0.25">
      <c r="B154" s="42"/>
      <c r="C154" s="48" t="s">
        <v>255</v>
      </c>
      <c r="D154" s="49" t="s">
        <v>20</v>
      </c>
      <c r="E154" s="49">
        <v>2.14E-3</v>
      </c>
      <c r="F154" s="67"/>
      <c r="G154" s="3"/>
    </row>
    <row r="155" spans="2:7" s="10" customFormat="1" ht="17.25" customHeight="1" x14ac:dyDescent="0.25">
      <c r="B155" s="47"/>
      <c r="C155" s="48" t="s">
        <v>248</v>
      </c>
      <c r="D155" s="49" t="s">
        <v>20</v>
      </c>
      <c r="E155" s="49">
        <v>4.3E-3</v>
      </c>
      <c r="F155" s="50"/>
    </row>
    <row r="156" spans="2:7" x14ac:dyDescent="0.25">
      <c r="B156" s="42" t="s">
        <v>149</v>
      </c>
      <c r="C156" s="43" t="s">
        <v>249</v>
      </c>
      <c r="D156" s="44" t="s">
        <v>80</v>
      </c>
      <c r="E156" s="44">
        <v>1</v>
      </c>
      <c r="F156" s="43"/>
      <c r="G156" s="3"/>
    </row>
    <row r="157" spans="2:7" x14ac:dyDescent="0.25">
      <c r="B157" s="42"/>
      <c r="C157" s="48" t="s">
        <v>256</v>
      </c>
      <c r="D157" s="49" t="s">
        <v>20</v>
      </c>
      <c r="E157" s="49">
        <v>2.9399999999999999E-3</v>
      </c>
      <c r="F157" s="67"/>
      <c r="G157" s="3"/>
    </row>
    <row r="158" spans="2:7" s="10" customFormat="1" ht="17.25" customHeight="1" x14ac:dyDescent="0.25">
      <c r="B158" s="47"/>
      <c r="C158" s="48" t="s">
        <v>250</v>
      </c>
      <c r="D158" s="49" t="s">
        <v>20</v>
      </c>
      <c r="E158" s="49">
        <v>4.4000000000000003E-3</v>
      </c>
      <c r="F158" s="50"/>
    </row>
    <row r="159" spans="2:7" x14ac:dyDescent="0.25">
      <c r="B159" s="42" t="s">
        <v>150</v>
      </c>
      <c r="C159" s="43" t="s">
        <v>253</v>
      </c>
      <c r="D159" s="44" t="s">
        <v>80</v>
      </c>
      <c r="E159" s="44">
        <v>1</v>
      </c>
      <c r="F159" s="43"/>
      <c r="G159" s="3"/>
    </row>
    <row r="160" spans="2:7" x14ac:dyDescent="0.25">
      <c r="B160" s="42"/>
      <c r="C160" s="48" t="s">
        <v>254</v>
      </c>
      <c r="D160" s="49" t="s">
        <v>80</v>
      </c>
      <c r="E160" s="49">
        <v>1</v>
      </c>
      <c r="F160" s="67"/>
      <c r="G160" s="3"/>
    </row>
    <row r="161" spans="2:7" ht="14.25" customHeight="1" x14ac:dyDescent="0.25">
      <c r="B161" s="42"/>
      <c r="C161" s="108" t="s">
        <v>145</v>
      </c>
      <c r="D161" s="108"/>
      <c r="E161" s="108"/>
      <c r="F161" s="109"/>
      <c r="G161" s="29"/>
    </row>
    <row r="162" spans="2:7" s="63" customFormat="1" ht="28.5" x14ac:dyDescent="0.25">
      <c r="B162" s="42" t="s">
        <v>151</v>
      </c>
      <c r="C162" s="43" t="s">
        <v>195</v>
      </c>
      <c r="D162" s="44" t="s">
        <v>0</v>
      </c>
      <c r="E162" s="44">
        <v>1.2</v>
      </c>
      <c r="F162" s="43"/>
    </row>
    <row r="163" spans="2:7" s="73" customFormat="1" ht="12.75" x14ac:dyDescent="0.25">
      <c r="B163" s="47"/>
      <c r="C163" s="48" t="s">
        <v>143</v>
      </c>
      <c r="D163" s="49" t="s">
        <v>0</v>
      </c>
      <c r="E163" s="49">
        <f>E162*1.24</f>
        <v>1.488</v>
      </c>
      <c r="F163" s="50"/>
    </row>
    <row r="164" spans="2:7" s="63" customFormat="1" x14ac:dyDescent="0.25">
      <c r="B164" s="42" t="s">
        <v>152</v>
      </c>
      <c r="C164" s="43" t="s">
        <v>24</v>
      </c>
      <c r="D164" s="44" t="s">
        <v>0</v>
      </c>
      <c r="E164" s="44">
        <v>0.3</v>
      </c>
      <c r="F164" s="43"/>
    </row>
    <row r="165" spans="2:7" s="73" customFormat="1" ht="12.75" x14ac:dyDescent="0.25">
      <c r="B165" s="47"/>
      <c r="C165" s="48" t="s">
        <v>119</v>
      </c>
      <c r="D165" s="49" t="s">
        <v>0</v>
      </c>
      <c r="E165" s="49">
        <f>E164*1.02</f>
        <v>0.30599999999999999</v>
      </c>
      <c r="F165" s="50"/>
    </row>
    <row r="166" spans="2:7" s="63" customFormat="1" x14ac:dyDescent="0.25">
      <c r="B166" s="42" t="s">
        <v>168</v>
      </c>
      <c r="C166" s="43" t="s">
        <v>41</v>
      </c>
      <c r="D166" s="44" t="s">
        <v>0</v>
      </c>
      <c r="E166" s="44">
        <v>1.8</v>
      </c>
      <c r="F166" s="43"/>
    </row>
    <row r="167" spans="2:7" s="73" customFormat="1" ht="17.25" customHeight="1" x14ac:dyDescent="0.25">
      <c r="B167" s="47"/>
      <c r="C167" s="48" t="s">
        <v>37</v>
      </c>
      <c r="D167" s="49" t="s">
        <v>0</v>
      </c>
      <c r="E167" s="49">
        <f>E166*1.015</f>
        <v>1.827</v>
      </c>
      <c r="F167" s="50"/>
    </row>
    <row r="168" spans="2:7" s="10" customFormat="1" ht="17.25" customHeight="1" x14ac:dyDescent="0.25">
      <c r="B168" s="47"/>
      <c r="C168" s="48" t="s">
        <v>63</v>
      </c>
      <c r="D168" s="49" t="s">
        <v>20</v>
      </c>
      <c r="E168" s="49">
        <v>8.0000000000000002E-3</v>
      </c>
      <c r="F168" s="50"/>
    </row>
    <row r="169" spans="2:7" s="10" customFormat="1" ht="17.25" customHeight="1" x14ac:dyDescent="0.25">
      <c r="B169" s="47"/>
      <c r="C169" s="48" t="s">
        <v>29</v>
      </c>
      <c r="D169" s="49" t="s">
        <v>20</v>
      </c>
      <c r="E169" s="49">
        <v>1.84E-2</v>
      </c>
      <c r="F169" s="50"/>
    </row>
    <row r="170" spans="2:7" x14ac:dyDescent="0.25">
      <c r="B170" s="42" t="s">
        <v>167</v>
      </c>
      <c r="C170" s="43" t="s">
        <v>242</v>
      </c>
      <c r="D170" s="44" t="s">
        <v>80</v>
      </c>
      <c r="E170" s="44">
        <v>1</v>
      </c>
      <c r="F170" s="43"/>
      <c r="G170" s="3"/>
    </row>
    <row r="171" spans="2:7" x14ac:dyDescent="0.25">
      <c r="B171" s="42"/>
      <c r="C171" s="48" t="s">
        <v>243</v>
      </c>
      <c r="D171" s="49" t="s">
        <v>20</v>
      </c>
      <c r="E171" s="49">
        <v>1.9400000000000001E-2</v>
      </c>
      <c r="F171" s="67"/>
      <c r="G171" s="3"/>
    </row>
    <row r="172" spans="2:7" ht="14.25" customHeight="1" x14ac:dyDescent="0.25">
      <c r="B172" s="42"/>
      <c r="C172" s="108" t="s">
        <v>146</v>
      </c>
      <c r="D172" s="108"/>
      <c r="E172" s="108"/>
      <c r="F172" s="109"/>
      <c r="G172" s="29"/>
    </row>
    <row r="173" spans="2:7" s="63" customFormat="1" ht="28.5" x14ac:dyDescent="0.25">
      <c r="B173" s="42" t="s">
        <v>259</v>
      </c>
      <c r="C173" s="43" t="s">
        <v>195</v>
      </c>
      <c r="D173" s="44" t="s">
        <v>0</v>
      </c>
      <c r="E173" s="44">
        <v>6</v>
      </c>
      <c r="F173" s="43"/>
    </row>
    <row r="174" spans="2:7" s="73" customFormat="1" ht="12.75" x14ac:dyDescent="0.25">
      <c r="B174" s="47"/>
      <c r="C174" s="48" t="s">
        <v>143</v>
      </c>
      <c r="D174" s="49" t="s">
        <v>0</v>
      </c>
      <c r="E174" s="49">
        <f>E173*1.24</f>
        <v>7.4399999999999995</v>
      </c>
      <c r="F174" s="50"/>
    </row>
    <row r="175" spans="2:7" s="63" customFormat="1" x14ac:dyDescent="0.25">
      <c r="B175" s="42" t="s">
        <v>260</v>
      </c>
      <c r="C175" s="43" t="s">
        <v>24</v>
      </c>
      <c r="D175" s="44" t="s">
        <v>0</v>
      </c>
      <c r="E175" s="44">
        <v>0.3</v>
      </c>
      <c r="F175" s="43"/>
    </row>
    <row r="176" spans="2:7" s="73" customFormat="1" ht="12.75" x14ac:dyDescent="0.25">
      <c r="B176" s="47"/>
      <c r="C176" s="48" t="s">
        <v>119</v>
      </c>
      <c r="D176" s="49" t="s">
        <v>0</v>
      </c>
      <c r="E176" s="49">
        <f>E175*1.02</f>
        <v>0.30599999999999999</v>
      </c>
      <c r="F176" s="50"/>
    </row>
    <row r="177" spans="2:7" s="63" customFormat="1" x14ac:dyDescent="0.25">
      <c r="B177" s="42" t="s">
        <v>258</v>
      </c>
      <c r="C177" s="43" t="s">
        <v>41</v>
      </c>
      <c r="D177" s="44" t="s">
        <v>0</v>
      </c>
      <c r="E177" s="44">
        <v>1.8</v>
      </c>
      <c r="F177" s="43"/>
    </row>
    <row r="178" spans="2:7" s="73" customFormat="1" ht="17.25" customHeight="1" x14ac:dyDescent="0.25">
      <c r="B178" s="47"/>
      <c r="C178" s="48" t="s">
        <v>37</v>
      </c>
      <c r="D178" s="49" t="s">
        <v>0</v>
      </c>
      <c r="E178" s="49">
        <f>E177*1.015</f>
        <v>1.827</v>
      </c>
      <c r="F178" s="50"/>
    </row>
    <row r="179" spans="2:7" s="10" customFormat="1" ht="17.25" customHeight="1" x14ac:dyDescent="0.25">
      <c r="B179" s="47"/>
      <c r="C179" s="48" t="s">
        <v>63</v>
      </c>
      <c r="D179" s="49" t="s">
        <v>20</v>
      </c>
      <c r="E179" s="49">
        <v>1.0999999999999999E-2</v>
      </c>
      <c r="F179" s="50"/>
    </row>
    <row r="180" spans="2:7" s="10" customFormat="1" ht="17.25" customHeight="1" x14ac:dyDescent="0.25">
      <c r="B180" s="47"/>
      <c r="C180" s="48" t="s">
        <v>29</v>
      </c>
      <c r="D180" s="49" t="s">
        <v>20</v>
      </c>
      <c r="E180" s="49">
        <v>0.27</v>
      </c>
      <c r="F180" s="50"/>
    </row>
    <row r="181" spans="2:7" ht="60" customHeight="1" x14ac:dyDescent="0.25">
      <c r="B181" s="42" t="s">
        <v>261</v>
      </c>
      <c r="C181" s="43" t="s">
        <v>153</v>
      </c>
      <c r="D181" s="44" t="s">
        <v>1</v>
      </c>
      <c r="E181" s="44">
        <f>58.28*1.15</f>
        <v>67.021999999999991</v>
      </c>
      <c r="F181" s="43"/>
      <c r="G181" s="3"/>
    </row>
    <row r="182" spans="2:7" s="63" customFormat="1" ht="15.75" customHeight="1" x14ac:dyDescent="0.25">
      <c r="B182" s="42"/>
      <c r="C182" s="59" t="s">
        <v>135</v>
      </c>
      <c r="D182" s="59" t="s">
        <v>113</v>
      </c>
      <c r="E182" s="59">
        <v>16.760000000000002</v>
      </c>
      <c r="F182" s="65" t="s">
        <v>238</v>
      </c>
    </row>
    <row r="183" spans="2:7" s="63" customFormat="1" ht="22.5" x14ac:dyDescent="0.25">
      <c r="B183" s="42"/>
      <c r="C183" s="59" t="s">
        <v>134</v>
      </c>
      <c r="D183" s="59" t="s">
        <v>1</v>
      </c>
      <c r="E183" s="59">
        <v>154.15</v>
      </c>
      <c r="F183" s="65"/>
      <c r="G183" s="74"/>
    </row>
    <row r="184" spans="2:7" s="1" customFormat="1" x14ac:dyDescent="0.25">
      <c r="B184" s="38"/>
      <c r="C184" s="39" t="s">
        <v>257</v>
      </c>
      <c r="D184" s="40"/>
      <c r="E184" s="40"/>
      <c r="F184" s="41"/>
      <c r="G184" s="28"/>
    </row>
    <row r="185" spans="2:7" s="63" customFormat="1" ht="28.5" x14ac:dyDescent="0.25">
      <c r="B185" s="42" t="s">
        <v>43</v>
      </c>
      <c r="C185" s="43" t="s">
        <v>195</v>
      </c>
      <c r="D185" s="44" t="s">
        <v>0</v>
      </c>
      <c r="E185" s="44">
        <v>62.7</v>
      </c>
      <c r="F185" s="65"/>
    </row>
    <row r="186" spans="2:7" s="73" customFormat="1" ht="12.75" x14ac:dyDescent="0.25">
      <c r="B186" s="47"/>
      <c r="C186" s="48" t="s">
        <v>235</v>
      </c>
      <c r="D186" s="49" t="s">
        <v>0</v>
      </c>
      <c r="E186" s="49">
        <f>E185*1.24</f>
        <v>77.748000000000005</v>
      </c>
      <c r="F186" s="50"/>
    </row>
    <row r="187" spans="2:7" s="63" customFormat="1" ht="18.75" customHeight="1" x14ac:dyDescent="0.25">
      <c r="B187" s="42" t="s">
        <v>44</v>
      </c>
      <c r="C187" s="43" t="s">
        <v>155</v>
      </c>
      <c r="D187" s="44" t="s">
        <v>0</v>
      </c>
      <c r="E187" s="44">
        <v>21.8</v>
      </c>
      <c r="F187" s="43"/>
    </row>
    <row r="188" spans="2:7" s="73" customFormat="1" ht="12.75" x14ac:dyDescent="0.25">
      <c r="B188" s="47"/>
      <c r="C188" s="48" t="s">
        <v>154</v>
      </c>
      <c r="D188" s="49" t="s">
        <v>0</v>
      </c>
      <c r="E188" s="49">
        <f>E187*1.02</f>
        <v>22.236000000000001</v>
      </c>
      <c r="F188" s="50"/>
    </row>
    <row r="189" spans="2:7" s="63" customFormat="1" x14ac:dyDescent="0.25">
      <c r="B189" s="42" t="s">
        <v>45</v>
      </c>
      <c r="C189" s="43" t="s">
        <v>156</v>
      </c>
      <c r="D189" s="44" t="s">
        <v>0</v>
      </c>
      <c r="E189" s="44">
        <v>32.200000000000003</v>
      </c>
      <c r="F189" s="43"/>
    </row>
    <row r="190" spans="2:7" s="73" customFormat="1" ht="17.25" customHeight="1" x14ac:dyDescent="0.25">
      <c r="B190" s="47"/>
      <c r="C190" s="48" t="s">
        <v>157</v>
      </c>
      <c r="D190" s="49" t="s">
        <v>0</v>
      </c>
      <c r="E190" s="49">
        <f>E189*1.015</f>
        <v>32.683</v>
      </c>
      <c r="F190" s="50"/>
    </row>
    <row r="191" spans="2:7" s="10" customFormat="1" ht="17.25" customHeight="1" x14ac:dyDescent="0.25">
      <c r="B191" s="47"/>
      <c r="C191" s="48" t="s">
        <v>47</v>
      </c>
      <c r="D191" s="49" t="s">
        <v>20</v>
      </c>
      <c r="E191" s="49">
        <v>0.88400000000000001</v>
      </c>
      <c r="F191" s="49">
        <f>0.871*1.015</f>
        <v>0.88406499999999988</v>
      </c>
    </row>
    <row r="192" spans="2:7" ht="19.5" hidden="1" customHeight="1" x14ac:dyDescent="0.25">
      <c r="B192" s="42"/>
      <c r="C192" s="43"/>
      <c r="D192" s="44"/>
      <c r="E192" s="44"/>
      <c r="F192" s="43"/>
      <c r="G192" s="29"/>
    </row>
    <row r="193" spans="2:7" s="1" customFormat="1" ht="19.5" hidden="1" customHeight="1" x14ac:dyDescent="0.25">
      <c r="B193" s="38"/>
      <c r="C193" s="46" t="s">
        <v>109</v>
      </c>
      <c r="D193" s="40"/>
      <c r="E193" s="40"/>
      <c r="F193" s="41"/>
      <c r="G193" s="28"/>
    </row>
    <row r="194" spans="2:7" ht="19.5" hidden="1" customHeight="1" x14ac:dyDescent="0.25">
      <c r="B194" s="42" t="s">
        <v>101</v>
      </c>
      <c r="C194" s="43" t="s">
        <v>83</v>
      </c>
      <c r="D194" s="44" t="s">
        <v>20</v>
      </c>
      <c r="E194" s="44">
        <f>E196*E195</f>
        <v>2.5050000000000003</v>
      </c>
      <c r="F194" s="43"/>
      <c r="G194" s="3"/>
    </row>
    <row r="195" spans="2:7" s="10" customFormat="1" ht="19.5" hidden="1" customHeight="1" x14ac:dyDescent="0.25">
      <c r="B195" s="47"/>
      <c r="C195" s="48" t="s">
        <v>81</v>
      </c>
      <c r="D195" s="49" t="s">
        <v>80</v>
      </c>
      <c r="E195" s="49">
        <v>15</v>
      </c>
      <c r="F195" s="50"/>
    </row>
    <row r="196" spans="2:7" s="11" customFormat="1" ht="19.5" hidden="1" customHeight="1" x14ac:dyDescent="0.25">
      <c r="B196" s="55"/>
      <c r="C196" s="56" t="s">
        <v>82</v>
      </c>
      <c r="D196" s="56" t="s">
        <v>20</v>
      </c>
      <c r="E196" s="56">
        <f>E197+E198+E199</f>
        <v>0.16700000000000001</v>
      </c>
      <c r="F196" s="57"/>
      <c r="G196" s="12"/>
    </row>
    <row r="197" spans="2:7" s="13" customFormat="1" ht="19.5" hidden="1" customHeight="1" x14ac:dyDescent="0.25">
      <c r="B197" s="58"/>
      <c r="C197" s="59" t="s">
        <v>71</v>
      </c>
      <c r="D197" s="60" t="s">
        <v>20</v>
      </c>
      <c r="E197" s="60">
        <f>ROUND(2.32/15,3)</f>
        <v>0.155</v>
      </c>
      <c r="F197" s="61"/>
    </row>
    <row r="198" spans="2:7" s="13" customFormat="1" ht="19.5" hidden="1" customHeight="1" x14ac:dyDescent="0.25">
      <c r="B198" s="58"/>
      <c r="C198" s="59" t="s">
        <v>49</v>
      </c>
      <c r="D198" s="60" t="s">
        <v>20</v>
      </c>
      <c r="E198" s="60">
        <f>ROUND(0.48/(15+32),3)</f>
        <v>0.01</v>
      </c>
      <c r="F198" s="61"/>
      <c r="G198" s="14" t="s">
        <v>50</v>
      </c>
    </row>
    <row r="199" spans="2:7" s="13" customFormat="1" ht="19.5" hidden="1" customHeight="1" x14ac:dyDescent="0.25">
      <c r="B199" s="58"/>
      <c r="C199" s="59" t="s">
        <v>72</v>
      </c>
      <c r="D199" s="60" t="s">
        <v>20</v>
      </c>
      <c r="E199" s="60">
        <f>ROUND((0.04+0.04)/(15+32),3)</f>
        <v>2E-3</v>
      </c>
      <c r="F199" s="61"/>
      <c r="G199" s="14"/>
    </row>
    <row r="200" spans="2:7" ht="19.5" hidden="1" customHeight="1" x14ac:dyDescent="0.25">
      <c r="B200" s="42"/>
      <c r="C200" s="43"/>
      <c r="D200" s="44"/>
      <c r="E200" s="44"/>
      <c r="F200" s="43"/>
      <c r="G200" s="3"/>
    </row>
    <row r="201" spans="2:7" ht="19.5" hidden="1" customHeight="1" x14ac:dyDescent="0.25">
      <c r="B201" s="42" t="s">
        <v>102</v>
      </c>
      <c r="C201" s="43" t="s">
        <v>86</v>
      </c>
      <c r="D201" s="44" t="s">
        <v>20</v>
      </c>
      <c r="E201" s="44">
        <f>E203*E202</f>
        <v>4.16</v>
      </c>
      <c r="F201" s="43"/>
      <c r="G201" s="3"/>
    </row>
    <row r="202" spans="2:7" s="10" customFormat="1" ht="19.5" hidden="1" customHeight="1" x14ac:dyDescent="0.25">
      <c r="B202" s="47"/>
      <c r="C202" s="48" t="s">
        <v>85</v>
      </c>
      <c r="D202" s="49" t="s">
        <v>80</v>
      </c>
      <c r="E202" s="49">
        <v>32</v>
      </c>
      <c r="F202" s="50"/>
    </row>
    <row r="203" spans="2:7" s="11" customFormat="1" ht="19.5" hidden="1" customHeight="1" x14ac:dyDescent="0.25">
      <c r="B203" s="55"/>
      <c r="C203" s="56" t="s">
        <v>84</v>
      </c>
      <c r="D203" s="56" t="s">
        <v>20</v>
      </c>
      <c r="E203" s="56">
        <f>E204+E205+E206</f>
        <v>0.13</v>
      </c>
      <c r="F203" s="57"/>
      <c r="G203" s="12"/>
    </row>
    <row r="204" spans="2:7" s="13" customFormat="1" ht="19.5" hidden="1" customHeight="1" x14ac:dyDescent="0.25">
      <c r="B204" s="58"/>
      <c r="C204" s="59" t="s">
        <v>73</v>
      </c>
      <c r="D204" s="60" t="s">
        <v>20</v>
      </c>
      <c r="E204" s="60">
        <f>ROUND(3.78/32,3)</f>
        <v>0.11799999999999999</v>
      </c>
      <c r="F204" s="61"/>
      <c r="G204" s="14"/>
    </row>
    <row r="205" spans="2:7" s="13" customFormat="1" ht="19.5" hidden="1" customHeight="1" x14ac:dyDescent="0.25">
      <c r="B205" s="58"/>
      <c r="C205" s="59" t="s">
        <v>49</v>
      </c>
      <c r="D205" s="60" t="s">
        <v>20</v>
      </c>
      <c r="E205" s="60">
        <f>ROUND(0.48/(15+32),3)</f>
        <v>0.01</v>
      </c>
      <c r="F205" s="61"/>
      <c r="G205" s="14" t="s">
        <v>50</v>
      </c>
    </row>
    <row r="206" spans="2:7" s="13" customFormat="1" ht="19.5" hidden="1" customHeight="1" x14ac:dyDescent="0.25">
      <c r="B206" s="58"/>
      <c r="C206" s="59" t="s">
        <v>72</v>
      </c>
      <c r="D206" s="60" t="s">
        <v>20</v>
      </c>
      <c r="E206" s="60">
        <f>ROUND((0.04+0.04)/(15+32),3)</f>
        <v>2E-3</v>
      </c>
      <c r="F206" s="61"/>
      <c r="G206" s="14"/>
    </row>
    <row r="207" spans="2:7" s="5" customFormat="1" ht="19.5" hidden="1" customHeight="1" x14ac:dyDescent="0.25">
      <c r="B207" s="51"/>
      <c r="C207" s="52"/>
      <c r="D207" s="53"/>
      <c r="E207" s="53"/>
      <c r="F207" s="54"/>
      <c r="G207" s="7"/>
    </row>
    <row r="208" spans="2:7" s="5" customFormat="1" ht="19.5" hidden="1" customHeight="1" x14ac:dyDescent="0.25">
      <c r="B208" s="51"/>
      <c r="C208" s="52"/>
      <c r="D208" s="53"/>
      <c r="E208" s="53"/>
      <c r="F208" s="54"/>
      <c r="G208" s="7"/>
    </row>
    <row r="209" spans="2:7" ht="19.5" hidden="1" customHeight="1" x14ac:dyDescent="0.25">
      <c r="B209" s="42" t="s">
        <v>103</v>
      </c>
      <c r="C209" s="43" t="s">
        <v>97</v>
      </c>
      <c r="D209" s="44" t="s">
        <v>20</v>
      </c>
      <c r="E209" s="44">
        <f>E211*E210</f>
        <v>4</v>
      </c>
      <c r="F209" s="43"/>
      <c r="G209" s="4"/>
    </row>
    <row r="210" spans="2:7" s="10" customFormat="1" ht="19.5" hidden="1" customHeight="1" x14ac:dyDescent="0.25">
      <c r="B210" s="47"/>
      <c r="C210" s="48" t="s">
        <v>87</v>
      </c>
      <c r="D210" s="49" t="s">
        <v>80</v>
      </c>
      <c r="E210" s="49">
        <v>20</v>
      </c>
      <c r="F210" s="50"/>
    </row>
    <row r="211" spans="2:7" s="11" customFormat="1" ht="19.5" hidden="1" customHeight="1" x14ac:dyDescent="0.25">
      <c r="B211" s="55"/>
      <c r="C211" s="56" t="s">
        <v>88</v>
      </c>
      <c r="D211" s="56" t="s">
        <v>20</v>
      </c>
      <c r="E211" s="56">
        <f>E212+E213+E214</f>
        <v>0.2</v>
      </c>
      <c r="F211" s="57"/>
      <c r="G211" s="12"/>
    </row>
    <row r="212" spans="2:7" s="13" customFormat="1" ht="19.5" hidden="1" customHeight="1" x14ac:dyDescent="0.25">
      <c r="B212" s="58"/>
      <c r="C212" s="59" t="s">
        <v>52</v>
      </c>
      <c r="D212" s="60" t="s">
        <v>20</v>
      </c>
      <c r="E212" s="60">
        <f>3/20</f>
        <v>0.15</v>
      </c>
      <c r="F212" s="61"/>
      <c r="G212" s="14"/>
    </row>
    <row r="213" spans="2:7" s="13" customFormat="1" ht="19.5" hidden="1" customHeight="1" x14ac:dyDescent="0.25">
      <c r="B213" s="58"/>
      <c r="C213" s="59" t="s">
        <v>49</v>
      </c>
      <c r="D213" s="60" t="s">
        <v>20</v>
      </c>
      <c r="E213" s="60">
        <f>ROUND(0.27/(20+22),3)</f>
        <v>6.0000000000000001E-3</v>
      </c>
      <c r="F213" s="61"/>
      <c r="G213" s="14" t="s">
        <v>50</v>
      </c>
    </row>
    <row r="214" spans="2:7" s="13" customFormat="1" ht="19.5" hidden="1" customHeight="1" x14ac:dyDescent="0.25">
      <c r="B214" s="58"/>
      <c r="C214" s="59" t="s">
        <v>65</v>
      </c>
      <c r="D214" s="60" t="s">
        <v>20</v>
      </c>
      <c r="E214" s="60">
        <f>ROUND(1.85/(20+22),3)</f>
        <v>4.3999999999999997E-2</v>
      </c>
      <c r="F214" s="61"/>
      <c r="G214" s="14" t="s">
        <v>50</v>
      </c>
    </row>
    <row r="215" spans="2:7" s="5" customFormat="1" ht="19.5" hidden="1" customHeight="1" x14ac:dyDescent="0.25">
      <c r="B215" s="51"/>
      <c r="C215" s="52"/>
      <c r="D215" s="53"/>
      <c r="E215" s="53"/>
      <c r="F215" s="54"/>
    </row>
    <row r="216" spans="2:7" ht="19.5" hidden="1" customHeight="1" x14ac:dyDescent="0.25">
      <c r="B216" s="42" t="s">
        <v>104</v>
      </c>
      <c r="C216" s="43" t="s">
        <v>90</v>
      </c>
      <c r="D216" s="44" t="s">
        <v>20</v>
      </c>
      <c r="E216" s="44">
        <f>E218*E217</f>
        <v>2.1339999999999999</v>
      </c>
      <c r="F216" s="43"/>
      <c r="G216" s="4"/>
    </row>
    <row r="217" spans="2:7" s="10" customFormat="1" ht="19.5" hidden="1" customHeight="1" x14ac:dyDescent="0.25">
      <c r="B217" s="47"/>
      <c r="C217" s="48" t="s">
        <v>89</v>
      </c>
      <c r="D217" s="49" t="s">
        <v>80</v>
      </c>
      <c r="E217" s="49">
        <v>22</v>
      </c>
      <c r="F217" s="50"/>
    </row>
    <row r="218" spans="2:7" s="11" customFormat="1" ht="19.5" hidden="1" customHeight="1" x14ac:dyDescent="0.25">
      <c r="B218" s="55"/>
      <c r="C218" s="56" t="s">
        <v>91</v>
      </c>
      <c r="D218" s="56" t="s">
        <v>20</v>
      </c>
      <c r="E218" s="56">
        <f>E219+E220+E221</f>
        <v>9.7000000000000003E-2</v>
      </c>
      <c r="F218" s="57"/>
      <c r="G218" s="12"/>
    </row>
    <row r="219" spans="2:7" s="5" customFormat="1" ht="19.5" hidden="1" customHeight="1" x14ac:dyDescent="0.25">
      <c r="B219" s="58"/>
      <c r="C219" s="59" t="s">
        <v>74</v>
      </c>
      <c r="D219" s="60" t="s">
        <v>20</v>
      </c>
      <c r="E219" s="60">
        <f>ROUND(1.04/22,3)</f>
        <v>4.7E-2</v>
      </c>
      <c r="F219" s="61"/>
      <c r="G219" s="7"/>
    </row>
    <row r="220" spans="2:7" s="5" customFormat="1" ht="19.5" hidden="1" customHeight="1" x14ac:dyDescent="0.25">
      <c r="B220" s="58"/>
      <c r="C220" s="59" t="s">
        <v>49</v>
      </c>
      <c r="D220" s="60" t="s">
        <v>20</v>
      </c>
      <c r="E220" s="60">
        <f>ROUND(0.27/(20+22),3)</f>
        <v>6.0000000000000001E-3</v>
      </c>
      <c r="F220" s="61"/>
      <c r="G220" s="7" t="s">
        <v>50</v>
      </c>
    </row>
    <row r="221" spans="2:7" s="5" customFormat="1" ht="19.5" hidden="1" customHeight="1" x14ac:dyDescent="0.25">
      <c r="B221" s="58"/>
      <c r="C221" s="59" t="s">
        <v>65</v>
      </c>
      <c r="D221" s="60" t="s">
        <v>20</v>
      </c>
      <c r="E221" s="60">
        <f>ROUND(1.85/(20+22),3)</f>
        <v>4.3999999999999997E-2</v>
      </c>
      <c r="F221" s="61"/>
      <c r="G221" s="7" t="s">
        <v>50</v>
      </c>
    </row>
    <row r="222" spans="2:7" s="10" customFormat="1" ht="17.25" customHeight="1" x14ac:dyDescent="0.25">
      <c r="B222" s="47"/>
      <c r="C222" s="48" t="s">
        <v>63</v>
      </c>
      <c r="D222" s="49" t="s">
        <v>20</v>
      </c>
      <c r="E222" s="49">
        <v>0.16900000000000001</v>
      </c>
      <c r="F222" s="49">
        <f>0.16637*1.015</f>
        <v>0.16886554999999998</v>
      </c>
    </row>
    <row r="223" spans="2:7" ht="42.75" x14ac:dyDescent="0.25">
      <c r="B223" s="42" t="s">
        <v>46</v>
      </c>
      <c r="C223" s="43" t="s">
        <v>158</v>
      </c>
      <c r="D223" s="44" t="s">
        <v>1</v>
      </c>
      <c r="E223" s="44">
        <v>217.2</v>
      </c>
      <c r="F223" s="43"/>
      <c r="G223" s="3"/>
    </row>
    <row r="224" spans="2:7" s="63" customFormat="1" x14ac:dyDescent="0.25">
      <c r="B224" s="42"/>
      <c r="C224" s="59" t="s">
        <v>132</v>
      </c>
      <c r="D224" s="59" t="s">
        <v>113</v>
      </c>
      <c r="E224" s="84">
        <f>E223*0.25</f>
        <v>54.3</v>
      </c>
      <c r="F224" s="65" t="s">
        <v>238</v>
      </c>
    </row>
    <row r="225" spans="2:7" s="63" customFormat="1" ht="22.5" x14ac:dyDescent="0.25">
      <c r="B225" s="42"/>
      <c r="C225" s="59" t="s">
        <v>131</v>
      </c>
      <c r="D225" s="59" t="s">
        <v>113</v>
      </c>
      <c r="E225" s="84">
        <f>E223*3</f>
        <v>651.59999999999991</v>
      </c>
      <c r="F225" s="65" t="s">
        <v>288</v>
      </c>
    </row>
    <row r="226" spans="2:7" s="63" customFormat="1" ht="18.75" customHeight="1" x14ac:dyDescent="0.25">
      <c r="B226" s="42" t="s">
        <v>274</v>
      </c>
      <c r="C226" s="43" t="s">
        <v>269</v>
      </c>
      <c r="D226" s="44" t="s">
        <v>270</v>
      </c>
      <c r="E226" s="44">
        <v>74.150000000000006</v>
      </c>
      <c r="F226" s="43"/>
    </row>
    <row r="227" spans="2:7" s="73" customFormat="1" ht="12.75" x14ac:dyDescent="0.25">
      <c r="B227" s="47"/>
      <c r="C227" s="48" t="s">
        <v>271</v>
      </c>
      <c r="D227" s="49" t="s">
        <v>0</v>
      </c>
      <c r="E227" s="49">
        <v>78.400000000000006</v>
      </c>
      <c r="F227" s="50"/>
    </row>
    <row r="228" spans="2:7" s="63" customFormat="1" x14ac:dyDescent="0.25">
      <c r="B228" s="42"/>
      <c r="C228" s="59" t="s">
        <v>272</v>
      </c>
      <c r="D228" s="59" t="s">
        <v>0</v>
      </c>
      <c r="E228" s="84">
        <v>5.0000000000000001E-3</v>
      </c>
      <c r="F228" s="65"/>
    </row>
    <row r="229" spans="2:7" s="63" customFormat="1" ht="18.75" customHeight="1" x14ac:dyDescent="0.25">
      <c r="B229" s="42" t="s">
        <v>273</v>
      </c>
      <c r="C229" s="43" t="s">
        <v>275</v>
      </c>
      <c r="D229" s="44" t="s">
        <v>270</v>
      </c>
      <c r="E229" s="44">
        <v>72.239999999999995</v>
      </c>
      <c r="F229" s="43"/>
    </row>
    <row r="230" spans="2:7" s="73" customFormat="1" ht="12.75" x14ac:dyDescent="0.25">
      <c r="B230" s="47"/>
      <c r="C230" s="48" t="s">
        <v>276</v>
      </c>
      <c r="D230" s="49" t="s">
        <v>0</v>
      </c>
      <c r="E230" s="49">
        <v>0.24</v>
      </c>
      <c r="F230" s="50"/>
    </row>
    <row r="231" spans="2:7" s="63" customFormat="1" x14ac:dyDescent="0.25">
      <c r="B231" s="42"/>
      <c r="C231" s="59" t="s">
        <v>272</v>
      </c>
      <c r="D231" s="59" t="s">
        <v>0</v>
      </c>
      <c r="E231" s="84">
        <v>5.0000000000000001E-3</v>
      </c>
      <c r="F231" s="65"/>
    </row>
    <row r="232" spans="2:7" s="1" customFormat="1" x14ac:dyDescent="0.25">
      <c r="B232" s="38"/>
      <c r="C232" s="39" t="s">
        <v>159</v>
      </c>
      <c r="D232" s="40"/>
      <c r="E232" s="40"/>
      <c r="F232" s="41"/>
      <c r="G232" s="28"/>
    </row>
    <row r="233" spans="2:7" x14ac:dyDescent="0.25">
      <c r="B233" s="42" t="s">
        <v>101</v>
      </c>
      <c r="C233" s="43" t="s">
        <v>160</v>
      </c>
      <c r="D233" s="44" t="s">
        <v>0</v>
      </c>
      <c r="E233" s="44">
        <v>0.35</v>
      </c>
      <c r="F233" s="43"/>
      <c r="G233" s="3"/>
    </row>
    <row r="234" spans="2:7" s="73" customFormat="1" ht="17.25" customHeight="1" x14ac:dyDescent="0.25">
      <c r="B234" s="47"/>
      <c r="C234" s="48" t="s">
        <v>28</v>
      </c>
      <c r="D234" s="49" t="s">
        <v>0</v>
      </c>
      <c r="E234" s="49">
        <f>E233*1.015</f>
        <v>0.35524999999999995</v>
      </c>
      <c r="F234" s="50"/>
    </row>
    <row r="235" spans="2:7" s="10" customFormat="1" ht="17.25" customHeight="1" x14ac:dyDescent="0.25">
      <c r="B235" s="47"/>
      <c r="C235" s="48" t="s">
        <v>63</v>
      </c>
      <c r="D235" s="49" t="s">
        <v>20</v>
      </c>
      <c r="E235" s="49">
        <v>2.1000000000000001E-2</v>
      </c>
      <c r="F235" s="50">
        <f>0.021*1.015</f>
        <v>2.1315000000000001E-2</v>
      </c>
    </row>
    <row r="236" spans="2:7" s="10" customFormat="1" ht="17.25" customHeight="1" x14ac:dyDescent="0.25">
      <c r="B236" s="47"/>
      <c r="C236" s="48" t="s">
        <v>29</v>
      </c>
      <c r="D236" s="49" t="s">
        <v>20</v>
      </c>
      <c r="E236" s="49">
        <v>0.02</v>
      </c>
      <c r="F236" s="50"/>
    </row>
    <row r="237" spans="2:7" s="5" customFormat="1" ht="3.75" hidden="1" customHeight="1" x14ac:dyDescent="0.25">
      <c r="B237" s="51"/>
      <c r="C237" s="52"/>
      <c r="D237" s="53"/>
      <c r="E237" s="53"/>
      <c r="F237" s="54"/>
    </row>
    <row r="238" spans="2:7" ht="39" hidden="1" customHeight="1" x14ac:dyDescent="0.25">
      <c r="B238" s="42" t="s">
        <v>105</v>
      </c>
      <c r="C238" s="43" t="s">
        <v>94</v>
      </c>
      <c r="D238" s="44" t="s">
        <v>20</v>
      </c>
      <c r="E238" s="44">
        <f>E240*16</f>
        <v>1.44</v>
      </c>
      <c r="F238" s="43"/>
      <c r="G238" s="3"/>
    </row>
    <row r="239" spans="2:7" s="10" customFormat="1" ht="22.5" hidden="1" customHeight="1" x14ac:dyDescent="0.25">
      <c r="B239" s="47"/>
      <c r="C239" s="48" t="s">
        <v>93</v>
      </c>
      <c r="D239" s="49" t="s">
        <v>80</v>
      </c>
      <c r="E239" s="49">
        <v>16</v>
      </c>
      <c r="F239" s="50"/>
    </row>
    <row r="240" spans="2:7" s="11" customFormat="1" ht="15" hidden="1" customHeight="1" x14ac:dyDescent="0.25">
      <c r="B240" s="55"/>
      <c r="C240" s="56" t="s">
        <v>92</v>
      </c>
      <c r="D240" s="56" t="s">
        <v>20</v>
      </c>
      <c r="E240" s="56">
        <f>E241+E242+E243</f>
        <v>0.09</v>
      </c>
      <c r="F240" s="57"/>
      <c r="G240" s="12"/>
    </row>
    <row r="241" spans="2:8" s="13" customFormat="1" ht="27" hidden="1" customHeight="1" x14ac:dyDescent="0.25">
      <c r="B241" s="58"/>
      <c r="C241" s="59" t="s">
        <v>57</v>
      </c>
      <c r="D241" s="60" t="s">
        <v>20</v>
      </c>
      <c r="E241" s="60">
        <f>ROUND(1.21/16,3)</f>
        <v>7.5999999999999998E-2</v>
      </c>
      <c r="F241" s="61"/>
      <c r="G241" s="14"/>
      <c r="H241" s="15"/>
    </row>
    <row r="242" spans="2:8" s="13" customFormat="1" ht="27" hidden="1" customHeight="1" x14ac:dyDescent="0.25">
      <c r="B242" s="58"/>
      <c r="C242" s="59" t="s">
        <v>57</v>
      </c>
      <c r="D242" s="60" t="s">
        <v>20</v>
      </c>
      <c r="E242" s="60">
        <f>ROUND(0.042/16,3)</f>
        <v>3.0000000000000001E-3</v>
      </c>
      <c r="F242" s="61"/>
      <c r="G242" s="14"/>
      <c r="H242" s="13" t="s">
        <v>67</v>
      </c>
    </row>
    <row r="243" spans="2:8" s="13" customFormat="1" ht="27" hidden="1" customHeight="1" x14ac:dyDescent="0.25">
      <c r="B243" s="58"/>
      <c r="C243" s="59" t="s">
        <v>65</v>
      </c>
      <c r="D243" s="60" t="s">
        <v>20</v>
      </c>
      <c r="E243" s="60">
        <f>ROUND(0.17/16,3)</f>
        <v>1.0999999999999999E-2</v>
      </c>
      <c r="F243" s="61"/>
      <c r="G243" s="16"/>
      <c r="H243" s="13" t="s">
        <v>67</v>
      </c>
    </row>
    <row r="244" spans="2:8" s="5" customFormat="1" ht="3.75" hidden="1" customHeight="1" x14ac:dyDescent="0.25">
      <c r="B244" s="51"/>
      <c r="C244" s="52"/>
      <c r="D244" s="53"/>
      <c r="E244" s="53"/>
      <c r="F244" s="54"/>
    </row>
    <row r="245" spans="2:8" ht="25.5" hidden="1" customHeight="1" x14ac:dyDescent="0.25">
      <c r="B245" s="42" t="s">
        <v>106</v>
      </c>
      <c r="C245" s="43" t="s">
        <v>98</v>
      </c>
      <c r="D245" s="44" t="s">
        <v>20</v>
      </c>
      <c r="E245" s="44">
        <f>SUM(E248:E256)</f>
        <v>9.49</v>
      </c>
      <c r="F245" s="43"/>
      <c r="G245" s="3"/>
    </row>
    <row r="246" spans="2:8" s="10" customFormat="1" ht="15.75" hidden="1" customHeight="1" x14ac:dyDescent="0.25">
      <c r="B246" s="47"/>
      <c r="C246" s="48" t="s">
        <v>99</v>
      </c>
      <c r="D246" s="49" t="s">
        <v>20</v>
      </c>
      <c r="E246" s="49">
        <f>E245</f>
        <v>9.49</v>
      </c>
      <c r="F246" s="50"/>
    </row>
    <row r="247" spans="2:8" s="11" customFormat="1" ht="15" hidden="1" customHeight="1" x14ac:dyDescent="0.25">
      <c r="B247" s="55"/>
      <c r="C247" s="56" t="s">
        <v>100</v>
      </c>
      <c r="D247" s="56"/>
      <c r="E247" s="56"/>
      <c r="F247" s="57"/>
      <c r="G247" s="12"/>
    </row>
    <row r="248" spans="2:8" s="13" customFormat="1" ht="25.5" hidden="1" customHeight="1" x14ac:dyDescent="0.25">
      <c r="B248" s="58"/>
      <c r="C248" s="59" t="s">
        <v>53</v>
      </c>
      <c r="D248" s="60" t="s">
        <v>20</v>
      </c>
      <c r="E248" s="60">
        <v>1.89</v>
      </c>
      <c r="F248" s="61"/>
    </row>
    <row r="249" spans="2:8" s="13" customFormat="1" ht="25.5" hidden="1" customHeight="1" x14ac:dyDescent="0.25">
      <c r="B249" s="58"/>
      <c r="C249" s="59" t="s">
        <v>66</v>
      </c>
      <c r="D249" s="60" t="s">
        <v>20</v>
      </c>
      <c r="E249" s="60">
        <v>1.46</v>
      </c>
      <c r="F249" s="61"/>
    </row>
    <row r="250" spans="2:8" s="13" customFormat="1" ht="25.5" hidden="1" customHeight="1" x14ac:dyDescent="0.25">
      <c r="B250" s="58"/>
      <c r="C250" s="59" t="s">
        <v>54</v>
      </c>
      <c r="D250" s="60" t="s">
        <v>20</v>
      </c>
      <c r="E250" s="60">
        <v>0.22</v>
      </c>
      <c r="F250" s="61"/>
    </row>
    <row r="251" spans="2:8" s="13" customFormat="1" ht="25.5" hidden="1" customHeight="1" x14ac:dyDescent="0.25">
      <c r="B251" s="58"/>
      <c r="C251" s="59" t="s">
        <v>55</v>
      </c>
      <c r="D251" s="60" t="s">
        <v>20</v>
      </c>
      <c r="E251" s="60">
        <v>2.17</v>
      </c>
      <c r="F251" s="61"/>
    </row>
    <row r="252" spans="2:8" s="13" customFormat="1" ht="25.5" hidden="1" customHeight="1" x14ac:dyDescent="0.25">
      <c r="B252" s="58"/>
      <c r="C252" s="59" t="s">
        <v>49</v>
      </c>
      <c r="D252" s="60" t="s">
        <v>20</v>
      </c>
      <c r="E252" s="60">
        <v>0.82</v>
      </c>
      <c r="F252" s="61"/>
      <c r="G252" s="14" t="s">
        <v>50</v>
      </c>
    </row>
    <row r="253" spans="2:8" s="13" customFormat="1" ht="25.5" hidden="1" customHeight="1" x14ac:dyDescent="0.25">
      <c r="B253" s="58"/>
      <c r="C253" s="59" t="s">
        <v>56</v>
      </c>
      <c r="D253" s="60" t="s">
        <v>20</v>
      </c>
      <c r="E253" s="60">
        <v>0.05</v>
      </c>
      <c r="F253" s="61"/>
      <c r="G253" s="14"/>
    </row>
    <row r="254" spans="2:8" s="13" customFormat="1" ht="25.5" hidden="1" customHeight="1" x14ac:dyDescent="0.25">
      <c r="B254" s="58"/>
      <c r="C254" s="59" t="s">
        <v>57</v>
      </c>
      <c r="D254" s="60" t="s">
        <v>20</v>
      </c>
      <c r="E254" s="60">
        <v>0.06</v>
      </c>
      <c r="F254" s="61"/>
      <c r="G254" s="14"/>
    </row>
    <row r="255" spans="2:8" s="13" customFormat="1" ht="25.5" hidden="1" customHeight="1" x14ac:dyDescent="0.25">
      <c r="B255" s="58"/>
      <c r="C255" s="59" t="s">
        <v>58</v>
      </c>
      <c r="D255" s="60" t="s">
        <v>20</v>
      </c>
      <c r="E255" s="60">
        <v>1.51</v>
      </c>
      <c r="F255" s="61"/>
      <c r="G255" s="14"/>
    </row>
    <row r="256" spans="2:8" s="13" customFormat="1" ht="25.5" hidden="1" customHeight="1" x14ac:dyDescent="0.25">
      <c r="B256" s="58"/>
      <c r="C256" s="59" t="s">
        <v>64</v>
      </c>
      <c r="D256" s="60" t="s">
        <v>20</v>
      </c>
      <c r="E256" s="60">
        <v>1.31</v>
      </c>
      <c r="F256" s="61"/>
      <c r="G256" s="14"/>
    </row>
    <row r="257" spans="2:7" ht="11.25" hidden="1" customHeight="1" x14ac:dyDescent="0.25">
      <c r="B257" s="42"/>
      <c r="C257" s="43"/>
      <c r="D257" s="44"/>
      <c r="E257" s="44"/>
      <c r="F257" s="43"/>
      <c r="G257" s="4"/>
    </row>
    <row r="258" spans="2:7" s="1" customFormat="1" ht="25.5" hidden="1" customHeight="1" x14ac:dyDescent="0.25">
      <c r="B258" s="38"/>
      <c r="C258" s="39" t="s">
        <v>107</v>
      </c>
      <c r="D258" s="40"/>
      <c r="E258" s="40"/>
      <c r="F258" s="41"/>
      <c r="G258" s="2"/>
    </row>
    <row r="259" spans="2:7" ht="33" hidden="1" customHeight="1" x14ac:dyDescent="0.25">
      <c r="B259" s="42" t="s">
        <v>48</v>
      </c>
      <c r="C259" s="43" t="s">
        <v>75</v>
      </c>
      <c r="D259" s="44" t="s">
        <v>1</v>
      </c>
      <c r="E259" s="44">
        <v>231.9</v>
      </c>
      <c r="F259" s="43"/>
      <c r="G259" s="4"/>
    </row>
    <row r="260" spans="2:7" s="10" customFormat="1" ht="24.75" hidden="1" customHeight="1" x14ac:dyDescent="0.25">
      <c r="B260" s="47"/>
      <c r="C260" s="48" t="s">
        <v>60</v>
      </c>
      <c r="D260" s="49" t="s">
        <v>1</v>
      </c>
      <c r="E260" s="49">
        <f>E259</f>
        <v>231.9</v>
      </c>
      <c r="F260" s="50"/>
      <c r="G260" s="9"/>
    </row>
    <row r="261" spans="2:7" s="5" customFormat="1" ht="3.75" hidden="1" customHeight="1" x14ac:dyDescent="0.25">
      <c r="B261" s="51"/>
      <c r="C261" s="52"/>
      <c r="D261" s="53"/>
      <c r="E261" s="53"/>
      <c r="F261" s="54"/>
      <c r="G261" s="7"/>
    </row>
    <row r="262" spans="2:7" ht="33" hidden="1" customHeight="1" x14ac:dyDescent="0.25">
      <c r="B262" s="42" t="s">
        <v>51</v>
      </c>
      <c r="C262" s="43" t="s">
        <v>77</v>
      </c>
      <c r="D262" s="44" t="s">
        <v>1</v>
      </c>
      <c r="E262" s="44">
        <v>105.17</v>
      </c>
      <c r="F262" s="43"/>
      <c r="G262" s="7"/>
    </row>
    <row r="263" spans="2:7" s="10" customFormat="1" ht="51.75" hidden="1" customHeight="1" x14ac:dyDescent="0.25">
      <c r="B263" s="47"/>
      <c r="C263" s="48" t="s">
        <v>78</v>
      </c>
      <c r="D263" s="49" t="s">
        <v>1</v>
      </c>
      <c r="E263" s="49">
        <f>E262</f>
        <v>105.17</v>
      </c>
      <c r="F263" s="50"/>
      <c r="G263" s="9"/>
    </row>
    <row r="264" spans="2:7" ht="11.25" hidden="1" customHeight="1" x14ac:dyDescent="0.25">
      <c r="B264" s="42"/>
      <c r="C264" s="43"/>
      <c r="D264" s="44"/>
      <c r="E264" s="44"/>
      <c r="F264" s="43"/>
      <c r="G264" s="7"/>
    </row>
    <row r="265" spans="2:7" s="1" customFormat="1" ht="25.5" hidden="1" customHeight="1" x14ac:dyDescent="0.25">
      <c r="B265" s="38"/>
      <c r="C265" s="39" t="s">
        <v>108</v>
      </c>
      <c r="D265" s="40"/>
      <c r="E265" s="40"/>
      <c r="F265" s="41"/>
      <c r="G265" s="7"/>
    </row>
    <row r="266" spans="2:7" ht="32.25" hidden="1" customHeight="1" x14ac:dyDescent="0.25">
      <c r="B266" s="42" t="s">
        <v>59</v>
      </c>
      <c r="C266" s="43" t="s">
        <v>61</v>
      </c>
      <c r="D266" s="44" t="s">
        <v>1</v>
      </c>
      <c r="E266" s="44">
        <v>137.79</v>
      </c>
      <c r="F266" s="43"/>
      <c r="G266" s="7"/>
    </row>
    <row r="267" spans="2:7" s="10" customFormat="1" ht="30.75" hidden="1" customHeight="1" x14ac:dyDescent="0.25">
      <c r="B267" s="47"/>
      <c r="C267" s="48" t="s">
        <v>62</v>
      </c>
      <c r="D267" s="49" t="s">
        <v>0</v>
      </c>
      <c r="E267" s="49">
        <f>ROUND(E266*0.15,1)</f>
        <v>20.7</v>
      </c>
      <c r="F267" s="50"/>
      <c r="G267" s="9"/>
    </row>
    <row r="268" spans="2:7" ht="5.25" hidden="1" customHeight="1" x14ac:dyDescent="0.25">
      <c r="B268" s="62"/>
      <c r="C268" s="63"/>
      <c r="D268" s="64"/>
      <c r="E268" s="64"/>
      <c r="F268" s="63"/>
      <c r="G268" s="7"/>
    </row>
    <row r="269" spans="2:7" ht="33" hidden="1" customHeight="1" x14ac:dyDescent="0.25">
      <c r="B269" s="42" t="s">
        <v>95</v>
      </c>
      <c r="C269" s="43" t="s">
        <v>76</v>
      </c>
      <c r="D269" s="44" t="s">
        <v>1</v>
      </c>
      <c r="E269" s="44">
        <v>268.49</v>
      </c>
      <c r="F269" s="43"/>
      <c r="G269" s="7"/>
    </row>
    <row r="270" spans="2:7" s="10" customFormat="1" ht="43.5" hidden="1" customHeight="1" x14ac:dyDescent="0.25">
      <c r="B270" s="47"/>
      <c r="C270" s="48" t="s">
        <v>79</v>
      </c>
      <c r="D270" s="49" t="s">
        <v>1</v>
      </c>
      <c r="E270" s="49">
        <f>E269</f>
        <v>268.49</v>
      </c>
      <c r="F270" s="50"/>
      <c r="G270" s="9"/>
    </row>
    <row r="271" spans="2:7" s="63" customFormat="1" ht="18.75" customHeight="1" x14ac:dyDescent="0.25">
      <c r="B271" s="42" t="s">
        <v>273</v>
      </c>
      <c r="C271" s="43" t="s">
        <v>277</v>
      </c>
      <c r="D271" s="44" t="s">
        <v>270</v>
      </c>
      <c r="E271" s="44">
        <v>3.79</v>
      </c>
      <c r="F271" s="43"/>
    </row>
    <row r="272" spans="2:7" s="73" customFormat="1" ht="12.75" x14ac:dyDescent="0.25">
      <c r="B272" s="47"/>
      <c r="C272" s="48" t="s">
        <v>276</v>
      </c>
      <c r="D272" s="49" t="s">
        <v>0</v>
      </c>
      <c r="E272" s="49">
        <v>0.03</v>
      </c>
      <c r="F272" s="50"/>
    </row>
    <row r="273" spans="2:7" s="63" customFormat="1" x14ac:dyDescent="0.25">
      <c r="B273" s="42"/>
      <c r="C273" s="59" t="s">
        <v>272</v>
      </c>
      <c r="D273" s="59" t="s">
        <v>0</v>
      </c>
      <c r="E273" s="84">
        <v>2E-3</v>
      </c>
      <c r="F273" s="65"/>
    </row>
    <row r="274" spans="2:7" s="1" customFormat="1" x14ac:dyDescent="0.25">
      <c r="B274" s="38"/>
      <c r="C274" s="39" t="s">
        <v>161</v>
      </c>
      <c r="D274" s="40"/>
      <c r="E274" s="40"/>
      <c r="F274" s="41"/>
      <c r="G274" s="28"/>
    </row>
    <row r="275" spans="2:7" s="1" customFormat="1" x14ac:dyDescent="0.25">
      <c r="B275" s="38"/>
      <c r="C275" s="39" t="s">
        <v>166</v>
      </c>
      <c r="D275" s="40"/>
      <c r="E275" s="40"/>
      <c r="F275" s="41"/>
      <c r="G275" s="28"/>
    </row>
    <row r="276" spans="2:7" ht="28.5" x14ac:dyDescent="0.25">
      <c r="B276" s="42" t="s">
        <v>48</v>
      </c>
      <c r="C276" s="43" t="s">
        <v>262</v>
      </c>
      <c r="D276" s="49" t="s">
        <v>20</v>
      </c>
      <c r="E276" s="49">
        <v>0.19800000000000001</v>
      </c>
      <c r="F276" s="43"/>
      <c r="G276" s="3"/>
    </row>
    <row r="277" spans="2:7" s="10" customFormat="1" ht="12.75" x14ac:dyDescent="0.25">
      <c r="B277" s="47"/>
      <c r="C277" s="48" t="s">
        <v>264</v>
      </c>
      <c r="D277" s="49" t="s">
        <v>20</v>
      </c>
      <c r="E277" s="49">
        <v>0.19700000000000001</v>
      </c>
      <c r="F277" s="50"/>
    </row>
    <row r="278" spans="2:7" s="10" customFormat="1" ht="12.75" x14ac:dyDescent="0.25">
      <c r="B278" s="47"/>
      <c r="C278" s="48" t="s">
        <v>263</v>
      </c>
      <c r="D278" s="49" t="s">
        <v>20</v>
      </c>
      <c r="E278" s="49">
        <v>8.0000000000000004E-4</v>
      </c>
      <c r="F278" s="50"/>
    </row>
    <row r="279" spans="2:7" x14ac:dyDescent="0.25">
      <c r="B279" s="42" t="s">
        <v>51</v>
      </c>
      <c r="C279" s="43" t="s">
        <v>165</v>
      </c>
      <c r="D279" s="49" t="s">
        <v>20</v>
      </c>
      <c r="E279" s="49">
        <v>8.5000000000000006E-2</v>
      </c>
      <c r="F279" s="43"/>
      <c r="G279" s="3"/>
    </row>
    <row r="280" spans="2:7" s="10" customFormat="1" ht="25.5" x14ac:dyDescent="0.25">
      <c r="B280" s="47"/>
      <c r="C280" s="48" t="s">
        <v>162</v>
      </c>
      <c r="D280" s="49" t="s">
        <v>20</v>
      </c>
      <c r="E280" s="49">
        <v>3.7999999999999999E-2</v>
      </c>
      <c r="F280" s="50"/>
    </row>
    <row r="281" spans="2:7" s="10" customFormat="1" ht="12.75" x14ac:dyDescent="0.25">
      <c r="B281" s="47"/>
      <c r="C281" s="48" t="s">
        <v>265</v>
      </c>
      <c r="D281" s="49" t="s">
        <v>20</v>
      </c>
      <c r="E281" s="49">
        <v>4.4999999999999998E-2</v>
      </c>
      <c r="F281" s="50"/>
    </row>
    <row r="282" spans="2:7" s="10" customFormat="1" ht="17.25" customHeight="1" x14ac:dyDescent="0.25">
      <c r="B282" s="47"/>
      <c r="C282" s="48" t="s">
        <v>163</v>
      </c>
      <c r="D282" s="49" t="s">
        <v>20</v>
      </c>
      <c r="E282" s="49">
        <v>2E-3</v>
      </c>
      <c r="F282" s="50"/>
    </row>
    <row r="283" spans="2:7" s="10" customFormat="1" ht="12.75" x14ac:dyDescent="0.25">
      <c r="B283" s="47"/>
      <c r="C283" s="48" t="s">
        <v>164</v>
      </c>
      <c r="D283" s="49" t="s">
        <v>20</v>
      </c>
      <c r="E283" s="49">
        <v>1.6000000000000001E-4</v>
      </c>
      <c r="F283" s="50"/>
    </row>
    <row r="284" spans="2:7" s="1" customFormat="1" ht="28.5" x14ac:dyDescent="0.25">
      <c r="B284" s="38"/>
      <c r="C284" s="39" t="s">
        <v>192</v>
      </c>
      <c r="D284" s="40"/>
      <c r="E284" s="40"/>
      <c r="F284" s="41"/>
      <c r="G284" s="28"/>
    </row>
    <row r="285" spans="2:7" s="1" customFormat="1" x14ac:dyDescent="0.25">
      <c r="B285" s="38"/>
      <c r="C285" s="39" t="s">
        <v>169</v>
      </c>
      <c r="D285" s="40"/>
      <c r="E285" s="40"/>
      <c r="F285" s="41"/>
      <c r="G285" s="28"/>
    </row>
    <row r="286" spans="2:7" ht="18.75" customHeight="1" x14ac:dyDescent="0.25">
      <c r="B286" s="42" t="s">
        <v>59</v>
      </c>
      <c r="C286" s="43" t="s">
        <v>155</v>
      </c>
      <c r="D286" s="44" t="s">
        <v>0</v>
      </c>
      <c r="E286" s="44">
        <v>6.7</v>
      </c>
      <c r="F286" s="43"/>
      <c r="G286" s="3"/>
    </row>
    <row r="287" spans="2:7" s="73" customFormat="1" ht="12.75" x14ac:dyDescent="0.25">
      <c r="B287" s="47"/>
      <c r="C287" s="48" t="s">
        <v>119</v>
      </c>
      <c r="D287" s="49" t="s">
        <v>0</v>
      </c>
      <c r="E287" s="49">
        <f>E286*1.02</f>
        <v>6.8340000000000005</v>
      </c>
      <c r="F287" s="50"/>
    </row>
    <row r="288" spans="2:7" s="63" customFormat="1" x14ac:dyDescent="0.25">
      <c r="B288" s="42" t="s">
        <v>95</v>
      </c>
      <c r="C288" s="43" t="s">
        <v>171</v>
      </c>
      <c r="D288" s="44" t="s">
        <v>0</v>
      </c>
      <c r="E288" s="44">
        <v>9.1</v>
      </c>
      <c r="F288" s="43"/>
    </row>
    <row r="289" spans="2:7" s="73" customFormat="1" ht="17.25" customHeight="1" x14ac:dyDescent="0.25">
      <c r="B289" s="47"/>
      <c r="C289" s="48" t="s">
        <v>115</v>
      </c>
      <c r="D289" s="49" t="s">
        <v>0</v>
      </c>
      <c r="E289" s="49">
        <f>E288*1.015</f>
        <v>9.2364999999999995</v>
      </c>
      <c r="F289" s="50"/>
    </row>
    <row r="290" spans="2:7" s="73" customFormat="1" ht="17.25" customHeight="1" x14ac:dyDescent="0.25">
      <c r="B290" s="47"/>
      <c r="C290" s="48" t="s">
        <v>47</v>
      </c>
      <c r="D290" s="49" t="s">
        <v>20</v>
      </c>
      <c r="E290" s="49">
        <v>0.64500000000000002</v>
      </c>
      <c r="F290" s="50">
        <f>0.635*1.015</f>
        <v>0.6445249999999999</v>
      </c>
    </row>
    <row r="291" spans="2:7" s="1" customFormat="1" x14ac:dyDescent="0.25">
      <c r="B291" s="38"/>
      <c r="C291" s="39" t="s">
        <v>172</v>
      </c>
      <c r="D291" s="40"/>
      <c r="E291" s="40"/>
      <c r="F291" s="41"/>
      <c r="G291" s="28"/>
    </row>
    <row r="292" spans="2:7" s="63" customFormat="1" ht="18.75" customHeight="1" x14ac:dyDescent="0.25">
      <c r="B292" s="42" t="s">
        <v>170</v>
      </c>
      <c r="C292" s="43" t="s">
        <v>155</v>
      </c>
      <c r="D292" s="44" t="s">
        <v>0</v>
      </c>
      <c r="E292" s="44">
        <v>10.8</v>
      </c>
      <c r="F292" s="43"/>
    </row>
    <row r="293" spans="2:7" s="73" customFormat="1" ht="12.75" x14ac:dyDescent="0.25">
      <c r="B293" s="47"/>
      <c r="C293" s="48" t="s">
        <v>119</v>
      </c>
      <c r="D293" s="49" t="s">
        <v>0</v>
      </c>
      <c r="E293" s="49">
        <f>E292*1.02</f>
        <v>11.016000000000002</v>
      </c>
      <c r="F293" s="50"/>
    </row>
    <row r="294" spans="2:7" s="63" customFormat="1" x14ac:dyDescent="0.25">
      <c r="B294" s="42" t="s">
        <v>173</v>
      </c>
      <c r="C294" s="43" t="s">
        <v>174</v>
      </c>
      <c r="D294" s="44" t="s">
        <v>0</v>
      </c>
      <c r="E294" s="44">
        <v>15.2</v>
      </c>
      <c r="F294" s="43"/>
    </row>
    <row r="295" spans="2:7" s="73" customFormat="1" ht="17.25" customHeight="1" x14ac:dyDescent="0.25">
      <c r="B295" s="47"/>
      <c r="C295" s="48" t="s">
        <v>115</v>
      </c>
      <c r="D295" s="49" t="s">
        <v>0</v>
      </c>
      <c r="E295" s="49">
        <f>E294*1.015</f>
        <v>15.427999999999997</v>
      </c>
      <c r="F295" s="50"/>
    </row>
    <row r="296" spans="2:7" s="73" customFormat="1" ht="17.25" customHeight="1" x14ac:dyDescent="0.25">
      <c r="B296" s="47"/>
      <c r="C296" s="48" t="s">
        <v>47</v>
      </c>
      <c r="D296" s="49" t="s">
        <v>20</v>
      </c>
      <c r="E296" s="49">
        <v>0.996</v>
      </c>
      <c r="F296" s="50">
        <f>0.981*1.015</f>
        <v>0.99571499999999991</v>
      </c>
    </row>
    <row r="297" spans="2:7" s="1" customFormat="1" x14ac:dyDescent="0.25">
      <c r="B297" s="38"/>
      <c r="C297" s="39" t="s">
        <v>175</v>
      </c>
      <c r="D297" s="40"/>
      <c r="E297" s="40"/>
      <c r="F297" s="41"/>
      <c r="G297" s="28"/>
    </row>
    <row r="298" spans="2:7" s="63" customFormat="1" ht="18.75" customHeight="1" x14ac:dyDescent="0.25">
      <c r="B298" s="42" t="s">
        <v>177</v>
      </c>
      <c r="C298" s="43" t="s">
        <v>155</v>
      </c>
      <c r="D298" s="44" t="s">
        <v>0</v>
      </c>
      <c r="E298" s="44">
        <v>1.9</v>
      </c>
      <c r="F298" s="43"/>
    </row>
    <row r="299" spans="2:7" s="73" customFormat="1" ht="12.75" x14ac:dyDescent="0.25">
      <c r="B299" s="47"/>
      <c r="C299" s="48" t="s">
        <v>119</v>
      </c>
      <c r="D299" s="49" t="s">
        <v>0</v>
      </c>
      <c r="E299" s="49">
        <f>E298*1.02</f>
        <v>1.9379999999999999</v>
      </c>
      <c r="F299" s="50"/>
    </row>
    <row r="300" spans="2:7" s="63" customFormat="1" x14ac:dyDescent="0.25">
      <c r="B300" s="42" t="s">
        <v>178</v>
      </c>
      <c r="C300" s="43" t="s">
        <v>176</v>
      </c>
      <c r="D300" s="44" t="s">
        <v>0</v>
      </c>
      <c r="E300" s="44">
        <v>2.6</v>
      </c>
      <c r="F300" s="43"/>
    </row>
    <row r="301" spans="2:7" s="73" customFormat="1" ht="17.25" customHeight="1" x14ac:dyDescent="0.25">
      <c r="B301" s="47"/>
      <c r="C301" s="48" t="s">
        <v>115</v>
      </c>
      <c r="D301" s="49" t="s">
        <v>0</v>
      </c>
      <c r="E301" s="49">
        <f>E300*1.015</f>
        <v>2.6389999999999998</v>
      </c>
      <c r="F301" s="50"/>
    </row>
    <row r="302" spans="2:7" s="10" customFormat="1" ht="17.25" customHeight="1" x14ac:dyDescent="0.25">
      <c r="B302" s="47"/>
      <c r="C302" s="48" t="s">
        <v>47</v>
      </c>
      <c r="D302" s="49" t="s">
        <v>20</v>
      </c>
      <c r="E302" s="49">
        <v>0.189</v>
      </c>
      <c r="F302" s="50">
        <f>0.186*1.015</f>
        <v>0.18878999999999999</v>
      </c>
    </row>
    <row r="303" spans="2:7" s="1" customFormat="1" x14ac:dyDescent="0.25">
      <c r="B303" s="38"/>
      <c r="C303" s="39" t="s">
        <v>181</v>
      </c>
      <c r="D303" s="40"/>
      <c r="E303" s="40"/>
      <c r="F303" s="41"/>
      <c r="G303" s="28"/>
    </row>
    <row r="304" spans="2:7" s="63" customFormat="1" ht="18.75" customHeight="1" x14ac:dyDescent="0.25">
      <c r="B304" s="42" t="s">
        <v>179</v>
      </c>
      <c r="C304" s="43" t="s">
        <v>155</v>
      </c>
      <c r="D304" s="44" t="s">
        <v>0</v>
      </c>
      <c r="E304" s="44">
        <v>3.3</v>
      </c>
      <c r="F304" s="43"/>
    </row>
    <row r="305" spans="2:7" s="73" customFormat="1" ht="12.75" x14ac:dyDescent="0.25">
      <c r="B305" s="47"/>
      <c r="C305" s="48" t="s">
        <v>119</v>
      </c>
      <c r="D305" s="49" t="s">
        <v>0</v>
      </c>
      <c r="E305" s="49">
        <f>E304*1.02</f>
        <v>3.3659999999999997</v>
      </c>
      <c r="F305" s="50"/>
    </row>
    <row r="306" spans="2:7" s="63" customFormat="1" x14ac:dyDescent="0.25">
      <c r="B306" s="42" t="s">
        <v>180</v>
      </c>
      <c r="C306" s="43" t="s">
        <v>182</v>
      </c>
      <c r="D306" s="44" t="s">
        <v>0</v>
      </c>
      <c r="E306" s="44">
        <v>4.5999999999999996</v>
      </c>
      <c r="F306" s="43"/>
    </row>
    <row r="307" spans="2:7" s="73" customFormat="1" ht="17.25" customHeight="1" x14ac:dyDescent="0.25">
      <c r="B307" s="47"/>
      <c r="C307" s="48" t="s">
        <v>115</v>
      </c>
      <c r="D307" s="49" t="s">
        <v>0</v>
      </c>
      <c r="E307" s="49">
        <f>E306*1.015</f>
        <v>4.6689999999999996</v>
      </c>
      <c r="F307" s="50"/>
    </row>
    <row r="308" spans="2:7" s="10" customFormat="1" ht="17.25" customHeight="1" x14ac:dyDescent="0.25">
      <c r="B308" s="47"/>
      <c r="C308" s="48" t="s">
        <v>47</v>
      </c>
      <c r="D308" s="49" t="s">
        <v>20</v>
      </c>
      <c r="E308" s="49">
        <v>0.30599999999999999</v>
      </c>
      <c r="F308" s="50">
        <f>0.301*1.015</f>
        <v>0.30551499999999998</v>
      </c>
    </row>
    <row r="309" spans="2:7" s="1" customFormat="1" x14ac:dyDescent="0.25">
      <c r="B309" s="38"/>
      <c r="C309" s="39" t="s">
        <v>183</v>
      </c>
      <c r="D309" s="40"/>
      <c r="E309" s="40"/>
      <c r="F309" s="41"/>
      <c r="G309" s="28"/>
    </row>
    <row r="310" spans="2:7" x14ac:dyDescent="0.25">
      <c r="B310" s="42" t="s">
        <v>185</v>
      </c>
      <c r="C310" s="43" t="s">
        <v>184</v>
      </c>
      <c r="D310" s="44" t="s">
        <v>0</v>
      </c>
      <c r="E310" s="44">
        <v>0.06</v>
      </c>
      <c r="F310" s="43"/>
      <c r="G310" s="3"/>
    </row>
    <row r="311" spans="2:7" s="73" customFormat="1" ht="17.25" customHeight="1" x14ac:dyDescent="0.25">
      <c r="B311" s="47"/>
      <c r="C311" s="48" t="s">
        <v>115</v>
      </c>
      <c r="D311" s="49" t="s">
        <v>0</v>
      </c>
      <c r="E311" s="49">
        <f>E310*1.015</f>
        <v>6.0899999999999989E-2</v>
      </c>
      <c r="F311" s="50"/>
    </row>
    <row r="312" spans="2:7" s="10" customFormat="1" ht="17.25" customHeight="1" x14ac:dyDescent="0.25">
      <c r="B312" s="47"/>
      <c r="C312" s="48" t="s">
        <v>47</v>
      </c>
      <c r="D312" s="49" t="s">
        <v>20</v>
      </c>
      <c r="E312" s="49">
        <v>4.0000000000000001E-3</v>
      </c>
      <c r="F312" s="50">
        <f>0.00418*1.015</f>
        <v>4.2426999999999994E-3</v>
      </c>
    </row>
    <row r="313" spans="2:7" ht="57" customHeight="1" x14ac:dyDescent="0.25">
      <c r="B313" s="42" t="s">
        <v>186</v>
      </c>
      <c r="C313" s="43" t="s">
        <v>133</v>
      </c>
      <c r="D313" s="44" t="s">
        <v>1</v>
      </c>
      <c r="E313" s="44">
        <v>218</v>
      </c>
      <c r="F313" s="43"/>
      <c r="G313" s="3"/>
    </row>
    <row r="314" spans="2:7" s="63" customFormat="1" x14ac:dyDescent="0.25">
      <c r="B314" s="42"/>
      <c r="C314" s="59" t="s">
        <v>266</v>
      </c>
      <c r="D314" s="59" t="s">
        <v>113</v>
      </c>
      <c r="E314" s="84">
        <f>E313*0.25</f>
        <v>54.5</v>
      </c>
      <c r="F314" s="65" t="s">
        <v>238</v>
      </c>
    </row>
    <row r="315" spans="2:7" s="63" customFormat="1" ht="22.5" x14ac:dyDescent="0.25">
      <c r="B315" s="42"/>
      <c r="C315" s="59" t="s">
        <v>131</v>
      </c>
      <c r="D315" s="59" t="s">
        <v>113</v>
      </c>
      <c r="E315" s="84">
        <f>E313*3</f>
        <v>654</v>
      </c>
      <c r="F315" s="65" t="s">
        <v>289</v>
      </c>
    </row>
    <row r="316" spans="2:7" s="63" customFormat="1" x14ac:dyDescent="0.25">
      <c r="B316" s="42"/>
      <c r="C316" s="59" t="s">
        <v>187</v>
      </c>
      <c r="D316" s="59" t="s">
        <v>189</v>
      </c>
      <c r="E316" s="59">
        <v>124</v>
      </c>
      <c r="F316" s="65"/>
      <c r="G316" s="74"/>
    </row>
    <row r="317" spans="2:7" s="63" customFormat="1" x14ac:dyDescent="0.25">
      <c r="B317" s="42"/>
      <c r="C317" s="59" t="s">
        <v>188</v>
      </c>
      <c r="D317" s="59" t="s">
        <v>0</v>
      </c>
      <c r="E317" s="59">
        <v>1.2999999999999999E-2</v>
      </c>
      <c r="F317" s="65"/>
      <c r="G317" s="74"/>
    </row>
    <row r="318" spans="2:7" s="1" customFormat="1" x14ac:dyDescent="0.25">
      <c r="B318" s="38"/>
      <c r="C318" s="39" t="s">
        <v>214</v>
      </c>
      <c r="D318" s="40"/>
      <c r="E318" s="40"/>
      <c r="F318" s="41"/>
      <c r="G318" s="28"/>
    </row>
    <row r="319" spans="2:7" x14ac:dyDescent="0.25">
      <c r="B319" s="42" t="s">
        <v>190</v>
      </c>
      <c r="C319" s="43" t="s">
        <v>220</v>
      </c>
      <c r="D319" s="44" t="s">
        <v>189</v>
      </c>
      <c r="E319" s="44">
        <v>165</v>
      </c>
      <c r="F319" s="43"/>
      <c r="G319" s="3"/>
    </row>
    <row r="320" spans="2:7" s="73" customFormat="1" ht="63" customHeight="1" x14ac:dyDescent="0.25">
      <c r="B320" s="47"/>
      <c r="C320" s="48" t="s">
        <v>221</v>
      </c>
      <c r="D320" s="49" t="s">
        <v>20</v>
      </c>
      <c r="E320" s="49">
        <v>0.13</v>
      </c>
      <c r="F320" s="65" t="s">
        <v>222</v>
      </c>
    </row>
    <row r="321" spans="2:7" s="1" customFormat="1" x14ac:dyDescent="0.25">
      <c r="B321" s="38"/>
      <c r="C321" s="39" t="s">
        <v>193</v>
      </c>
      <c r="D321" s="40"/>
      <c r="E321" s="40"/>
      <c r="F321" s="41"/>
      <c r="G321" s="28"/>
    </row>
    <row r="322" spans="2:7" ht="28.5" x14ac:dyDescent="0.25">
      <c r="B322" s="42" t="s">
        <v>191</v>
      </c>
      <c r="C322" s="43" t="s">
        <v>194</v>
      </c>
      <c r="D322" s="44" t="s">
        <v>0</v>
      </c>
      <c r="E322" s="44">
        <v>2.1</v>
      </c>
      <c r="F322" s="65"/>
      <c r="G322" s="3"/>
    </row>
    <row r="323" spans="2:7" s="73" customFormat="1" ht="12.75" x14ac:dyDescent="0.25">
      <c r="B323" s="47"/>
      <c r="C323" s="48" t="s">
        <v>196</v>
      </c>
      <c r="D323" s="49" t="s">
        <v>0</v>
      </c>
      <c r="E323" s="49">
        <f>E322*1.24</f>
        <v>2.6040000000000001</v>
      </c>
      <c r="F323" s="50"/>
    </row>
    <row r="324" spans="2:7" s="63" customFormat="1" ht="18.75" customHeight="1" x14ac:dyDescent="0.25">
      <c r="B324" s="42" t="s">
        <v>199</v>
      </c>
      <c r="C324" s="43" t="s">
        <v>155</v>
      </c>
      <c r="D324" s="44" t="s">
        <v>0</v>
      </c>
      <c r="E324" s="44">
        <v>0.17</v>
      </c>
      <c r="F324" s="43"/>
    </row>
    <row r="325" spans="2:7" s="73" customFormat="1" ht="12.75" x14ac:dyDescent="0.25">
      <c r="B325" s="47"/>
      <c r="C325" s="48" t="s">
        <v>119</v>
      </c>
      <c r="D325" s="49" t="s">
        <v>0</v>
      </c>
      <c r="E325" s="49">
        <f>E324*1.02</f>
        <v>0.17340000000000003</v>
      </c>
      <c r="F325" s="50"/>
    </row>
    <row r="326" spans="2:7" s="63" customFormat="1" x14ac:dyDescent="0.25">
      <c r="B326" s="42" t="s">
        <v>200</v>
      </c>
      <c r="C326" s="43" t="s">
        <v>197</v>
      </c>
      <c r="D326" s="44" t="s">
        <v>0</v>
      </c>
      <c r="E326" s="44">
        <v>0.67</v>
      </c>
      <c r="F326" s="43"/>
    </row>
    <row r="327" spans="2:7" s="73" customFormat="1" ht="17.25" customHeight="1" x14ac:dyDescent="0.25">
      <c r="B327" s="47"/>
      <c r="C327" s="48" t="s">
        <v>115</v>
      </c>
      <c r="D327" s="49" t="s">
        <v>0</v>
      </c>
      <c r="E327" s="49">
        <f>E326*1.015</f>
        <v>0.68004999999999993</v>
      </c>
      <c r="F327" s="50"/>
    </row>
    <row r="328" spans="2:7" s="10" customFormat="1" ht="17.25" customHeight="1" x14ac:dyDescent="0.25">
      <c r="B328" s="47"/>
      <c r="C328" s="48" t="s">
        <v>198</v>
      </c>
      <c r="D328" s="49" t="s">
        <v>20</v>
      </c>
      <c r="E328" s="49">
        <v>8.3000000000000004E-2</v>
      </c>
      <c r="F328" s="50">
        <f>0.082*1.015</f>
        <v>8.3229999999999998E-2</v>
      </c>
    </row>
    <row r="329" spans="2:7" ht="42.75" x14ac:dyDescent="0.25">
      <c r="B329" s="42" t="s">
        <v>201</v>
      </c>
      <c r="C329" s="43" t="s">
        <v>158</v>
      </c>
      <c r="D329" s="44" t="s">
        <v>1</v>
      </c>
      <c r="E329" s="44">
        <v>4.5</v>
      </c>
      <c r="F329" s="43"/>
      <c r="G329" s="3"/>
    </row>
    <row r="330" spans="2:7" s="63" customFormat="1" x14ac:dyDescent="0.25">
      <c r="B330" s="42"/>
      <c r="C330" s="59" t="s">
        <v>266</v>
      </c>
      <c r="D330" s="59" t="s">
        <v>113</v>
      </c>
      <c r="E330" s="84">
        <f>E329*0.25</f>
        <v>1.125</v>
      </c>
      <c r="F330" s="65" t="s">
        <v>238</v>
      </c>
    </row>
    <row r="331" spans="2:7" s="63" customFormat="1" ht="22.5" x14ac:dyDescent="0.25">
      <c r="B331" s="42"/>
      <c r="C331" s="59" t="s">
        <v>131</v>
      </c>
      <c r="D331" s="59" t="s">
        <v>113</v>
      </c>
      <c r="E331" s="84">
        <f>E329*3</f>
        <v>13.5</v>
      </c>
      <c r="F331" s="65" t="s">
        <v>289</v>
      </c>
    </row>
    <row r="332" spans="2:7" s="1" customFormat="1" x14ac:dyDescent="0.25">
      <c r="B332" s="38"/>
      <c r="C332" s="39" t="s">
        <v>205</v>
      </c>
      <c r="D332" s="40"/>
      <c r="E332" s="40"/>
      <c r="F332" s="41"/>
      <c r="G332" s="28"/>
    </row>
    <row r="333" spans="2:7" ht="28.5" x14ac:dyDescent="0.25">
      <c r="B333" s="42" t="s">
        <v>202</v>
      </c>
      <c r="C333" s="43" t="s">
        <v>194</v>
      </c>
      <c r="D333" s="44" t="s">
        <v>0</v>
      </c>
      <c r="E333" s="44">
        <v>2.2999999999999998</v>
      </c>
      <c r="F333" s="65"/>
      <c r="G333" s="3"/>
    </row>
    <row r="334" spans="2:7" s="73" customFormat="1" ht="12.75" x14ac:dyDescent="0.25">
      <c r="B334" s="47"/>
      <c r="C334" s="48" t="s">
        <v>196</v>
      </c>
      <c r="D334" s="49" t="s">
        <v>0</v>
      </c>
      <c r="E334" s="49">
        <f>E333*1.24</f>
        <v>2.8519999999999999</v>
      </c>
      <c r="F334" s="50"/>
    </row>
    <row r="335" spans="2:7" s="63" customFormat="1" ht="18.75" customHeight="1" x14ac:dyDescent="0.25">
      <c r="B335" s="42" t="s">
        <v>203</v>
      </c>
      <c r="C335" s="43" t="s">
        <v>155</v>
      </c>
      <c r="D335" s="44" t="s">
        <v>0</v>
      </c>
      <c r="E335" s="44">
        <v>0.15</v>
      </c>
      <c r="F335" s="43"/>
    </row>
    <row r="336" spans="2:7" s="73" customFormat="1" ht="12.75" x14ac:dyDescent="0.25">
      <c r="B336" s="47"/>
      <c r="C336" s="48" t="s">
        <v>119</v>
      </c>
      <c r="D336" s="49" t="s">
        <v>0</v>
      </c>
      <c r="E336" s="49">
        <f>E335*1.02</f>
        <v>0.153</v>
      </c>
      <c r="F336" s="50"/>
    </row>
    <row r="337" spans="2:7" s="63" customFormat="1" x14ac:dyDescent="0.25">
      <c r="B337" s="42" t="s">
        <v>204</v>
      </c>
      <c r="C337" s="43" t="s">
        <v>206</v>
      </c>
      <c r="D337" s="44" t="s">
        <v>0</v>
      </c>
      <c r="E337" s="44">
        <v>0.28000000000000003</v>
      </c>
      <c r="F337" s="43"/>
    </row>
    <row r="338" spans="2:7" s="73" customFormat="1" ht="17.25" customHeight="1" x14ac:dyDescent="0.25">
      <c r="B338" s="47"/>
      <c r="C338" s="48" t="s">
        <v>115</v>
      </c>
      <c r="D338" s="49" t="s">
        <v>0</v>
      </c>
      <c r="E338" s="49">
        <f>E337*1.015</f>
        <v>0.28420000000000001</v>
      </c>
      <c r="F338" s="50"/>
    </row>
    <row r="339" spans="2:7" s="73" customFormat="1" ht="17.25" customHeight="1" x14ac:dyDescent="0.25">
      <c r="B339" s="47"/>
      <c r="C339" s="48" t="s">
        <v>198</v>
      </c>
      <c r="D339" s="49" t="s">
        <v>20</v>
      </c>
      <c r="E339" s="49">
        <v>1.7999999999999999E-2</v>
      </c>
      <c r="F339" s="50"/>
    </row>
    <row r="340" spans="2:7" ht="42.75" x14ac:dyDescent="0.25">
      <c r="B340" s="42" t="s">
        <v>208</v>
      </c>
      <c r="C340" s="43" t="s">
        <v>158</v>
      </c>
      <c r="D340" s="44" t="s">
        <v>1</v>
      </c>
      <c r="E340" s="44">
        <v>3.2</v>
      </c>
      <c r="F340" s="43"/>
      <c r="G340" s="3"/>
    </row>
    <row r="341" spans="2:7" s="63" customFormat="1" x14ac:dyDescent="0.25">
      <c r="B341" s="42"/>
      <c r="C341" s="59" t="s">
        <v>266</v>
      </c>
      <c r="D341" s="59" t="s">
        <v>113</v>
      </c>
      <c r="E341" s="84">
        <f>E340*0.25</f>
        <v>0.8</v>
      </c>
      <c r="F341" s="65" t="s">
        <v>238</v>
      </c>
    </row>
    <row r="342" spans="2:7" s="63" customFormat="1" ht="22.5" x14ac:dyDescent="0.25">
      <c r="B342" s="42"/>
      <c r="C342" s="59" t="s">
        <v>131</v>
      </c>
      <c r="D342" s="59" t="s">
        <v>113</v>
      </c>
      <c r="E342" s="84">
        <f>E340*3</f>
        <v>9.6000000000000014</v>
      </c>
      <c r="F342" s="65" t="s">
        <v>289</v>
      </c>
    </row>
    <row r="343" spans="2:7" s="1" customFormat="1" x14ac:dyDescent="0.25">
      <c r="B343" s="38"/>
      <c r="C343" s="39" t="s">
        <v>290</v>
      </c>
      <c r="D343" s="40"/>
      <c r="E343" s="40"/>
      <c r="F343" s="41"/>
      <c r="G343" s="28"/>
    </row>
    <row r="344" spans="2:7" s="63" customFormat="1" ht="28.5" x14ac:dyDescent="0.25">
      <c r="B344" s="42" t="s">
        <v>209</v>
      </c>
      <c r="C344" s="43" t="s">
        <v>194</v>
      </c>
      <c r="D344" s="44" t="s">
        <v>0</v>
      </c>
      <c r="E344" s="44">
        <f>1.8*2</f>
        <v>3.6</v>
      </c>
      <c r="F344" s="65"/>
    </row>
    <row r="345" spans="2:7" s="73" customFormat="1" ht="12.75" x14ac:dyDescent="0.25">
      <c r="B345" s="47"/>
      <c r="C345" s="48" t="s">
        <v>196</v>
      </c>
      <c r="D345" s="49" t="s">
        <v>0</v>
      </c>
      <c r="E345" s="49">
        <f>E344*1.24</f>
        <v>4.4640000000000004</v>
      </c>
      <c r="F345" s="50"/>
    </row>
    <row r="346" spans="2:7" s="63" customFormat="1" ht="18.75" customHeight="1" x14ac:dyDescent="0.25">
      <c r="B346" s="42" t="s">
        <v>210</v>
      </c>
      <c r="C346" s="43" t="s">
        <v>155</v>
      </c>
      <c r="D346" s="44" t="s">
        <v>0</v>
      </c>
      <c r="E346" s="44">
        <f>0.14*2</f>
        <v>0.28000000000000003</v>
      </c>
      <c r="F346" s="43"/>
    </row>
    <row r="347" spans="2:7" s="73" customFormat="1" ht="12.75" x14ac:dyDescent="0.25">
      <c r="B347" s="47"/>
      <c r="C347" s="48" t="s">
        <v>119</v>
      </c>
      <c r="D347" s="49" t="s">
        <v>0</v>
      </c>
      <c r="E347" s="49">
        <f>E346*1.02</f>
        <v>0.28560000000000002</v>
      </c>
      <c r="F347" s="50"/>
    </row>
    <row r="348" spans="2:7" s="63" customFormat="1" x14ac:dyDescent="0.25">
      <c r="B348" s="42" t="s">
        <v>211</v>
      </c>
      <c r="C348" s="43" t="s">
        <v>207</v>
      </c>
      <c r="D348" s="44" t="s">
        <v>0</v>
      </c>
      <c r="E348" s="44">
        <f>0.27*2</f>
        <v>0.54</v>
      </c>
      <c r="F348" s="43"/>
    </row>
    <row r="349" spans="2:7" s="73" customFormat="1" ht="17.25" customHeight="1" x14ac:dyDescent="0.25">
      <c r="B349" s="47"/>
      <c r="C349" s="48" t="s">
        <v>115</v>
      </c>
      <c r="D349" s="49" t="s">
        <v>0</v>
      </c>
      <c r="E349" s="49">
        <f>E348*1.015</f>
        <v>0.54810000000000003</v>
      </c>
      <c r="F349" s="50"/>
    </row>
    <row r="350" spans="2:7" s="73" customFormat="1" ht="17.25" customHeight="1" x14ac:dyDescent="0.25">
      <c r="B350" s="47"/>
      <c r="C350" s="48" t="s">
        <v>198</v>
      </c>
      <c r="D350" s="49" t="s">
        <v>20</v>
      </c>
      <c r="E350" s="49">
        <f>0.017*2</f>
        <v>3.4000000000000002E-2</v>
      </c>
      <c r="F350" s="50"/>
    </row>
    <row r="351" spans="2:7" ht="42.75" x14ac:dyDescent="0.25">
      <c r="B351" s="42" t="s">
        <v>215</v>
      </c>
      <c r="C351" s="43" t="s">
        <v>158</v>
      </c>
      <c r="D351" s="44" t="s">
        <v>1</v>
      </c>
      <c r="E351" s="44">
        <f>3.1*2</f>
        <v>6.2</v>
      </c>
      <c r="F351" s="43"/>
      <c r="G351" s="3"/>
    </row>
    <row r="352" spans="2:7" s="63" customFormat="1" x14ac:dyDescent="0.25">
      <c r="B352" s="42"/>
      <c r="C352" s="59" t="s">
        <v>266</v>
      </c>
      <c r="D352" s="59" t="s">
        <v>113</v>
      </c>
      <c r="E352" s="84">
        <f>E351*0.25</f>
        <v>1.55</v>
      </c>
      <c r="F352" s="65" t="s">
        <v>238</v>
      </c>
    </row>
    <row r="353" spans="2:7" s="63" customFormat="1" ht="22.5" x14ac:dyDescent="0.25">
      <c r="B353" s="42"/>
      <c r="C353" s="59" t="s">
        <v>131</v>
      </c>
      <c r="D353" s="59" t="s">
        <v>113</v>
      </c>
      <c r="E353" s="84">
        <f>E351*3</f>
        <v>18.600000000000001</v>
      </c>
      <c r="F353" s="65" t="s">
        <v>289</v>
      </c>
    </row>
    <row r="354" spans="2:7" s="1" customFormat="1" x14ac:dyDescent="0.25">
      <c r="B354" s="38"/>
      <c r="C354" s="39" t="s">
        <v>212</v>
      </c>
      <c r="D354" s="40"/>
      <c r="E354" s="40"/>
      <c r="F354" s="41"/>
      <c r="G354" s="28"/>
    </row>
    <row r="355" spans="2:7" ht="28.5" x14ac:dyDescent="0.25">
      <c r="B355" s="42" t="s">
        <v>216</v>
      </c>
      <c r="C355" s="43" t="s">
        <v>194</v>
      </c>
      <c r="D355" s="44" t="s">
        <v>0</v>
      </c>
      <c r="E355" s="44">
        <v>1.55</v>
      </c>
      <c r="F355" s="65"/>
      <c r="G355" s="3"/>
    </row>
    <row r="356" spans="2:7" s="73" customFormat="1" ht="12.75" x14ac:dyDescent="0.25">
      <c r="B356" s="47"/>
      <c r="C356" s="48" t="s">
        <v>196</v>
      </c>
      <c r="D356" s="49" t="s">
        <v>0</v>
      </c>
      <c r="E356" s="49">
        <f>E355*1.24</f>
        <v>1.9219999999999999</v>
      </c>
      <c r="F356" s="50"/>
    </row>
    <row r="357" spans="2:7" s="63" customFormat="1" ht="18.75" customHeight="1" x14ac:dyDescent="0.25">
      <c r="B357" s="42" t="s">
        <v>217</v>
      </c>
      <c r="C357" s="43" t="s">
        <v>155</v>
      </c>
      <c r="D357" s="44" t="s">
        <v>0</v>
      </c>
      <c r="E357" s="44">
        <v>0.12</v>
      </c>
      <c r="F357" s="43"/>
    </row>
    <row r="358" spans="2:7" s="73" customFormat="1" ht="12.75" x14ac:dyDescent="0.25">
      <c r="B358" s="47"/>
      <c r="C358" s="48" t="s">
        <v>119</v>
      </c>
      <c r="D358" s="49" t="s">
        <v>0</v>
      </c>
      <c r="E358" s="49">
        <f>E357*1.02</f>
        <v>0.12239999999999999</v>
      </c>
      <c r="F358" s="50"/>
    </row>
    <row r="359" spans="2:7" s="63" customFormat="1" x14ac:dyDescent="0.25">
      <c r="B359" s="42" t="s">
        <v>218</v>
      </c>
      <c r="C359" s="43" t="s">
        <v>213</v>
      </c>
      <c r="D359" s="44" t="s">
        <v>0</v>
      </c>
      <c r="E359" s="44">
        <v>0.23</v>
      </c>
      <c r="F359" s="43"/>
    </row>
    <row r="360" spans="2:7" s="73" customFormat="1" ht="17.25" customHeight="1" x14ac:dyDescent="0.25">
      <c r="B360" s="47"/>
      <c r="C360" s="48" t="s">
        <v>115</v>
      </c>
      <c r="D360" s="49" t="s">
        <v>0</v>
      </c>
      <c r="E360" s="49">
        <f>E359*1.015</f>
        <v>0.23344999999999999</v>
      </c>
      <c r="F360" s="50"/>
    </row>
    <row r="361" spans="2:7" s="10" customFormat="1" ht="17.25" customHeight="1" x14ac:dyDescent="0.25">
      <c r="B361" s="47"/>
      <c r="C361" s="48" t="s">
        <v>198</v>
      </c>
      <c r="D361" s="49" t="s">
        <v>20</v>
      </c>
      <c r="E361" s="49">
        <v>1.4999999999999999E-2</v>
      </c>
      <c r="F361" s="50"/>
    </row>
    <row r="362" spans="2:7" ht="42.75" x14ac:dyDescent="0.25">
      <c r="B362" s="42" t="s">
        <v>219</v>
      </c>
      <c r="C362" s="43" t="s">
        <v>158</v>
      </c>
      <c r="D362" s="44" t="s">
        <v>1</v>
      </c>
      <c r="E362" s="44">
        <v>2.6</v>
      </c>
      <c r="F362" s="43"/>
      <c r="G362" s="3"/>
    </row>
    <row r="363" spans="2:7" s="63" customFormat="1" x14ac:dyDescent="0.25">
      <c r="B363" s="42"/>
      <c r="C363" s="59" t="s">
        <v>266</v>
      </c>
      <c r="D363" s="59" t="s">
        <v>113</v>
      </c>
      <c r="E363" s="84">
        <f>E362*0.25</f>
        <v>0.65</v>
      </c>
      <c r="F363" s="65" t="s">
        <v>238</v>
      </c>
    </row>
    <row r="364" spans="2:7" s="63" customFormat="1" ht="22.5" x14ac:dyDescent="0.25">
      <c r="B364" s="42"/>
      <c r="C364" s="59" t="s">
        <v>131</v>
      </c>
      <c r="D364" s="59" t="s">
        <v>113</v>
      </c>
      <c r="E364" s="84">
        <f>E362*3</f>
        <v>7.8000000000000007</v>
      </c>
      <c r="F364" s="65" t="s">
        <v>289</v>
      </c>
    </row>
    <row r="365" spans="2:7" s="63" customFormat="1" x14ac:dyDescent="0.25">
      <c r="B365" s="68"/>
      <c r="C365" s="69"/>
      <c r="D365" s="69"/>
      <c r="E365" s="71"/>
      <c r="F365" s="70"/>
    </row>
    <row r="366" spans="2:7" s="30" customFormat="1" ht="14.25" customHeight="1" x14ac:dyDescent="0.25">
      <c r="B366" s="31" t="s">
        <v>96</v>
      </c>
      <c r="D366" s="32"/>
      <c r="E366" s="32"/>
      <c r="G366" s="33"/>
    </row>
    <row r="367" spans="2:7" ht="14.25" customHeight="1" x14ac:dyDescent="0.25"/>
    <row r="368" spans="2:7" ht="14.25" customHeight="1" x14ac:dyDescent="0.25">
      <c r="C368" s="3" t="s">
        <v>267</v>
      </c>
    </row>
    <row r="369" spans="2:7" ht="14.25" customHeight="1" x14ac:dyDescent="0.25">
      <c r="C369" s="3" t="s">
        <v>2</v>
      </c>
      <c r="F369" s="3" t="s">
        <v>268</v>
      </c>
    </row>
    <row r="370" spans="2:7" ht="14.25" customHeight="1" x14ac:dyDescent="0.25"/>
    <row r="371" spans="2:7" ht="14.25" customHeight="1" x14ac:dyDescent="0.25"/>
    <row r="372" spans="2:7" s="103" customFormat="1" ht="14.25" customHeight="1" x14ac:dyDescent="0.3">
      <c r="B372" s="94"/>
      <c r="C372" s="104" t="s">
        <v>286</v>
      </c>
      <c r="D372" s="104"/>
      <c r="E372" s="104"/>
      <c r="F372" s="103" t="s">
        <v>287</v>
      </c>
      <c r="G372" s="105"/>
    </row>
    <row r="373" spans="2:7" ht="14.25" customHeight="1" x14ac:dyDescent="0.25"/>
    <row r="374" spans="2:7" ht="14.25" customHeight="1" x14ac:dyDescent="0.25"/>
  </sheetData>
  <mergeCells count="15">
    <mergeCell ref="C18:F18"/>
    <mergeCell ref="B17:F17"/>
    <mergeCell ref="C161:F161"/>
    <mergeCell ref="C172:F172"/>
    <mergeCell ref="B10:F10"/>
    <mergeCell ref="D12:F12"/>
    <mergeCell ref="D13:F13"/>
    <mergeCell ref="D14:F14"/>
    <mergeCell ref="D15:F15"/>
    <mergeCell ref="C113:F113"/>
    <mergeCell ref="C124:F124"/>
    <mergeCell ref="C130:F130"/>
    <mergeCell ref="C140:F140"/>
    <mergeCell ref="C112:F112"/>
    <mergeCell ref="D16:F16"/>
  </mergeCells>
  <pageMargins left="0.39370078740157483" right="0" top="0" bottom="0" header="0.31496062992125984" footer="0.31496062992125984"/>
  <pageSetup paperSize="9" scale="73" fitToHeight="0" orientation="portrait" r:id="rId1"/>
  <headerFooter>
    <oddFooter>&amp;RСтраница &amp;P</oddFooter>
  </headerFooter>
  <rowBreaks count="5" manualBreakCount="5">
    <brk id="54" max="5" man="1"/>
    <brk id="113" max="5" man="1"/>
    <brk id="175" max="5" man="1"/>
    <brk id="305" max="5" man="1"/>
    <brk id="3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 КинЛог</vt:lpstr>
      <vt:lpstr>'ВОР КинЛог'!Область_печати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2024-09-10T14:00:57Z</dcterms:modified>
</cp:coreProperties>
</file>