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305" windowHeight="11970" tabRatio="638"/>
  </bookViews>
  <sheets>
    <sheet name="ЗСГО_ВОР_КЖ, КМ_2" sheetId="3" r:id="rId1"/>
  </sheets>
  <definedNames>
    <definedName name="_xlnm._FilterDatabase" localSheetId="0" hidden="1">'ЗСГО_ВОР_КЖ, КМ_2'!$B$21:$G$222</definedName>
    <definedName name="_xlnm.Print_Area" localSheetId="0">'ЗСГО_ВОР_КЖ, КМ_2'!$A$1:$F$232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2" i="3" l="1"/>
  <c r="F221" i="3"/>
  <c r="F220" i="3"/>
  <c r="F206" i="3"/>
  <c r="F207" i="3"/>
  <c r="F208" i="3"/>
  <c r="E184" i="3" l="1"/>
  <c r="E183" i="3"/>
  <c r="E182" i="3"/>
  <c r="E177" i="3"/>
  <c r="H184" i="3"/>
  <c r="E181" i="3"/>
  <c r="E179" i="3"/>
  <c r="E175" i="3"/>
  <c r="E173" i="3"/>
  <c r="E198" i="3"/>
  <c r="E197" i="3"/>
  <c r="E196" i="3"/>
  <c r="E193" i="3"/>
  <c r="E191" i="3"/>
  <c r="F170" i="3"/>
  <c r="F169" i="3"/>
  <c r="F168" i="3"/>
  <c r="F165" i="3"/>
  <c r="F166" i="3"/>
  <c r="F163" i="3"/>
  <c r="F162" i="3"/>
  <c r="F156" i="3"/>
  <c r="E149" i="3"/>
  <c r="E150" i="3" s="1"/>
  <c r="F153" i="3"/>
  <c r="F154" i="3"/>
  <c r="F155" i="3"/>
  <c r="F152" i="3"/>
  <c r="F151" i="3"/>
  <c r="F144" i="3"/>
  <c r="F142" i="3"/>
  <c r="F140" i="3"/>
  <c r="F129" i="3"/>
  <c r="F128" i="3"/>
  <c r="F125" i="3"/>
  <c r="F123" i="3"/>
  <c r="E107" i="3"/>
  <c r="F97" i="3"/>
  <c r="F98" i="3"/>
  <c r="F100" i="3"/>
  <c r="F106" i="3"/>
  <c r="F101" i="3"/>
  <c r="F104" i="3"/>
  <c r="F102" i="3"/>
  <c r="F99" i="3"/>
  <c r="F103" i="3"/>
  <c r="F105" i="3"/>
  <c r="E82" i="3"/>
  <c r="E86" i="3"/>
  <c r="E88" i="3"/>
  <c r="E90" i="3"/>
  <c r="F50" i="3"/>
  <c r="F51" i="3"/>
  <c r="F54" i="3"/>
  <c r="F53" i="3"/>
  <c r="F55" i="3"/>
  <c r="F49" i="3"/>
  <c r="F52" i="3"/>
  <c r="E43" i="3"/>
  <c r="E29" i="3"/>
  <c r="E25" i="3"/>
  <c r="G184" i="3" l="1"/>
  <c r="E96" i="3"/>
  <c r="E189" i="3" l="1"/>
  <c r="G127" i="3"/>
  <c r="E57" i="3"/>
  <c r="H156" i="3" l="1"/>
  <c r="H106" i="3"/>
  <c r="H222" i="3" l="1"/>
  <c r="E48" i="3"/>
  <c r="E38" i="3"/>
  <c r="H198" i="3"/>
  <c r="E195" i="3"/>
  <c r="E187" i="3"/>
  <c r="G198" i="3" l="1"/>
  <c r="G208" i="3"/>
  <c r="E151" i="3"/>
  <c r="G156" i="3" l="1"/>
  <c r="G96" i="3"/>
  <c r="H96" i="3"/>
  <c r="E45" i="3"/>
  <c r="E35" i="3"/>
  <c r="J96" i="3" l="1"/>
  <c r="I96" i="3"/>
  <c r="G106" i="3"/>
  <c r="I97" i="3" l="1"/>
  <c r="E214" i="3" l="1"/>
  <c r="E215" i="3" s="1"/>
  <c r="E218" i="3" l="1"/>
  <c r="E219" i="3" s="1"/>
  <c r="E216" i="3"/>
  <c r="E217" i="3" s="1"/>
  <c r="E212" i="3"/>
  <c r="E213" i="3" s="1"/>
  <c r="E210" i="3"/>
  <c r="E211" i="3" s="1"/>
  <c r="E204" i="3"/>
  <c r="E205" i="3" s="1"/>
  <c r="E202" i="3"/>
  <c r="E200" i="3"/>
  <c r="E201" i="3" s="1"/>
  <c r="E130" i="3"/>
  <c r="E40" i="3"/>
  <c r="E41" i="3" s="1"/>
  <c r="E203" i="3" l="1"/>
  <c r="G222" i="3"/>
  <c r="G232" i="3" l="1"/>
</calcChain>
</file>

<file path=xl/sharedStrings.xml><?xml version="1.0" encoding="utf-8"?>
<sst xmlns="http://schemas.openxmlformats.org/spreadsheetml/2006/main" count="454" uniqueCount="206">
  <si>
    <t>м3</t>
  </si>
  <si>
    <t>м2</t>
  </si>
  <si>
    <t>ООО "АЭРОТЕРМИНАЛ"</t>
  </si>
  <si>
    <t>Устройство бетонной подготовки В 7.5 толщ.100 мм</t>
  </si>
  <si>
    <t>Устройство выравнивающей цементно-песчаной стяжки М150 толщ. 50мм</t>
  </si>
  <si>
    <t>мл</t>
  </si>
  <si>
    <t>пог.м</t>
  </si>
  <si>
    <t>Монтаж Техноэласт ФЛЭКС</t>
  </si>
  <si>
    <t>Монтаж Техноэласт ФУНДАМЕНТ</t>
  </si>
  <si>
    <t>Устройство уплотнителя ("шнура типа Гермит")</t>
  </si>
  <si>
    <t>Устройство профилированной мембраны Planter</t>
  </si>
  <si>
    <t>Монтаж XRS ТЕХНОНИКОЛЬ CARBON PROF</t>
  </si>
  <si>
    <t>Устройство гидрошпонки ТЕХНОНИКОЛЬ ЕМ260/20</t>
  </si>
  <si>
    <t xml:space="preserve">Устройство ТЕХНОЭЛАСТ ФЛЭКС </t>
  </si>
  <si>
    <t>Устройство ТЕХНОЭЛАСТ ФУНДАМЕНТ</t>
  </si>
  <si>
    <t>Уплотнение и планировка основания, для устройствова бетонной подготовки (песок средней крупности)</t>
  </si>
  <si>
    <t>№ п/п</t>
  </si>
  <si>
    <t>Наименование работ и материалов</t>
  </si>
  <si>
    <t>Ед. изм.</t>
  </si>
  <si>
    <t>1 т груза</t>
  </si>
  <si>
    <t>Разработка грунта в отвал экскаваторами "драглайн" или "обратная лопата" с ковшом вместимостью: 1 (1-1,2) м3, группа грунтов 2</t>
  </si>
  <si>
    <t>Устройство бетонной подготовки из бетона В 7,5 (М100), с учетом подачи в конструкцию</t>
  </si>
  <si>
    <t>Монтаж уплотнителя ("шнур типа Вилатерм")</t>
  </si>
  <si>
    <t>Монтаж гидрошпонки ТЕХНОНИКОЛЬ EM260/20 по температурным швам</t>
  </si>
  <si>
    <t>Монтаж XRS ТЕХНОНИКОЛЬ CARBON PROF (по температурным швам)</t>
  </si>
  <si>
    <t xml:space="preserve">Герметик ТЕХНОНИКОЛЬ ПУ </t>
  </si>
  <si>
    <t>XRS ТЕХНОНИКОЛЬ CARBON PROF</t>
  </si>
  <si>
    <t>Гидрошпонка ТЕХНОНИКОЛЬ EM260/20</t>
  </si>
  <si>
    <t>Техноэласт ФЛЭКС</t>
  </si>
  <si>
    <t>Техноэласт ФУНДАМЕНТ</t>
  </si>
  <si>
    <t>Устройство фундаментной плиты плиты ФП1</t>
  </si>
  <si>
    <t>т</t>
  </si>
  <si>
    <t>Бетон В30</t>
  </si>
  <si>
    <t>Бетон В30 W8 F200</t>
  </si>
  <si>
    <t>Профилированная мембрана Planter</t>
  </si>
  <si>
    <t>Установка набухающего профиля полимерного ТЕХНОНИКОЛЬ IC-SP 20x10</t>
  </si>
  <si>
    <t>Набухающий профиль полимерный ТЕХНОНИКОЛЬ IC-SP 20x10</t>
  </si>
  <si>
    <t>ТЕХНОЭЛАСТ ФЛЭКС</t>
  </si>
  <si>
    <t>ТЕХНОЭЛАСТ ФУНДАМЕНТ</t>
  </si>
  <si>
    <t>Устройство железобетонной плиты ФП3</t>
  </si>
  <si>
    <t>Цементно-песчаная стяжка М150</t>
  </si>
  <si>
    <t xml:space="preserve">Устройство железобетонной площадки марша (ПЛМ1-ПЛМ4) </t>
  </si>
  <si>
    <t xml:space="preserve">Устройство железобетонных лестничных маршей (ЛМ1-ЛМ4)  </t>
  </si>
  <si>
    <t>Песок средней крупности</t>
  </si>
  <si>
    <t>Примечание</t>
  </si>
  <si>
    <t>кг</t>
  </si>
  <si>
    <t>Арматура Ø10 А240 ГОСТ 34028-2016</t>
  </si>
  <si>
    <t>Арматура Ø8 А240 ГОСТ 34028-2016</t>
  </si>
  <si>
    <t>Арматура Ø10 А500С ГОСТ 34028-2016</t>
  </si>
  <si>
    <t>Арматура Ø12 А240 ГОСТ 34028-2016</t>
  </si>
  <si>
    <t>Арматура Ø16 А240 ГОСТ 34028-2016</t>
  </si>
  <si>
    <t>Арматура Ø12 А500С ГОСТ 34028-2016</t>
  </si>
  <si>
    <t>Арматура Ø6 А240 ГОСТ 34028-2016</t>
  </si>
  <si>
    <t>Обратная засыпка пазух фундаментов с послойным уплотнением</t>
  </si>
  <si>
    <t>Устройство бетонной подготовки В 7,5 толщ.100 мм</t>
  </si>
  <si>
    <t>шт</t>
  </si>
  <si>
    <t>Геотекстиль полотно ТЕХНОНИКОЛЬ 500г/м2</t>
  </si>
  <si>
    <t>Раздел 3. Устройство основания бетонного под фундаментную плиту ФП1</t>
  </si>
  <si>
    <t>Раздел 4. Гидроизоляция горизонтальная фундаментной плиты ФП1</t>
  </si>
  <si>
    <t>Раздел 8. Гидроизоляция вертикальная (стены, колонны)</t>
  </si>
  <si>
    <t>Кол-во</t>
  </si>
  <si>
    <t>Арматура Ø20 А500С ГОСТ 34028-2016</t>
  </si>
  <si>
    <t>Арматура Ø25 А500С ГОСТ 34028-2016</t>
  </si>
  <si>
    <t>Арматура Ø28 А500С ГОСТ 34028-2016</t>
  </si>
  <si>
    <t>Арматура Ø16 А500С ГОСТ 34028-2016</t>
  </si>
  <si>
    <t>Бетон В7,5 (М100)</t>
  </si>
  <si>
    <t>Уплотнитель (шнур типа Вилатерм)</t>
  </si>
  <si>
    <t>Уплотнитель (шнур типа Гермит)</t>
  </si>
  <si>
    <t>Муфта соединительная Ø25</t>
  </si>
  <si>
    <t>УТВЕРЖДАЮ:</t>
  </si>
  <si>
    <t>на выполнение:</t>
  </si>
  <si>
    <t>по проекту:</t>
  </si>
  <si>
    <t>код направления:</t>
  </si>
  <si>
    <t>код объекта:</t>
  </si>
  <si>
    <t>Строительство Аэровокзального комплекса (АВК) и объектов служебно-технической территории аэропорта 
г. Краснодар»</t>
  </si>
  <si>
    <t>16 «Вспомогательные аэропортовые объекты»</t>
  </si>
  <si>
    <t>Работ по устройству монолитных железобетонных и металлических конструкций здания ЗСГО</t>
  </si>
  <si>
    <t>Раздел 1. Земляные работы</t>
  </si>
  <si>
    <t xml:space="preserve">Раздел 2. Обратная засыпка пазух фундаментов </t>
  </si>
  <si>
    <t>Раздел 6. Заделка деформационных швов плиты ФП1</t>
  </si>
  <si>
    <t>Устройство железобетонных стен и колонн</t>
  </si>
  <si>
    <t>Раздел 5. Железобетонные конструкции ниже 0,000. Фундаментная плита ФП1</t>
  </si>
  <si>
    <t>160401 «Здание ЗСГО»</t>
  </si>
  <si>
    <t>Перевозка грузов автомобилями-самосвалами грузоподъемностью 10 т работающих вне карьера на расстояние: 1 класс груза до 1 км.</t>
  </si>
  <si>
    <t>Устройство гидроизоляции праймером в 1 слой</t>
  </si>
  <si>
    <t>Устройство гидроизоляции оклеечной Техноэласт в 3 слоя</t>
  </si>
  <si>
    <t>для плиты ПМ1 (см. 1322-Эт2-6-КЖ1 лист 14)</t>
  </si>
  <si>
    <t>"_____"  ______________  2024 г.</t>
  </si>
  <si>
    <t>Арматура Ø18 А500С ГОСТ 34028-2016</t>
  </si>
  <si>
    <t>Закладная деталь ЗД4</t>
  </si>
  <si>
    <t>22,79 кг</t>
  </si>
  <si>
    <t>41,53 кг</t>
  </si>
  <si>
    <t>11,34 кг</t>
  </si>
  <si>
    <t>18х6,70=120,60 кг</t>
  </si>
  <si>
    <t>Обратная засыпка под монолитные лестницы с послойным уплотнением</t>
  </si>
  <si>
    <t>Устройство основания из песка средней крупности с послойным уплотнением до уровня планировки под крыльца</t>
  </si>
  <si>
    <t>Устройство железобетонных плит (ПМ1-ПМ11)</t>
  </si>
  <si>
    <t>Баланс</t>
  </si>
  <si>
    <t xml:space="preserve">Раздел 7. Железобетонные стены, колонны (Км1-11 шт, См1-См57) </t>
  </si>
  <si>
    <t>Устройство закладных деталей</t>
  </si>
  <si>
    <t>2</t>
  </si>
  <si>
    <t>11,62 кг</t>
  </si>
  <si>
    <t>15,92 кг</t>
  </si>
  <si>
    <t>8,25 кг</t>
  </si>
  <si>
    <t>______________ В.Г. Коктыш</t>
  </si>
  <si>
    <t>Директор по производству</t>
  </si>
  <si>
    <t>Котлован (1322-Эт2-6-КЖ0 изм.3)</t>
  </si>
  <si>
    <t>Конструкции железобетонные (1322-Эт2-6-КЖ1 изм.7)</t>
  </si>
  <si>
    <t>Разработка грунта с погрузкой на автомобили-самосвалы экскаваторами с ковшом вместимостью: 1 (1-1,2)м3, группа грунтов 1 (ПРС)</t>
  </si>
  <si>
    <t xml:space="preserve">Вес 1 м3 грунта принят равным 1,81т. </t>
  </si>
  <si>
    <t>Объемы уточняются на месте после геодезических изысканий</t>
  </si>
  <si>
    <t>Разработка грунта с погрузкой на автомобили-самосвалы экскаваторами с ковшом вместимостью: 1 (1-1,2)м3, группа грунтов 2</t>
  </si>
  <si>
    <t>370 м2 - ВОР в ExCel</t>
  </si>
  <si>
    <t xml:space="preserve">Доработка грунта вручную с погрузкой на автомобили-самосвалы </t>
  </si>
  <si>
    <t>5% от разработки</t>
  </si>
  <si>
    <t>1</t>
  </si>
  <si>
    <t>3</t>
  </si>
  <si>
    <t>4</t>
  </si>
  <si>
    <t>5</t>
  </si>
  <si>
    <t>6</t>
  </si>
  <si>
    <t xml:space="preserve">Устройство гидроизоляции праймером </t>
  </si>
  <si>
    <t>Праймер битумный эмульсионный №4, ТУ 5775-006-72746455-2007</t>
  </si>
  <si>
    <t>Расход 0,25 кг на 1м2</t>
  </si>
  <si>
    <t>Гидроизоляция ТЕХНОЭЛАСТ ЭПП (3 слоя), СТО 72746455-3.1.11-2015</t>
  </si>
  <si>
    <t xml:space="preserve">Применен коэффициент запаса 1,15 </t>
  </si>
  <si>
    <t>Цементно-песчанный раствор М150, ГОСТ Р 58766-2019</t>
  </si>
  <si>
    <t>Изготовление и монтаж закладной детали ЗД1</t>
  </si>
  <si>
    <t>Изготовление и монтаж закладной детали  ЗД2</t>
  </si>
  <si>
    <t>Изготовление и монтаж закладной детали  ЗД3</t>
  </si>
  <si>
    <t>Изготовление и монтаж решетки Р1</t>
  </si>
  <si>
    <t>Изготовление и монтаж решетки  Р2</t>
  </si>
  <si>
    <t>Изготовление и монтаж решетки  Р3</t>
  </si>
  <si>
    <t xml:space="preserve"> Арматура Ø 12 А240 L= 100</t>
  </si>
  <si>
    <t>Уголок L50x5 L= 700</t>
  </si>
  <si>
    <t>Уголок L50x5 L= 800</t>
  </si>
  <si>
    <t>Уголок L50x5 L= 1100</t>
  </si>
  <si>
    <t>Уголок L50x5 L= 500</t>
  </si>
  <si>
    <t>МН 126-3, Серия 1.400-15</t>
  </si>
  <si>
    <t xml:space="preserve"> Арматура Ø 20 А240 L= 760</t>
  </si>
  <si>
    <t xml:space="preserve">Герметизация деформационного шва плиты ФП1  </t>
  </si>
  <si>
    <t>Установка закладных деталей</t>
  </si>
  <si>
    <t>28 кг</t>
  </si>
  <si>
    <t>МН-111-3, Серия 1.400-15</t>
  </si>
  <si>
    <t xml:space="preserve">Монтаж закладных деталей ЗД1 в стенах </t>
  </si>
  <si>
    <t>Полоса 5х100 L= 100</t>
  </si>
  <si>
    <t xml:space="preserve">Изготовление и монтаж закладных деталей ЗД5 в стенах </t>
  </si>
  <si>
    <t>Полоса 5x40 L= 390</t>
  </si>
  <si>
    <t>1,4 кг</t>
  </si>
  <si>
    <t xml:space="preserve">Монтаж закладных деталей С1-С6 в стенах </t>
  </si>
  <si>
    <t>ТМ93.00.00-04 L=500, Серия 5.900-3</t>
  </si>
  <si>
    <t>ТМ93.00.00-02 L=500, Серия 5.900-3</t>
  </si>
  <si>
    <t>Т-199.250.23.000-35,  Серия 03.005-5</t>
  </si>
  <si>
    <t>Т-199.250.07.000-35,  Серия 03.005-5</t>
  </si>
  <si>
    <t>Т-199.250.07.000-30,  Серия 03.005-5</t>
  </si>
  <si>
    <t>вес 91кг</t>
  </si>
  <si>
    <t>вес 148,8 кг</t>
  </si>
  <si>
    <t>вес 66,8 кг</t>
  </si>
  <si>
    <t>вес 96 кг</t>
  </si>
  <si>
    <t>вес 46 кг</t>
  </si>
  <si>
    <t>вес 28 кг</t>
  </si>
  <si>
    <t xml:space="preserve">Изготовление и монтаж закладных деталей ЗД6 в стенах </t>
  </si>
  <si>
    <t>Полоса 5х100 L= 10</t>
  </si>
  <si>
    <t>0,79 кг</t>
  </si>
  <si>
    <t>расход 0,25кг на 1м2</t>
  </si>
  <si>
    <t>Праймер битумный эмульсионный №04, ТУ 5775-006-72746455-2007</t>
  </si>
  <si>
    <t>Гидроизоляция ТЕХНОЭЛАСТ ЭПП, СТО 72746455-3.1.11-2015</t>
  </si>
  <si>
    <t>Раздел 9. Заделка деформационных швов (стен)</t>
  </si>
  <si>
    <t xml:space="preserve">Герметизация деформационных швов герметиком </t>
  </si>
  <si>
    <t>Монтаж геотекстиля иглопробивного термообработанного ТЕХНОНИКОЛЬ</t>
  </si>
  <si>
    <t>Раздел 10. Железобетонные плиты (ПМ1-ПМ11)</t>
  </si>
  <si>
    <t>Монтаж закладной детали С8 в полите ПМ1</t>
  </si>
  <si>
    <t>Т-199.250.26-000-08, Серия 03.005-5</t>
  </si>
  <si>
    <t xml:space="preserve"> ТМ93.00.00-01 L=500, Серия 5.900-3</t>
  </si>
  <si>
    <t>3000,4 кг.</t>
  </si>
  <si>
    <t>Изготовление и монтаж каркаса пространственного Кр1</t>
  </si>
  <si>
    <t>Арматура Ø 12 А500С L= 740</t>
  </si>
  <si>
    <t>Арматура Ø 10 А500С L= 950</t>
  </si>
  <si>
    <t>Изготовление и монтаж каркаса пространственного Кр2</t>
  </si>
  <si>
    <t>Арматура Ø 12 А500С L= 540</t>
  </si>
  <si>
    <t>Изготовление и монтаж каркаса пространственного КП2</t>
  </si>
  <si>
    <t>м.п</t>
  </si>
  <si>
    <t>2770,95 кг</t>
  </si>
  <si>
    <t>Арматура Ø 12 А500С L= 635</t>
  </si>
  <si>
    <t>Арматура Ø  10 А500С L= 950</t>
  </si>
  <si>
    <t>Арматура Ø 12 А500С L= 600</t>
  </si>
  <si>
    <t>Цементно-песчаный раствор М150, ГОСТ Р 58766-2019</t>
  </si>
  <si>
    <t>Раздел 12. Устройство железобетонной плиты ФП3</t>
  </si>
  <si>
    <t>Раздел 13. Устройство железобетонных лестничных маршей (ЛМ1-ЛМ4)</t>
  </si>
  <si>
    <t>Раздел 14. Устройство железобетонных площадок лестничных маршей (ПЛМ1-ПЛМ4)</t>
  </si>
  <si>
    <t>Раздел 11. Устройство железобетонной плиты ФП2 (2шт)</t>
  </si>
  <si>
    <t>Бетон В7,5 (М100), ГОСТ 26633-2015</t>
  </si>
  <si>
    <t>Песок средней крупности, ГОСТ 8736-2014</t>
  </si>
  <si>
    <t>Бетон В30 W8 F200, ГОСТ 26633-2015</t>
  </si>
  <si>
    <t>Цементо-песчанный раствор М300, ГОСТ Р 58766-2019</t>
  </si>
  <si>
    <t>Устройство галтели фундаментной плиты ФП1</t>
  </si>
  <si>
    <t>Набухающий профиль ТЕХНОНИКОЛЬ IC-SP 20х10 в 2 слоя</t>
  </si>
  <si>
    <t>п.м</t>
  </si>
  <si>
    <t>При монтаже закладной С8 уложить вокруг неё в 2 слоя набухающий профиль</t>
  </si>
  <si>
    <t>Ведущий специалист ИТД</t>
  </si>
  <si>
    <t>Ружило Д.Ю.</t>
  </si>
  <si>
    <t>главный аналитик: ________________ С.С. Сенцов</t>
  </si>
  <si>
    <t>контрактный пакет: 16-C021 "Устройство зданий ЗСГО, Кинологического комплекса, КПП №1, АПС – 2"</t>
  </si>
  <si>
    <r>
      <t xml:space="preserve">Примечание: </t>
    </r>
    <r>
      <rPr>
        <sz val="11"/>
        <color rgb="FF002060"/>
        <rFont val="Verdana"/>
        <family val="2"/>
        <charset val="204"/>
      </rPr>
      <t xml:space="preserve">  Ведомоть объёмов работ выполнена по данным технической документации</t>
    </r>
  </si>
  <si>
    <t>Руководитель департамента строительного производства ________________________Легкоконец И.Г.</t>
  </si>
  <si>
    <t>Легкоконец И.Г.</t>
  </si>
  <si>
    <t>ВЕДОМОСТЬ ОБЪЕМОВ РАБОТ И МАТЕРИАЛОВ № 716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</si>
</sst>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"/>
    <numFmt numFmtId="165" formatCode="#,##0.0000"/>
    <numFmt numFmtId="166" formatCode="#,##0.00000"/>
    <numFmt numFmtId="167" formatCode="#,##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u/>
      <sz val="11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sz val="11"/>
      <color rgb="FFFF0000"/>
      <name val="Arial"/>
      <family val="2"/>
      <charset val="204"/>
    </font>
    <font>
      <u/>
      <sz val="11"/>
      <color rgb="FF002060"/>
      <name val="Verdana"/>
      <family val="2"/>
      <charset val="204"/>
    </font>
    <font>
      <sz val="11"/>
      <color rgb="FF002060"/>
      <name val="Verdana"/>
      <family val="2"/>
      <charset val="204"/>
    </font>
    <font>
      <sz val="11"/>
      <color rgb="FFFF0000"/>
      <name val="Verdana"/>
      <family val="2"/>
      <charset val="204"/>
    </font>
    <font>
      <u/>
      <sz val="11"/>
      <color rgb="FFFF0000"/>
      <name val="Verdana"/>
      <family val="2"/>
      <charset val="204"/>
    </font>
    <font>
      <sz val="11"/>
      <name val="Times New Roman"/>
      <family val="1"/>
      <charset val="204"/>
    </font>
    <font>
      <sz val="11"/>
      <name val="Verdana"/>
      <family val="2"/>
      <charset val="204"/>
    </font>
    <font>
      <sz val="10"/>
      <name val="Verdana"/>
      <family val="2"/>
      <charset val="204"/>
    </font>
    <font>
      <sz val="10"/>
      <name val="Times New Roman"/>
      <family val="1"/>
      <charset val="204"/>
    </font>
    <font>
      <u/>
      <sz val="10"/>
      <color rgb="FF002060"/>
      <name val="Verdana"/>
      <family val="2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</borders>
  <cellStyleXfs count="2">
    <xf numFmtId="0" fontId="0" fillId="0" borderId="0"/>
    <xf numFmtId="0" fontId="1" fillId="0" borderId="0"/>
  </cellStyleXfs>
  <cellXfs count="103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2" fillId="0" borderId="0" xfId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vertical="center" wrapText="1"/>
    </xf>
    <xf numFmtId="0" fontId="3" fillId="0" borderId="0" xfId="0" applyFont="1" applyFill="1" applyAlignment="1"/>
    <xf numFmtId="0" fontId="4" fillId="2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17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right" vertical="center"/>
    </xf>
    <xf numFmtId="4" fontId="3" fillId="0" borderId="0" xfId="0" applyNumberFormat="1" applyFont="1" applyFill="1" applyAlignment="1">
      <alignment horizontal="right" vertical="center" wrapText="1"/>
    </xf>
    <xf numFmtId="0" fontId="3" fillId="0" borderId="0" xfId="1" applyFont="1" applyFill="1" applyBorder="1" applyAlignment="1">
      <alignment vertical="top"/>
    </xf>
    <xf numFmtId="0" fontId="3" fillId="0" borderId="0" xfId="1" applyFont="1" applyFill="1" applyBorder="1" applyAlignment="1">
      <alignment vertical="center"/>
    </xf>
    <xf numFmtId="0" fontId="8" fillId="0" borderId="1" xfId="0" applyFont="1" applyBorder="1" applyAlignment="1">
      <alignment horizontal="left" vertical="center" wrapText="1" indent="3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left" vertical="top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0" fontId="7" fillId="3" borderId="5" xfId="0" applyFont="1" applyFill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7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7" fillId="3" borderId="6" xfId="0" applyFont="1" applyFill="1" applyBorder="1" applyAlignment="1">
      <alignment vertical="center"/>
    </xf>
    <xf numFmtId="0" fontId="4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left" vertical="top" wrapText="1"/>
    </xf>
    <xf numFmtId="0" fontId="10" fillId="0" borderId="0" xfId="0" applyFont="1" applyFill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left" vertical="top"/>
    </xf>
    <xf numFmtId="49" fontId="11" fillId="2" borderId="1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 wrapText="1"/>
    </xf>
    <xf numFmtId="9" fontId="12" fillId="2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 indent="3"/>
    </xf>
    <xf numFmtId="164" fontId="4" fillId="2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 vertical="top" wrapText="1"/>
    </xf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 wrapText="1"/>
    </xf>
    <xf numFmtId="17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165" fontId="4" fillId="2" borderId="0" xfId="0" applyNumberFormat="1" applyFont="1" applyFill="1" applyAlignment="1">
      <alignment horizontal="center" vertical="center"/>
    </xf>
    <xf numFmtId="167" fontId="4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top" wrapText="1"/>
    </xf>
    <xf numFmtId="0" fontId="15" fillId="0" borderId="0" xfId="0" applyFont="1" applyFill="1" applyAlignment="1">
      <alignment horizontal="left" vertical="top" wrapText="1"/>
    </xf>
    <xf numFmtId="0" fontId="15" fillId="0" borderId="0" xfId="0" applyFont="1" applyFill="1" applyAlignment="1">
      <alignment horizontal="center" vertical="top" wrapText="1"/>
    </xf>
    <xf numFmtId="0" fontId="16" fillId="0" borderId="0" xfId="0" applyFont="1" applyFill="1" applyAlignment="1">
      <alignment horizontal="center" vertical="center"/>
    </xf>
    <xf numFmtId="0" fontId="14" fillId="0" borderId="0" xfId="0" applyFont="1" applyFill="1" applyAlignment="1"/>
    <xf numFmtId="0" fontId="17" fillId="0" borderId="0" xfId="1" applyFont="1" applyFill="1" applyAlignment="1">
      <alignment vertical="center"/>
    </xf>
    <xf numFmtId="0" fontId="14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center" vertical="top" wrapText="1"/>
    </xf>
    <xf numFmtId="0" fontId="18" fillId="0" borderId="0" xfId="0" applyFont="1" applyFill="1" applyAlignment="1">
      <alignment horizontal="center" vertical="center"/>
    </xf>
    <xf numFmtId="0" fontId="19" fillId="0" borderId="0" xfId="0" applyFont="1" applyAlignment="1"/>
    <xf numFmtId="0" fontId="4" fillId="0" borderId="0" xfId="0" applyFont="1" applyAlignment="1">
      <alignment horizontal="left" vertical="top" wrapText="1"/>
    </xf>
    <xf numFmtId="0" fontId="17" fillId="0" borderId="3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vertical="center" wrapText="1"/>
    </xf>
    <xf numFmtId="0" fontId="3" fillId="0" borderId="4" xfId="1" applyFont="1" applyFill="1" applyBorder="1" applyAlignment="1">
      <alignment vertical="center" wrapText="1"/>
    </xf>
    <xf numFmtId="0" fontId="3" fillId="0" borderId="4" xfId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0000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J233"/>
  <sheetViews>
    <sheetView tabSelected="1" view="pageBreakPreview" zoomScale="90" zoomScaleNormal="100" zoomScaleSheetLayoutView="90" workbookViewId="0">
      <selection activeCell="B12" sqref="B12:F12"/>
    </sheetView>
  </sheetViews>
  <sheetFormatPr defaultColWidth="9.140625" defaultRowHeight="14.25" x14ac:dyDescent="0.25"/>
  <cols>
    <col min="1" max="1" width="3" style="11" customWidth="1"/>
    <col min="2" max="2" width="8.7109375" style="11" customWidth="1"/>
    <col min="3" max="3" width="60.7109375" style="11" customWidth="1"/>
    <col min="4" max="4" width="10.7109375" style="12" customWidth="1"/>
    <col min="5" max="5" width="10.7109375" style="13" customWidth="1"/>
    <col min="6" max="6" width="30.7109375" style="11" customWidth="1"/>
    <col min="7" max="7" width="10.7109375" style="39" customWidth="1"/>
    <col min="8" max="10" width="10.7109375" style="34" customWidth="1"/>
    <col min="11" max="15" width="10.7109375" style="11" customWidth="1"/>
    <col min="16" max="16384" width="9.140625" style="11"/>
  </cols>
  <sheetData>
    <row r="2" spans="2:10" s="8" customFormat="1" ht="12.75" customHeight="1" x14ac:dyDescent="0.2">
      <c r="B2" s="1"/>
      <c r="C2" s="2"/>
      <c r="D2" s="3"/>
      <c r="E2" s="29"/>
      <c r="F2" s="29"/>
      <c r="G2" s="38"/>
      <c r="H2" s="38"/>
      <c r="I2" s="3"/>
      <c r="J2" s="3"/>
    </row>
    <row r="3" spans="2:10" s="8" customFormat="1" ht="12.75" customHeight="1" x14ac:dyDescent="0.2">
      <c r="B3" s="1"/>
      <c r="C3" s="2"/>
      <c r="D3" s="3"/>
      <c r="E3" s="29"/>
      <c r="F3" s="29" t="s">
        <v>69</v>
      </c>
      <c r="G3" s="38"/>
      <c r="H3" s="38"/>
      <c r="I3" s="3"/>
      <c r="J3" s="3"/>
    </row>
    <row r="4" spans="2:10" s="8" customFormat="1" ht="12.75" customHeight="1" x14ac:dyDescent="0.2">
      <c r="B4" s="1"/>
      <c r="C4" s="2"/>
      <c r="D4" s="3"/>
      <c r="E4" s="29"/>
      <c r="F4" s="29" t="s">
        <v>105</v>
      </c>
      <c r="G4" s="38"/>
      <c r="H4" s="38"/>
      <c r="I4" s="3"/>
      <c r="J4" s="3"/>
    </row>
    <row r="5" spans="2:10" s="8" customFormat="1" ht="12.75" customHeight="1" x14ac:dyDescent="0.2">
      <c r="B5" s="1"/>
      <c r="C5" s="2"/>
      <c r="D5" s="3"/>
      <c r="E5" s="29"/>
      <c r="F5" s="29" t="s">
        <v>2</v>
      </c>
      <c r="G5" s="38"/>
      <c r="H5" s="38"/>
      <c r="I5" s="3"/>
      <c r="J5" s="3"/>
    </row>
    <row r="6" spans="2:10" s="8" customFormat="1" ht="12.75" customHeight="1" x14ac:dyDescent="0.2">
      <c r="B6" s="1"/>
      <c r="C6" s="2"/>
      <c r="D6" s="3"/>
      <c r="E6" s="29"/>
      <c r="F6" s="29"/>
      <c r="G6" s="38"/>
      <c r="H6" s="38"/>
      <c r="I6" s="3"/>
      <c r="J6" s="3"/>
    </row>
    <row r="7" spans="2:10" s="8" customFormat="1" ht="12.75" customHeight="1" x14ac:dyDescent="0.2">
      <c r="B7" s="1"/>
      <c r="C7" s="2"/>
      <c r="D7" s="3"/>
      <c r="E7" s="29"/>
      <c r="F7" s="29" t="s">
        <v>104</v>
      </c>
      <c r="G7" s="38"/>
      <c r="H7" s="38"/>
      <c r="I7" s="3"/>
      <c r="J7" s="3"/>
    </row>
    <row r="8" spans="2:10" s="8" customFormat="1" ht="12.75" customHeight="1" x14ac:dyDescent="0.2">
      <c r="B8" s="1"/>
      <c r="C8" s="2"/>
      <c r="D8" s="3"/>
      <c r="E8" s="29"/>
      <c r="F8" s="30"/>
      <c r="G8" s="38"/>
      <c r="H8" s="38"/>
      <c r="I8" s="3"/>
      <c r="J8" s="3"/>
    </row>
    <row r="9" spans="2:10" s="8" customFormat="1" x14ac:dyDescent="0.2">
      <c r="B9" s="1"/>
      <c r="C9" s="2"/>
      <c r="D9" s="3"/>
      <c r="E9" s="29"/>
      <c r="F9" s="29"/>
      <c r="G9" s="38"/>
      <c r="H9" s="38"/>
      <c r="I9" s="3"/>
      <c r="J9" s="3"/>
    </row>
    <row r="10" spans="2:10" s="8" customFormat="1" ht="12.75" customHeight="1" x14ac:dyDescent="0.2">
      <c r="B10" s="1"/>
      <c r="C10" s="2"/>
      <c r="D10" s="3"/>
      <c r="E10" s="29"/>
      <c r="F10" s="29" t="s">
        <v>87</v>
      </c>
      <c r="G10" s="38"/>
      <c r="H10" s="38"/>
      <c r="I10" s="3"/>
      <c r="J10" s="3"/>
    </row>
    <row r="11" spans="2:10" s="8" customFormat="1" ht="12.75" customHeight="1" x14ac:dyDescent="0.2">
      <c r="B11" s="1"/>
      <c r="C11" s="2"/>
      <c r="D11" s="3"/>
      <c r="E11" s="29"/>
      <c r="F11" s="4"/>
      <c r="G11" s="38"/>
      <c r="H11" s="38"/>
      <c r="I11" s="3"/>
      <c r="J11" s="3"/>
    </row>
    <row r="12" spans="2:10" s="8" customFormat="1" x14ac:dyDescent="0.2">
      <c r="B12" s="99" t="s">
        <v>205</v>
      </c>
      <c r="C12" s="99"/>
      <c r="D12" s="99"/>
      <c r="E12" s="99"/>
      <c r="F12" s="99"/>
      <c r="G12" s="38"/>
      <c r="H12" s="38"/>
      <c r="I12" s="3"/>
      <c r="J12" s="3"/>
    </row>
    <row r="13" spans="2:10" s="8" customFormat="1" ht="12.75" customHeight="1" x14ac:dyDescent="0.2">
      <c r="B13" s="5"/>
      <c r="C13" s="5"/>
      <c r="D13" s="5"/>
      <c r="E13" s="6"/>
      <c r="F13" s="7"/>
      <c r="G13" s="38"/>
      <c r="H13" s="38"/>
      <c r="I13" s="3"/>
      <c r="J13" s="3"/>
    </row>
    <row r="14" spans="2:10" s="8" customFormat="1" ht="36.75" customHeight="1" x14ac:dyDescent="0.2">
      <c r="B14" s="31" t="s">
        <v>70</v>
      </c>
      <c r="C14" s="32"/>
      <c r="D14" s="100" t="s">
        <v>76</v>
      </c>
      <c r="E14" s="100"/>
      <c r="F14" s="100"/>
      <c r="G14" s="38"/>
      <c r="H14" s="38"/>
      <c r="I14" s="3"/>
      <c r="J14" s="3"/>
    </row>
    <row r="15" spans="2:10" s="8" customFormat="1" ht="39.75" customHeight="1" x14ac:dyDescent="0.2">
      <c r="B15" s="32" t="s">
        <v>71</v>
      </c>
      <c r="C15" s="32"/>
      <c r="D15" s="101" t="s">
        <v>74</v>
      </c>
      <c r="E15" s="101"/>
      <c r="F15" s="101"/>
      <c r="G15" s="38"/>
      <c r="H15" s="38"/>
      <c r="I15" s="3"/>
      <c r="J15" s="3"/>
    </row>
    <row r="16" spans="2:10" s="8" customFormat="1" ht="30" customHeight="1" x14ac:dyDescent="0.2">
      <c r="B16" s="32" t="s">
        <v>72</v>
      </c>
      <c r="C16" s="32"/>
      <c r="D16" s="102" t="s">
        <v>75</v>
      </c>
      <c r="E16" s="102"/>
      <c r="F16" s="102"/>
      <c r="G16" s="38"/>
      <c r="H16" s="38"/>
      <c r="I16" s="3"/>
      <c r="J16" s="3"/>
    </row>
    <row r="17" spans="2:10" s="8" customFormat="1" ht="30" customHeight="1" x14ac:dyDescent="0.2">
      <c r="B17" s="32" t="s">
        <v>73</v>
      </c>
      <c r="C17" s="32"/>
      <c r="D17" s="102" t="s">
        <v>82</v>
      </c>
      <c r="E17" s="102"/>
      <c r="F17" s="102"/>
      <c r="G17" s="38"/>
      <c r="H17" s="38"/>
      <c r="I17" s="3"/>
      <c r="J17" s="3"/>
    </row>
    <row r="18" spans="2:10" s="90" customFormat="1" ht="30" customHeight="1" x14ac:dyDescent="0.25">
      <c r="B18" s="32" t="s">
        <v>200</v>
      </c>
      <c r="C18" s="91"/>
      <c r="D18" s="97"/>
      <c r="E18" s="97"/>
      <c r="F18" s="97"/>
      <c r="H18" s="92"/>
    </row>
    <row r="19" spans="2:10" s="8" customFormat="1" ht="19.5" customHeight="1" x14ac:dyDescent="0.2">
      <c r="B19" s="98" t="s">
        <v>201</v>
      </c>
      <c r="C19" s="98"/>
      <c r="D19" s="98"/>
      <c r="E19" s="98"/>
      <c r="F19" s="98"/>
      <c r="G19" s="38"/>
      <c r="H19" s="38"/>
      <c r="I19" s="3"/>
      <c r="J19" s="3"/>
    </row>
    <row r="20" spans="2:10" s="14" customFormat="1" ht="15" x14ac:dyDescent="0.25">
      <c r="B20" s="15"/>
      <c r="C20" s="15"/>
      <c r="D20" s="15"/>
      <c r="E20" s="16"/>
      <c r="F20" s="15"/>
      <c r="G20" s="39"/>
      <c r="H20" s="34"/>
      <c r="I20" s="34"/>
      <c r="J20" s="34"/>
    </row>
    <row r="21" spans="2:10" s="12" customFormat="1" ht="49.15" customHeight="1" x14ac:dyDescent="0.25">
      <c r="B21" s="17" t="s">
        <v>16</v>
      </c>
      <c r="C21" s="17" t="s">
        <v>17</v>
      </c>
      <c r="D21" s="17" t="s">
        <v>18</v>
      </c>
      <c r="E21" s="18" t="s">
        <v>60</v>
      </c>
      <c r="F21" s="17" t="s">
        <v>44</v>
      </c>
      <c r="G21" s="40"/>
      <c r="H21" s="34"/>
      <c r="I21" s="34"/>
      <c r="J21" s="34"/>
    </row>
    <row r="22" spans="2:10" s="60" customFormat="1" ht="35.1" customHeight="1" x14ac:dyDescent="0.25">
      <c r="B22" s="55"/>
      <c r="C22" s="56" t="s">
        <v>106</v>
      </c>
      <c r="D22" s="56"/>
      <c r="E22" s="56"/>
      <c r="F22" s="57"/>
      <c r="G22" s="58"/>
      <c r="H22" s="59"/>
      <c r="I22" s="59"/>
      <c r="J22" s="59"/>
    </row>
    <row r="23" spans="2:10" s="51" customFormat="1" ht="15" x14ac:dyDescent="0.25">
      <c r="B23" s="47"/>
      <c r="C23" s="26" t="s">
        <v>77</v>
      </c>
      <c r="D23" s="48"/>
      <c r="E23" s="48"/>
      <c r="F23" s="47"/>
      <c r="G23" s="49" t="s">
        <v>97</v>
      </c>
      <c r="H23" s="50" t="s">
        <v>97</v>
      </c>
      <c r="I23" s="50"/>
      <c r="J23" s="50"/>
    </row>
    <row r="24" spans="2:10" s="64" customFormat="1" ht="42.75" x14ac:dyDescent="0.25">
      <c r="B24" s="69" t="s">
        <v>115</v>
      </c>
      <c r="C24" s="20" t="s">
        <v>108</v>
      </c>
      <c r="D24" s="9" t="s">
        <v>0</v>
      </c>
      <c r="E24" s="10">
        <v>310</v>
      </c>
      <c r="F24" s="65"/>
      <c r="G24" s="66"/>
    </row>
    <row r="25" spans="2:10" s="64" customFormat="1" ht="42.75" x14ac:dyDescent="0.25">
      <c r="B25" s="69" t="s">
        <v>100</v>
      </c>
      <c r="C25" s="20" t="s">
        <v>83</v>
      </c>
      <c r="D25" s="9" t="s">
        <v>19</v>
      </c>
      <c r="E25" s="10">
        <f>E24*1.81</f>
        <v>561.1</v>
      </c>
      <c r="F25" s="70" t="s">
        <v>109</v>
      </c>
      <c r="G25" s="66"/>
    </row>
    <row r="26" spans="2:10" s="64" customFormat="1" ht="42.75" x14ac:dyDescent="0.25">
      <c r="B26" s="69" t="s">
        <v>116</v>
      </c>
      <c r="C26" s="20" t="s">
        <v>20</v>
      </c>
      <c r="D26" s="9" t="s">
        <v>0</v>
      </c>
      <c r="E26" s="10">
        <v>1099</v>
      </c>
      <c r="F26" s="71"/>
      <c r="G26" s="66" t="s">
        <v>110</v>
      </c>
    </row>
    <row r="27" spans="2:10" s="67" customFormat="1" ht="46.5" customHeight="1" x14ac:dyDescent="0.25">
      <c r="B27" s="69" t="s">
        <v>117</v>
      </c>
      <c r="C27" s="20" t="s">
        <v>111</v>
      </c>
      <c r="D27" s="9" t="s">
        <v>0</v>
      </c>
      <c r="E27" s="10">
        <v>3336.5</v>
      </c>
      <c r="F27" s="70"/>
      <c r="G27" s="68" t="s">
        <v>112</v>
      </c>
    </row>
    <row r="28" spans="2:10" s="67" customFormat="1" ht="28.5" x14ac:dyDescent="0.25">
      <c r="B28" s="69" t="s">
        <v>118</v>
      </c>
      <c r="C28" s="20" t="s">
        <v>113</v>
      </c>
      <c r="D28" s="9" t="s">
        <v>0</v>
      </c>
      <c r="E28" s="10">
        <v>175.6</v>
      </c>
      <c r="F28" s="72" t="s">
        <v>114</v>
      </c>
      <c r="G28" s="68"/>
    </row>
    <row r="29" spans="2:10" s="64" customFormat="1" ht="42.75" x14ac:dyDescent="0.25">
      <c r="B29" s="69" t="s">
        <v>119</v>
      </c>
      <c r="C29" s="20" t="s">
        <v>83</v>
      </c>
      <c r="D29" s="9" t="s">
        <v>19</v>
      </c>
      <c r="E29" s="10">
        <f>E28+E27*1.81</f>
        <v>6214.6650000000009</v>
      </c>
      <c r="F29" s="70" t="s">
        <v>109</v>
      </c>
      <c r="G29" s="66"/>
    </row>
    <row r="30" spans="2:10" s="63" customFormat="1" ht="35.1" customHeight="1" x14ac:dyDescent="0.25">
      <c r="B30" s="55"/>
      <c r="C30" s="61" t="s">
        <v>107</v>
      </c>
      <c r="D30" s="56"/>
      <c r="E30" s="56"/>
      <c r="F30" s="57"/>
      <c r="G30" s="62"/>
      <c r="H30" s="59"/>
      <c r="I30" s="59"/>
      <c r="J30" s="59"/>
    </row>
    <row r="31" spans="2:10" ht="15" x14ac:dyDescent="0.25">
      <c r="B31" s="17"/>
      <c r="C31" s="19" t="s">
        <v>78</v>
      </c>
      <c r="D31" s="22"/>
      <c r="E31" s="10"/>
      <c r="F31" s="21"/>
    </row>
    <row r="32" spans="2:10" ht="28.5" x14ac:dyDescent="0.25">
      <c r="B32" s="17">
        <v>1</v>
      </c>
      <c r="C32" s="20" t="s">
        <v>53</v>
      </c>
      <c r="D32" s="9" t="s">
        <v>0</v>
      </c>
      <c r="E32" s="10">
        <v>1059.5999999999999</v>
      </c>
      <c r="F32" s="21"/>
    </row>
    <row r="33" spans="2:6" ht="28.5" x14ac:dyDescent="0.25">
      <c r="B33" s="17">
        <v>2</v>
      </c>
      <c r="C33" s="20" t="s">
        <v>94</v>
      </c>
      <c r="D33" s="9" t="s">
        <v>0</v>
      </c>
      <c r="E33" s="10">
        <v>39.4</v>
      </c>
      <c r="F33" s="21"/>
    </row>
    <row r="34" spans="2:6" ht="42.75" x14ac:dyDescent="0.25">
      <c r="B34" s="17">
        <v>3</v>
      </c>
      <c r="C34" s="20" t="s">
        <v>95</v>
      </c>
      <c r="D34" s="9" t="s">
        <v>0</v>
      </c>
      <c r="E34" s="10">
        <v>29.8</v>
      </c>
      <c r="F34" s="21"/>
    </row>
    <row r="35" spans="2:6" x14ac:dyDescent="0.25">
      <c r="B35" s="17"/>
      <c r="C35" s="33" t="s">
        <v>43</v>
      </c>
      <c r="D35" s="9" t="s">
        <v>0</v>
      </c>
      <c r="E35" s="10">
        <f>E34*1.1</f>
        <v>32.78</v>
      </c>
      <c r="F35" s="21"/>
    </row>
    <row r="36" spans="2:6" ht="35.1" customHeight="1" x14ac:dyDescent="0.25">
      <c r="B36" s="17"/>
      <c r="C36" s="19" t="s">
        <v>57</v>
      </c>
      <c r="D36" s="22"/>
      <c r="E36" s="18"/>
      <c r="F36" s="21"/>
    </row>
    <row r="37" spans="2:6" ht="33" customHeight="1" x14ac:dyDescent="0.25">
      <c r="B37" s="17">
        <v>1</v>
      </c>
      <c r="C37" s="23" t="s">
        <v>21</v>
      </c>
      <c r="D37" s="9" t="s">
        <v>0</v>
      </c>
      <c r="E37" s="10">
        <v>92</v>
      </c>
      <c r="F37" s="21"/>
    </row>
    <row r="38" spans="2:6" ht="33" customHeight="1" x14ac:dyDescent="0.25">
      <c r="B38" s="17"/>
      <c r="C38" s="33" t="s">
        <v>65</v>
      </c>
      <c r="D38" s="9" t="s">
        <v>0</v>
      </c>
      <c r="E38" s="10">
        <f>E37*1.02</f>
        <v>93.84</v>
      </c>
      <c r="F38" s="21"/>
    </row>
    <row r="39" spans="2:6" ht="35.1" customHeight="1" x14ac:dyDescent="0.25">
      <c r="B39" s="17"/>
      <c r="C39" s="19" t="s">
        <v>58</v>
      </c>
      <c r="D39" s="22"/>
      <c r="E39" s="10"/>
      <c r="F39" s="21"/>
    </row>
    <row r="40" spans="2:6" ht="33" customHeight="1" x14ac:dyDescent="0.25">
      <c r="B40" s="17">
        <v>1</v>
      </c>
      <c r="C40" s="20" t="s">
        <v>120</v>
      </c>
      <c r="D40" s="9" t="s">
        <v>1</v>
      </c>
      <c r="E40" s="10">
        <f>913.9</f>
        <v>913.9</v>
      </c>
      <c r="F40" s="21"/>
    </row>
    <row r="41" spans="2:6" ht="33" customHeight="1" x14ac:dyDescent="0.25">
      <c r="B41" s="17"/>
      <c r="C41" s="33" t="s">
        <v>121</v>
      </c>
      <c r="D41" s="9" t="s">
        <v>45</v>
      </c>
      <c r="E41" s="10">
        <f>E40*0.25</f>
        <v>228.47499999999999</v>
      </c>
      <c r="F41" s="45" t="s">
        <v>122</v>
      </c>
    </row>
    <row r="42" spans="2:6" ht="33" customHeight="1" x14ac:dyDescent="0.25">
      <c r="B42" s="17">
        <v>2</v>
      </c>
      <c r="C42" s="20" t="s">
        <v>85</v>
      </c>
      <c r="D42" s="9" t="s">
        <v>1</v>
      </c>
      <c r="E42" s="10">
        <v>913.9</v>
      </c>
      <c r="F42" s="45"/>
    </row>
    <row r="43" spans="2:6" ht="33" customHeight="1" x14ac:dyDescent="0.25">
      <c r="B43" s="17"/>
      <c r="C43" s="33" t="s">
        <v>123</v>
      </c>
      <c r="D43" s="9" t="s">
        <v>1</v>
      </c>
      <c r="E43" s="10">
        <f>913.9*3*1.15</f>
        <v>3152.9549999999995</v>
      </c>
      <c r="F43" s="45" t="s">
        <v>124</v>
      </c>
    </row>
    <row r="44" spans="2:6" ht="33" customHeight="1" x14ac:dyDescent="0.25">
      <c r="B44" s="17">
        <v>3</v>
      </c>
      <c r="C44" s="20" t="s">
        <v>4</v>
      </c>
      <c r="D44" s="9" t="s">
        <v>0</v>
      </c>
      <c r="E44" s="10">
        <v>46</v>
      </c>
      <c r="F44" s="21"/>
    </row>
    <row r="45" spans="2:6" ht="33" customHeight="1" x14ac:dyDescent="0.25">
      <c r="B45" s="17"/>
      <c r="C45" s="33" t="s">
        <v>125</v>
      </c>
      <c r="D45" s="9" t="s">
        <v>0</v>
      </c>
      <c r="E45" s="10">
        <f>E44*1.015</f>
        <v>46.69</v>
      </c>
      <c r="F45" s="21"/>
    </row>
    <row r="46" spans="2:6" ht="35.1" customHeight="1" x14ac:dyDescent="0.25">
      <c r="B46" s="17"/>
      <c r="C46" s="19" t="s">
        <v>81</v>
      </c>
      <c r="D46" s="9"/>
      <c r="E46" s="18"/>
      <c r="F46" s="21"/>
    </row>
    <row r="47" spans="2:6" ht="33" customHeight="1" x14ac:dyDescent="0.25">
      <c r="B47" s="17">
        <v>1</v>
      </c>
      <c r="C47" s="20" t="s">
        <v>30</v>
      </c>
      <c r="D47" s="9" t="s">
        <v>0</v>
      </c>
      <c r="E47" s="10">
        <v>552</v>
      </c>
      <c r="F47" s="24"/>
    </row>
    <row r="48" spans="2:6" ht="33" customHeight="1" x14ac:dyDescent="0.25">
      <c r="B48" s="17"/>
      <c r="C48" s="33" t="s">
        <v>33</v>
      </c>
      <c r="D48" s="9" t="s">
        <v>0</v>
      </c>
      <c r="E48" s="10">
        <f>E47*1.015</f>
        <v>560.28</v>
      </c>
      <c r="F48" s="21"/>
    </row>
    <row r="49" spans="2:10" s="54" customFormat="1" ht="33" customHeight="1" x14ac:dyDescent="0.25">
      <c r="B49" s="9"/>
      <c r="C49" s="74" t="s">
        <v>49</v>
      </c>
      <c r="D49" s="9" t="s">
        <v>31</v>
      </c>
      <c r="E49" s="43">
        <v>6.13E-2</v>
      </c>
      <c r="F49" s="45">
        <f>0.06041*1.015</f>
        <v>6.1316149999999993E-2</v>
      </c>
      <c r="G49" s="49"/>
      <c r="H49" s="50"/>
      <c r="I49" s="50"/>
      <c r="J49" s="50"/>
    </row>
    <row r="50" spans="2:10" s="54" customFormat="1" ht="33" customHeight="1" x14ac:dyDescent="0.25">
      <c r="B50" s="9"/>
      <c r="C50" s="74" t="s">
        <v>48</v>
      </c>
      <c r="D50" s="9" t="s">
        <v>31</v>
      </c>
      <c r="E50" s="75">
        <v>0.14000000000000001</v>
      </c>
      <c r="F50" s="45">
        <f>0.1383*1.015</f>
        <v>0.14037449999999999</v>
      </c>
      <c r="G50" s="49"/>
      <c r="H50" s="50"/>
      <c r="I50" s="50"/>
      <c r="J50" s="50"/>
    </row>
    <row r="51" spans="2:10" s="54" customFormat="1" ht="33" customHeight="1" x14ac:dyDescent="0.25">
      <c r="B51" s="9"/>
      <c r="C51" s="74" t="s">
        <v>51</v>
      </c>
      <c r="D51" s="9" t="s">
        <v>31</v>
      </c>
      <c r="E51" s="75">
        <v>2.2989999999999999</v>
      </c>
      <c r="F51" s="45">
        <f>2.266*1.015</f>
        <v>2.2999899999999998</v>
      </c>
      <c r="G51" s="49"/>
      <c r="H51" s="50"/>
      <c r="I51" s="50"/>
      <c r="J51" s="50"/>
    </row>
    <row r="52" spans="2:10" s="54" customFormat="1" ht="33" customHeight="1" x14ac:dyDescent="0.25">
      <c r="B52" s="9"/>
      <c r="C52" s="74" t="s">
        <v>88</v>
      </c>
      <c r="D52" s="9" t="s">
        <v>31</v>
      </c>
      <c r="E52" s="75">
        <v>0.65700000000000003</v>
      </c>
      <c r="F52" s="45">
        <f>0.64682*1.015</f>
        <v>0.65652229999999989</v>
      </c>
      <c r="G52" s="49"/>
      <c r="H52" s="50"/>
      <c r="I52" s="50"/>
      <c r="J52" s="50"/>
    </row>
    <row r="53" spans="2:10" s="54" customFormat="1" ht="33" customHeight="1" x14ac:dyDescent="0.25">
      <c r="B53" s="9"/>
      <c r="C53" s="74" t="s">
        <v>61</v>
      </c>
      <c r="D53" s="9" t="s">
        <v>31</v>
      </c>
      <c r="E53" s="75">
        <v>32.292999999999999</v>
      </c>
      <c r="F53" s="45">
        <f>31.8162*1.015</f>
        <v>32.293442999999996</v>
      </c>
      <c r="G53" s="49"/>
      <c r="H53" s="50"/>
      <c r="I53" s="50"/>
      <c r="J53" s="50"/>
    </row>
    <row r="54" spans="2:10" s="54" customFormat="1" ht="33" customHeight="1" x14ac:dyDescent="0.25">
      <c r="B54" s="9"/>
      <c r="C54" s="74" t="s">
        <v>62</v>
      </c>
      <c r="D54" s="9" t="s">
        <v>31</v>
      </c>
      <c r="E54" s="43">
        <v>90.606999999999999</v>
      </c>
      <c r="F54" s="45">
        <f>89.26837*1.015</f>
        <v>90.607395549999993</v>
      </c>
      <c r="G54" s="49"/>
      <c r="H54" s="50"/>
      <c r="I54" s="50"/>
      <c r="J54" s="50"/>
    </row>
    <row r="55" spans="2:10" s="54" customFormat="1" ht="33" customHeight="1" x14ac:dyDescent="0.25">
      <c r="B55" s="9"/>
      <c r="C55" s="74" t="s">
        <v>63</v>
      </c>
      <c r="D55" s="9" t="s">
        <v>31</v>
      </c>
      <c r="E55" s="75">
        <v>3.5939999999999999</v>
      </c>
      <c r="F55" s="45">
        <f>3.5411*1.015</f>
        <v>3.5942164999999999</v>
      </c>
      <c r="G55" s="49"/>
      <c r="H55" s="50"/>
      <c r="I55" s="50"/>
      <c r="J55" s="50"/>
    </row>
    <row r="56" spans="2:10" ht="33" customHeight="1" x14ac:dyDescent="0.25">
      <c r="B56" s="17"/>
      <c r="C56" s="33" t="s">
        <v>68</v>
      </c>
      <c r="D56" s="9" t="s">
        <v>55</v>
      </c>
      <c r="E56" s="10">
        <v>1484</v>
      </c>
      <c r="F56" s="21"/>
    </row>
    <row r="57" spans="2:10" s="54" customFormat="1" ht="33" customHeight="1" x14ac:dyDescent="0.25">
      <c r="B57" s="81" t="s">
        <v>100</v>
      </c>
      <c r="C57" s="24" t="s">
        <v>140</v>
      </c>
      <c r="D57" s="9" t="s">
        <v>31</v>
      </c>
      <c r="E57" s="75">
        <f>(43.29+44.63+37.26+22.79+41.53+11.34+18*6.7)/1000</f>
        <v>0.32144</v>
      </c>
      <c r="F57" s="21"/>
      <c r="G57" s="49"/>
      <c r="H57" s="50"/>
      <c r="I57" s="50"/>
      <c r="J57" s="50"/>
    </row>
    <row r="58" spans="2:10" ht="33" customHeight="1" x14ac:dyDescent="0.25">
      <c r="B58" s="17"/>
      <c r="C58" s="20" t="s">
        <v>126</v>
      </c>
      <c r="D58" s="9" t="s">
        <v>55</v>
      </c>
      <c r="E58" s="42">
        <v>1</v>
      </c>
      <c r="F58" s="83" t="s">
        <v>101</v>
      </c>
    </row>
    <row r="59" spans="2:10" s="44" customFormat="1" ht="33" customHeight="1" x14ac:dyDescent="0.25">
      <c r="B59" s="17"/>
      <c r="C59" s="33" t="s">
        <v>132</v>
      </c>
      <c r="D59" s="9" t="s">
        <v>31</v>
      </c>
      <c r="E59" s="73">
        <v>1.1000000000000001E-3</v>
      </c>
      <c r="F59" s="83"/>
      <c r="G59" s="39"/>
      <c r="H59" s="34"/>
      <c r="I59" s="34"/>
      <c r="J59" s="34"/>
    </row>
    <row r="60" spans="2:10" s="44" customFormat="1" ht="33" customHeight="1" x14ac:dyDescent="0.25">
      <c r="B60" s="17"/>
      <c r="C60" s="33" t="s">
        <v>133</v>
      </c>
      <c r="D60" s="9" t="s">
        <v>31</v>
      </c>
      <c r="E60" s="25">
        <v>1.06E-2</v>
      </c>
      <c r="F60" s="83"/>
      <c r="G60" s="39"/>
      <c r="H60" s="34"/>
      <c r="I60" s="34"/>
      <c r="J60" s="34"/>
    </row>
    <row r="61" spans="2:10" ht="33" customHeight="1" x14ac:dyDescent="0.25">
      <c r="B61" s="17"/>
      <c r="C61" s="20" t="s">
        <v>127</v>
      </c>
      <c r="D61" s="9" t="s">
        <v>55</v>
      </c>
      <c r="E61" s="42">
        <v>1</v>
      </c>
      <c r="F61" s="83" t="s">
        <v>102</v>
      </c>
    </row>
    <row r="62" spans="2:10" s="44" customFormat="1" ht="33" customHeight="1" x14ac:dyDescent="0.25">
      <c r="B62" s="17"/>
      <c r="C62" s="33" t="s">
        <v>132</v>
      </c>
      <c r="D62" s="9" t="s">
        <v>31</v>
      </c>
      <c r="E62" s="25">
        <v>1.6000000000000001E-3</v>
      </c>
      <c r="F62" s="83"/>
      <c r="G62" s="39"/>
      <c r="H62" s="34"/>
      <c r="I62" s="34"/>
      <c r="J62" s="34"/>
    </row>
    <row r="63" spans="2:10" s="44" customFormat="1" ht="33" customHeight="1" x14ac:dyDescent="0.25">
      <c r="B63" s="17"/>
      <c r="C63" s="33" t="s">
        <v>134</v>
      </c>
      <c r="D63" s="9" t="s">
        <v>31</v>
      </c>
      <c r="E63" s="76">
        <v>6.0400000000000002E-3</v>
      </c>
      <c r="F63" s="83"/>
      <c r="G63" s="39"/>
      <c r="H63" s="34"/>
      <c r="I63" s="34"/>
      <c r="J63" s="34"/>
    </row>
    <row r="64" spans="2:10" s="44" customFormat="1" ht="33" customHeight="1" x14ac:dyDescent="0.25">
      <c r="B64" s="17"/>
      <c r="C64" s="33" t="s">
        <v>135</v>
      </c>
      <c r="D64" s="9" t="s">
        <v>31</v>
      </c>
      <c r="E64" s="25">
        <v>8.3000000000000001E-3</v>
      </c>
      <c r="F64" s="83"/>
      <c r="G64" s="39"/>
      <c r="H64" s="34"/>
      <c r="I64" s="34"/>
      <c r="J64" s="34"/>
    </row>
    <row r="65" spans="2:10" ht="33" customHeight="1" x14ac:dyDescent="0.25">
      <c r="B65" s="17"/>
      <c r="C65" s="20" t="s">
        <v>128</v>
      </c>
      <c r="D65" s="9" t="s">
        <v>55</v>
      </c>
      <c r="E65" s="42">
        <v>1</v>
      </c>
      <c r="F65" s="83" t="s">
        <v>103</v>
      </c>
    </row>
    <row r="66" spans="2:10" s="44" customFormat="1" ht="33" customHeight="1" x14ac:dyDescent="0.25">
      <c r="B66" s="17"/>
      <c r="C66" s="33" t="s">
        <v>132</v>
      </c>
      <c r="D66" s="9" t="s">
        <v>31</v>
      </c>
      <c r="E66" s="76">
        <v>7.2000000000000005E-4</v>
      </c>
      <c r="F66" s="83"/>
      <c r="G66" s="39"/>
      <c r="H66" s="34"/>
      <c r="I66" s="34"/>
      <c r="J66" s="34"/>
    </row>
    <row r="67" spans="2:10" s="44" customFormat="1" ht="33" customHeight="1" x14ac:dyDescent="0.25">
      <c r="B67" s="17"/>
      <c r="C67" s="33" t="s">
        <v>136</v>
      </c>
      <c r="D67" s="9" t="s">
        <v>31</v>
      </c>
      <c r="E67" s="76">
        <v>7.5599999999999999E-3</v>
      </c>
      <c r="F67" s="24"/>
      <c r="G67" s="39"/>
      <c r="H67" s="34"/>
      <c r="I67" s="34"/>
      <c r="J67" s="34"/>
    </row>
    <row r="68" spans="2:10" ht="33" customHeight="1" x14ac:dyDescent="0.25">
      <c r="B68" s="17"/>
      <c r="C68" s="20" t="s">
        <v>129</v>
      </c>
      <c r="D68" s="9" t="s">
        <v>55</v>
      </c>
      <c r="E68" s="42">
        <v>1</v>
      </c>
      <c r="F68" s="83" t="s">
        <v>90</v>
      </c>
    </row>
    <row r="69" spans="2:10" s="44" customFormat="1" ht="33" customHeight="1" x14ac:dyDescent="0.25">
      <c r="B69" s="17"/>
      <c r="C69" s="33" t="s">
        <v>138</v>
      </c>
      <c r="D69" s="9" t="s">
        <v>31</v>
      </c>
      <c r="E69" s="73">
        <v>2.3E-2</v>
      </c>
      <c r="F69" s="83"/>
      <c r="G69" s="39"/>
      <c r="H69" s="34"/>
      <c r="I69" s="34"/>
      <c r="J69" s="34"/>
    </row>
    <row r="70" spans="2:10" ht="33" customHeight="1" x14ac:dyDescent="0.25">
      <c r="B70" s="17"/>
      <c r="C70" s="20" t="s">
        <v>130</v>
      </c>
      <c r="D70" s="9" t="s">
        <v>55</v>
      </c>
      <c r="E70" s="42">
        <v>1</v>
      </c>
      <c r="F70" s="83" t="s">
        <v>91</v>
      </c>
    </row>
    <row r="71" spans="2:10" s="44" customFormat="1" ht="33" customHeight="1" x14ac:dyDescent="0.25">
      <c r="B71" s="17"/>
      <c r="C71" s="33" t="s">
        <v>138</v>
      </c>
      <c r="D71" s="9" t="s">
        <v>31</v>
      </c>
      <c r="E71" s="73">
        <v>4.1500000000000002E-2</v>
      </c>
      <c r="F71" s="83"/>
      <c r="G71" s="39"/>
      <c r="H71" s="34"/>
      <c r="I71" s="34"/>
      <c r="J71" s="34"/>
    </row>
    <row r="72" spans="2:10" ht="33" customHeight="1" x14ac:dyDescent="0.25">
      <c r="B72" s="17"/>
      <c r="C72" s="20" t="s">
        <v>131</v>
      </c>
      <c r="D72" s="9" t="s">
        <v>55</v>
      </c>
      <c r="E72" s="42">
        <v>1</v>
      </c>
      <c r="F72" s="83" t="s">
        <v>92</v>
      </c>
    </row>
    <row r="73" spans="2:10" s="44" customFormat="1" ht="33" customHeight="1" x14ac:dyDescent="0.25">
      <c r="B73" s="17"/>
      <c r="C73" s="33" t="s">
        <v>138</v>
      </c>
      <c r="D73" s="9" t="s">
        <v>31</v>
      </c>
      <c r="E73" s="73">
        <v>1.0999999999999999E-2</v>
      </c>
      <c r="F73" s="83"/>
      <c r="G73" s="39"/>
      <c r="H73" s="34"/>
      <c r="I73" s="34"/>
      <c r="J73" s="34"/>
    </row>
    <row r="74" spans="2:10" ht="33" customHeight="1" x14ac:dyDescent="0.25">
      <c r="B74" s="17"/>
      <c r="C74" s="20" t="s">
        <v>89</v>
      </c>
      <c r="D74" s="9" t="s">
        <v>55</v>
      </c>
      <c r="E74" s="42">
        <v>18</v>
      </c>
      <c r="F74" s="83" t="s">
        <v>93</v>
      </c>
    </row>
    <row r="75" spans="2:10" s="44" customFormat="1" ht="33" customHeight="1" x14ac:dyDescent="0.25">
      <c r="B75" s="17"/>
      <c r="C75" s="33" t="s">
        <v>137</v>
      </c>
      <c r="D75" s="9" t="s">
        <v>31</v>
      </c>
      <c r="E75" s="25">
        <v>0.1206</v>
      </c>
      <c r="F75" s="24"/>
      <c r="G75" s="39"/>
      <c r="H75" s="34"/>
      <c r="I75" s="34"/>
      <c r="J75" s="34"/>
    </row>
    <row r="76" spans="2:10" ht="35.1" customHeight="1" x14ac:dyDescent="0.25">
      <c r="B76" s="17"/>
      <c r="C76" s="19" t="s">
        <v>79</v>
      </c>
      <c r="D76" s="9"/>
      <c r="E76" s="18"/>
      <c r="F76" s="21"/>
    </row>
    <row r="77" spans="2:10" s="54" customFormat="1" ht="33" customHeight="1" x14ac:dyDescent="0.25">
      <c r="B77" s="9">
        <v>1</v>
      </c>
      <c r="C77" s="24" t="s">
        <v>139</v>
      </c>
      <c r="D77" s="9" t="s">
        <v>6</v>
      </c>
      <c r="E77" s="52">
        <v>11.24</v>
      </c>
      <c r="F77" s="21"/>
      <c r="G77" s="49"/>
      <c r="H77" s="50"/>
      <c r="I77" s="50"/>
      <c r="J77" s="50"/>
    </row>
    <row r="78" spans="2:10" s="54" customFormat="1" ht="33" customHeight="1" x14ac:dyDescent="0.25">
      <c r="B78" s="9"/>
      <c r="C78" s="74" t="s">
        <v>25</v>
      </c>
      <c r="D78" s="9" t="s">
        <v>5</v>
      </c>
      <c r="E78" s="52">
        <v>8560</v>
      </c>
      <c r="F78" s="21"/>
      <c r="G78" s="49"/>
      <c r="H78" s="50"/>
      <c r="I78" s="50"/>
      <c r="J78" s="50"/>
    </row>
    <row r="79" spans="2:10" s="54" customFormat="1" ht="33" customHeight="1" x14ac:dyDescent="0.25">
      <c r="B79" s="9">
        <v>2</v>
      </c>
      <c r="C79" s="24" t="s">
        <v>22</v>
      </c>
      <c r="D79" s="9" t="s">
        <v>6</v>
      </c>
      <c r="E79" s="52">
        <v>11.24</v>
      </c>
      <c r="F79" s="21"/>
      <c r="G79" s="49"/>
      <c r="H79" s="50"/>
      <c r="I79" s="50"/>
      <c r="J79" s="50"/>
    </row>
    <row r="80" spans="2:10" s="54" customFormat="1" ht="33" customHeight="1" x14ac:dyDescent="0.25">
      <c r="B80" s="9"/>
      <c r="C80" s="74" t="s">
        <v>66</v>
      </c>
      <c r="D80" s="9" t="s">
        <v>6</v>
      </c>
      <c r="E80" s="52">
        <v>11.24</v>
      </c>
      <c r="F80" s="21"/>
      <c r="G80" s="49"/>
      <c r="H80" s="50"/>
      <c r="I80" s="50"/>
      <c r="J80" s="50"/>
    </row>
    <row r="81" spans="2:10" s="54" customFormat="1" ht="33" customHeight="1" x14ac:dyDescent="0.25">
      <c r="B81" s="9">
        <v>3</v>
      </c>
      <c r="C81" s="24" t="s">
        <v>24</v>
      </c>
      <c r="D81" s="9" t="s">
        <v>0</v>
      </c>
      <c r="E81" s="52">
        <v>0.05</v>
      </c>
      <c r="F81" s="21"/>
      <c r="G81" s="49"/>
      <c r="H81" s="50"/>
      <c r="I81" s="50"/>
      <c r="J81" s="50"/>
    </row>
    <row r="82" spans="2:10" s="54" customFormat="1" ht="33" customHeight="1" x14ac:dyDescent="0.25">
      <c r="B82" s="9"/>
      <c r="C82" s="74" t="s">
        <v>26</v>
      </c>
      <c r="D82" s="9" t="s">
        <v>0</v>
      </c>
      <c r="E82" s="52">
        <f>0.05*1.02</f>
        <v>5.1000000000000004E-2</v>
      </c>
      <c r="F82" s="21"/>
      <c r="G82" s="49"/>
      <c r="H82" s="50"/>
      <c r="I82" s="50"/>
      <c r="J82" s="50"/>
    </row>
    <row r="83" spans="2:10" s="54" customFormat="1" ht="33" customHeight="1" x14ac:dyDescent="0.25">
      <c r="B83" s="9">
        <v>4</v>
      </c>
      <c r="C83" s="24" t="s">
        <v>23</v>
      </c>
      <c r="D83" s="9" t="s">
        <v>6</v>
      </c>
      <c r="E83" s="52">
        <v>11.24</v>
      </c>
      <c r="F83" s="21"/>
      <c r="G83" s="49"/>
      <c r="H83" s="50"/>
      <c r="I83" s="50"/>
      <c r="J83" s="50"/>
    </row>
    <row r="84" spans="2:10" s="54" customFormat="1" ht="33" customHeight="1" x14ac:dyDescent="0.25">
      <c r="B84" s="9"/>
      <c r="C84" s="74" t="s">
        <v>27</v>
      </c>
      <c r="D84" s="9" t="s">
        <v>6</v>
      </c>
      <c r="E84" s="52">
        <v>11.24</v>
      </c>
      <c r="F84" s="21"/>
      <c r="G84" s="49"/>
      <c r="H84" s="50"/>
      <c r="I84" s="50"/>
      <c r="J84" s="50"/>
    </row>
    <row r="85" spans="2:10" s="54" customFormat="1" ht="33" customHeight="1" x14ac:dyDescent="0.25">
      <c r="B85" s="9">
        <v>5</v>
      </c>
      <c r="C85" s="24" t="s">
        <v>168</v>
      </c>
      <c r="D85" s="9" t="s">
        <v>1</v>
      </c>
      <c r="E85" s="52">
        <v>4.5</v>
      </c>
      <c r="F85" s="21"/>
      <c r="G85" s="49"/>
      <c r="H85" s="50"/>
      <c r="I85" s="50"/>
      <c r="J85" s="50"/>
    </row>
    <row r="86" spans="2:10" s="54" customFormat="1" ht="33" customHeight="1" x14ac:dyDescent="0.25">
      <c r="B86" s="9"/>
      <c r="C86" s="74" t="s">
        <v>56</v>
      </c>
      <c r="D86" s="9" t="s">
        <v>1</v>
      </c>
      <c r="E86" s="52">
        <f>4.5*1.1</f>
        <v>4.95</v>
      </c>
      <c r="F86" s="21"/>
      <c r="G86" s="49"/>
      <c r="H86" s="50"/>
      <c r="I86" s="50"/>
      <c r="J86" s="50"/>
    </row>
    <row r="87" spans="2:10" s="54" customFormat="1" ht="33" customHeight="1" x14ac:dyDescent="0.25">
      <c r="B87" s="9">
        <v>6</v>
      </c>
      <c r="C87" s="24" t="s">
        <v>7</v>
      </c>
      <c r="D87" s="9" t="s">
        <v>1</v>
      </c>
      <c r="E87" s="52">
        <v>7.7</v>
      </c>
      <c r="F87" s="21"/>
      <c r="G87" s="49"/>
      <c r="H87" s="50"/>
      <c r="I87" s="50"/>
      <c r="J87" s="50"/>
    </row>
    <row r="88" spans="2:10" s="54" customFormat="1" ht="33" customHeight="1" x14ac:dyDescent="0.25">
      <c r="B88" s="9"/>
      <c r="C88" s="74" t="s">
        <v>28</v>
      </c>
      <c r="D88" s="9" t="s">
        <v>1</v>
      </c>
      <c r="E88" s="52">
        <f>7.7*1.15</f>
        <v>8.8549999999999986</v>
      </c>
      <c r="F88" s="21"/>
      <c r="G88" s="49"/>
      <c r="H88" s="50"/>
      <c r="I88" s="50"/>
      <c r="J88" s="50"/>
    </row>
    <row r="89" spans="2:10" s="54" customFormat="1" ht="33" customHeight="1" x14ac:dyDescent="0.25">
      <c r="B89" s="9">
        <v>7</v>
      </c>
      <c r="C89" s="24" t="s">
        <v>8</v>
      </c>
      <c r="D89" s="9" t="s">
        <v>1</v>
      </c>
      <c r="E89" s="52">
        <v>5.4</v>
      </c>
      <c r="F89" s="21"/>
      <c r="G89" s="49"/>
      <c r="H89" s="50"/>
      <c r="I89" s="50"/>
      <c r="J89" s="50"/>
    </row>
    <row r="90" spans="2:10" s="54" customFormat="1" ht="33" customHeight="1" x14ac:dyDescent="0.25">
      <c r="B90" s="9"/>
      <c r="C90" s="74" t="s">
        <v>29</v>
      </c>
      <c r="D90" s="9" t="s">
        <v>1</v>
      </c>
      <c r="E90" s="52">
        <f>5.4*1.15</f>
        <v>6.21</v>
      </c>
      <c r="F90" s="21"/>
      <c r="G90" s="49"/>
      <c r="H90" s="50"/>
      <c r="I90" s="50"/>
      <c r="J90" s="50"/>
    </row>
    <row r="91" spans="2:10" s="54" customFormat="1" ht="33" customHeight="1" x14ac:dyDescent="0.25">
      <c r="B91" s="9">
        <v>8</v>
      </c>
      <c r="C91" s="24" t="s">
        <v>9</v>
      </c>
      <c r="D91" s="9" t="s">
        <v>6</v>
      </c>
      <c r="E91" s="52">
        <v>11.24</v>
      </c>
      <c r="F91" s="21"/>
      <c r="G91" s="49"/>
      <c r="H91" s="50"/>
      <c r="I91" s="50"/>
      <c r="J91" s="50"/>
    </row>
    <row r="92" spans="2:10" s="54" customFormat="1" ht="33" customHeight="1" x14ac:dyDescent="0.25">
      <c r="B92" s="9"/>
      <c r="C92" s="74" t="s">
        <v>67</v>
      </c>
      <c r="D92" s="9" t="s">
        <v>6</v>
      </c>
      <c r="E92" s="52">
        <v>11.24</v>
      </c>
      <c r="F92" s="21"/>
      <c r="G92" s="49"/>
      <c r="H92" s="50"/>
      <c r="I92" s="50"/>
      <c r="J92" s="50"/>
    </row>
    <row r="93" spans="2:10" s="54" customFormat="1" ht="33" customHeight="1" x14ac:dyDescent="0.25">
      <c r="B93" s="9">
        <v>9</v>
      </c>
      <c r="C93" s="24" t="s">
        <v>194</v>
      </c>
      <c r="D93" s="9" t="s">
        <v>1</v>
      </c>
      <c r="E93" s="52">
        <v>0.2</v>
      </c>
      <c r="F93" s="21"/>
      <c r="G93" s="49"/>
      <c r="H93" s="50"/>
      <c r="I93" s="50"/>
      <c r="J93" s="50"/>
    </row>
    <row r="94" spans="2:10" s="54" customFormat="1" ht="33" customHeight="1" x14ac:dyDescent="0.25">
      <c r="B94" s="9"/>
      <c r="C94" s="74" t="s">
        <v>193</v>
      </c>
      <c r="D94" s="9" t="s">
        <v>1</v>
      </c>
      <c r="E94" s="52">
        <v>0.2</v>
      </c>
      <c r="F94" s="21"/>
      <c r="G94" s="49"/>
      <c r="H94" s="50"/>
      <c r="I94" s="50"/>
      <c r="J94" s="50"/>
    </row>
    <row r="95" spans="2:10" s="54" customFormat="1" ht="35.1" customHeight="1" x14ac:dyDescent="0.25">
      <c r="B95" s="9"/>
      <c r="C95" s="26" t="s">
        <v>98</v>
      </c>
      <c r="D95" s="9"/>
      <c r="E95" s="80"/>
      <c r="F95" s="21"/>
      <c r="G95" s="49"/>
      <c r="H95" s="50"/>
      <c r="I95" s="50"/>
      <c r="J95" s="50"/>
    </row>
    <row r="96" spans="2:10" s="54" customFormat="1" ht="33" customHeight="1" x14ac:dyDescent="0.25">
      <c r="B96" s="9">
        <v>1</v>
      </c>
      <c r="C96" s="24" t="s">
        <v>80</v>
      </c>
      <c r="D96" s="9" t="s">
        <v>0</v>
      </c>
      <c r="E96" s="52">
        <f>E97+E98</f>
        <v>400.82</v>
      </c>
      <c r="F96" s="21"/>
      <c r="G96" s="49">
        <f>(167.4+9.8+9.1+(0.7*4+0.4+6.6*2+6.6*2+1.9*4+1*2+4+1.4*4)+(0.7*2+1.2*4+7.8*4+1.8*2+2.3*2))+(110.9+13.1)</f>
        <v>404.70000000000005</v>
      </c>
      <c r="H96" s="50">
        <f>(167.4+9.8+(0.7*4+0.4+6.6*2+6.6*2+1.9*4+1*2+4+1.4*4)+(0.7*2+1.2*4+7.8*4+1.8*2+2.3*2))+(110.9+13.1)</f>
        <v>395.6</v>
      </c>
      <c r="I96" s="50">
        <f>E96*1.015</f>
        <v>406.83229999999998</v>
      </c>
      <c r="J96" s="50">
        <f>H96-G96</f>
        <v>-9.1000000000000227</v>
      </c>
    </row>
    <row r="97" spans="2:10" s="54" customFormat="1" ht="33" customHeight="1" x14ac:dyDescent="0.25">
      <c r="B97" s="9"/>
      <c r="C97" s="74" t="s">
        <v>33</v>
      </c>
      <c r="D97" s="9" t="s">
        <v>0</v>
      </c>
      <c r="E97" s="52">
        <v>274.95999999999998</v>
      </c>
      <c r="F97" s="45">
        <f>270.9*1.015</f>
        <v>274.96349999999995</v>
      </c>
      <c r="G97" s="49">
        <v>271.60000000000002</v>
      </c>
      <c r="H97" s="50"/>
      <c r="I97" s="53">
        <f>E97+E98</f>
        <v>400.82</v>
      </c>
      <c r="J97" s="50"/>
    </row>
    <row r="98" spans="2:10" s="54" customFormat="1" ht="33" customHeight="1" x14ac:dyDescent="0.25">
      <c r="B98" s="9"/>
      <c r="C98" s="74" t="s">
        <v>32</v>
      </c>
      <c r="D98" s="9" t="s">
        <v>0</v>
      </c>
      <c r="E98" s="52">
        <v>125.86</v>
      </c>
      <c r="F98" s="45">
        <f>124*1.015</f>
        <v>125.85999999999999</v>
      </c>
      <c r="G98" s="49">
        <v>124</v>
      </c>
      <c r="H98" s="50"/>
      <c r="I98" s="50"/>
      <c r="J98" s="50"/>
    </row>
    <row r="99" spans="2:10" s="54" customFormat="1" ht="33" customHeight="1" x14ac:dyDescent="0.25">
      <c r="B99" s="9"/>
      <c r="C99" s="74" t="s">
        <v>47</v>
      </c>
      <c r="D99" s="9" t="s">
        <v>31</v>
      </c>
      <c r="E99" s="75">
        <v>1.8979999999999999</v>
      </c>
      <c r="F99" s="45">
        <f>1.87*1.015</f>
        <v>1.89805</v>
      </c>
      <c r="G99" s="49"/>
      <c r="H99" s="50"/>
      <c r="I99" s="50"/>
      <c r="J99" s="50"/>
    </row>
    <row r="100" spans="2:10" s="54" customFormat="1" ht="33" customHeight="1" x14ac:dyDescent="0.25">
      <c r="B100" s="9"/>
      <c r="C100" s="74" t="s">
        <v>46</v>
      </c>
      <c r="D100" s="9" t="s">
        <v>31</v>
      </c>
      <c r="E100" s="75">
        <v>2.016</v>
      </c>
      <c r="F100" s="45">
        <f>1.98606*1.015</f>
        <v>2.0158508999999998</v>
      </c>
      <c r="G100" s="49"/>
      <c r="H100" s="50"/>
      <c r="I100" s="50"/>
      <c r="J100" s="50"/>
    </row>
    <row r="101" spans="2:10" s="54" customFormat="1" ht="33" customHeight="1" x14ac:dyDescent="0.25">
      <c r="B101" s="9"/>
      <c r="C101" s="74" t="s">
        <v>50</v>
      </c>
      <c r="D101" s="9" t="s">
        <v>31</v>
      </c>
      <c r="E101" s="75">
        <v>0.33800000000000002</v>
      </c>
      <c r="F101" s="45">
        <f>0.33317*1.015</f>
        <v>0.33816754999999998</v>
      </c>
      <c r="G101" s="49"/>
      <c r="H101" s="50"/>
      <c r="I101" s="50"/>
      <c r="J101" s="50"/>
    </row>
    <row r="102" spans="2:10" s="77" customFormat="1" ht="33" customHeight="1" x14ac:dyDescent="0.25">
      <c r="B102" s="46"/>
      <c r="C102" s="74" t="s">
        <v>49</v>
      </c>
      <c r="D102" s="9" t="s">
        <v>31</v>
      </c>
      <c r="E102" s="75">
        <v>6.3E-2</v>
      </c>
      <c r="F102" s="45">
        <f>0.0623*1.015</f>
        <v>6.3234499999999999E-2</v>
      </c>
      <c r="G102" s="78"/>
      <c r="H102" s="79"/>
      <c r="I102" s="79"/>
      <c r="J102" s="79"/>
    </row>
    <row r="103" spans="2:10" s="54" customFormat="1" ht="33" customHeight="1" x14ac:dyDescent="0.25">
      <c r="B103" s="9"/>
      <c r="C103" s="74" t="s">
        <v>51</v>
      </c>
      <c r="D103" s="9" t="s">
        <v>31</v>
      </c>
      <c r="E103" s="52">
        <v>4.03</v>
      </c>
      <c r="F103" s="45">
        <f>3.97259*1.015</f>
        <v>4.0321788499999993</v>
      </c>
      <c r="G103" s="49"/>
      <c r="H103" s="50"/>
      <c r="I103" s="50"/>
      <c r="J103" s="50"/>
    </row>
    <row r="104" spans="2:10" s="54" customFormat="1" ht="33" customHeight="1" x14ac:dyDescent="0.25">
      <c r="B104" s="9"/>
      <c r="C104" s="74" t="s">
        <v>64</v>
      </c>
      <c r="D104" s="9" t="s">
        <v>31</v>
      </c>
      <c r="E104" s="75">
        <v>23.664000000000001</v>
      </c>
      <c r="F104" s="45">
        <f>23.3147*1.015</f>
        <v>23.664420499999995</v>
      </c>
      <c r="G104" s="49"/>
      <c r="H104" s="50"/>
      <c r="I104" s="50"/>
      <c r="J104" s="50"/>
    </row>
    <row r="105" spans="2:10" s="54" customFormat="1" ht="33" customHeight="1" x14ac:dyDescent="0.25">
      <c r="B105" s="9"/>
      <c r="C105" s="74" t="s">
        <v>61</v>
      </c>
      <c r="D105" s="9" t="s">
        <v>31</v>
      </c>
      <c r="E105" s="75">
        <v>3.1360000000000001</v>
      </c>
      <c r="F105" s="45">
        <f>3.09*1.015</f>
        <v>3.1363499999999997</v>
      </c>
      <c r="G105" s="49"/>
      <c r="H105" s="50"/>
      <c r="I105" s="50"/>
      <c r="J105" s="50"/>
    </row>
    <row r="106" spans="2:10" ht="33" customHeight="1" x14ac:dyDescent="0.25">
      <c r="B106" s="9"/>
      <c r="C106" s="33" t="s">
        <v>62</v>
      </c>
      <c r="D106" s="9" t="s">
        <v>31</v>
      </c>
      <c r="E106" s="73">
        <v>0.29399999999999998</v>
      </c>
      <c r="F106" s="45">
        <f>0.28976*1.015</f>
        <v>0.29410639999999999</v>
      </c>
      <c r="G106" s="41">
        <f>SUM(E99:E106)</f>
        <v>35.439</v>
      </c>
      <c r="H106" s="34">
        <f>(1154.82+32496.06)/1000</f>
        <v>33.650880000000008</v>
      </c>
    </row>
    <row r="107" spans="2:10" s="54" customFormat="1" ht="33" customHeight="1" x14ac:dyDescent="0.25">
      <c r="B107" s="81" t="s">
        <v>100</v>
      </c>
      <c r="C107" s="24" t="s">
        <v>99</v>
      </c>
      <c r="D107" s="9" t="s">
        <v>31</v>
      </c>
      <c r="E107" s="75">
        <f>(43.29+44.63+37.26+22.79+41.53+11.34+18*6.7)/1000</f>
        <v>0.32144</v>
      </c>
      <c r="F107" s="21"/>
      <c r="G107" s="49"/>
      <c r="H107" s="50"/>
      <c r="I107" s="50"/>
      <c r="J107" s="50"/>
    </row>
    <row r="108" spans="2:10" s="44" customFormat="1" ht="33" customHeight="1" x14ac:dyDescent="0.25">
      <c r="B108" s="17"/>
      <c r="C108" s="20" t="s">
        <v>143</v>
      </c>
      <c r="D108" s="9" t="s">
        <v>55</v>
      </c>
      <c r="E108" s="42">
        <v>20</v>
      </c>
      <c r="F108" s="83" t="s">
        <v>141</v>
      </c>
      <c r="G108" s="39"/>
      <c r="H108" s="34"/>
      <c r="I108" s="34"/>
      <c r="J108" s="34"/>
    </row>
    <row r="109" spans="2:10" s="44" customFormat="1" ht="33" customHeight="1" x14ac:dyDescent="0.25">
      <c r="B109" s="17"/>
      <c r="C109" s="33" t="s">
        <v>142</v>
      </c>
      <c r="D109" s="9" t="s">
        <v>31</v>
      </c>
      <c r="E109" s="73">
        <v>2.8000000000000001E-2</v>
      </c>
      <c r="F109" s="83"/>
      <c r="G109" s="39"/>
      <c r="H109" s="34"/>
      <c r="I109" s="34"/>
      <c r="J109" s="34"/>
    </row>
    <row r="110" spans="2:10" s="44" customFormat="1" ht="33" customHeight="1" x14ac:dyDescent="0.25">
      <c r="B110" s="17"/>
      <c r="C110" s="20" t="s">
        <v>145</v>
      </c>
      <c r="D110" s="9" t="s">
        <v>55</v>
      </c>
      <c r="E110" s="42">
        <v>2</v>
      </c>
      <c r="F110" s="83" t="s">
        <v>147</v>
      </c>
      <c r="G110" s="39"/>
      <c r="H110" s="34"/>
      <c r="I110" s="34"/>
      <c r="J110" s="34"/>
    </row>
    <row r="111" spans="2:10" s="44" customFormat="1" ht="33" customHeight="1" x14ac:dyDescent="0.25">
      <c r="B111" s="17"/>
      <c r="C111" s="33" t="s">
        <v>144</v>
      </c>
      <c r="D111" s="9" t="s">
        <v>31</v>
      </c>
      <c r="E111" s="25">
        <v>8.0000000000000004E-4</v>
      </c>
      <c r="F111" s="82"/>
      <c r="G111" s="39"/>
      <c r="H111" s="34"/>
      <c r="I111" s="34"/>
      <c r="J111" s="34"/>
    </row>
    <row r="112" spans="2:10" s="44" customFormat="1" ht="33" customHeight="1" x14ac:dyDescent="0.25">
      <c r="B112" s="17"/>
      <c r="C112" s="33" t="s">
        <v>146</v>
      </c>
      <c r="D112" s="9" t="s">
        <v>31</v>
      </c>
      <c r="E112" s="76">
        <v>6.0999999999999997E-4</v>
      </c>
      <c r="F112" s="24"/>
      <c r="G112" s="39"/>
      <c r="H112" s="34"/>
      <c r="I112" s="34"/>
      <c r="J112" s="34"/>
    </row>
    <row r="113" spans="2:10" s="44" customFormat="1" ht="33" customHeight="1" x14ac:dyDescent="0.25">
      <c r="B113" s="17"/>
      <c r="C113" s="20" t="s">
        <v>160</v>
      </c>
      <c r="D113" s="9" t="s">
        <v>55</v>
      </c>
      <c r="E113" s="42">
        <v>1</v>
      </c>
      <c r="F113" s="83" t="s">
        <v>162</v>
      </c>
      <c r="G113" s="39"/>
      <c r="H113" s="34"/>
      <c r="I113" s="34"/>
      <c r="J113" s="34"/>
    </row>
    <row r="114" spans="2:10" s="44" customFormat="1" ht="33" customHeight="1" x14ac:dyDescent="0.25">
      <c r="B114" s="17"/>
      <c r="C114" s="33" t="s">
        <v>161</v>
      </c>
      <c r="D114" s="9" t="s">
        <v>31</v>
      </c>
      <c r="E114" s="25">
        <v>8.0000000000000004E-4</v>
      </c>
      <c r="F114" s="83"/>
      <c r="G114" s="39"/>
      <c r="H114" s="34"/>
      <c r="I114" s="34"/>
      <c r="J114" s="34"/>
    </row>
    <row r="115" spans="2:10" s="44" customFormat="1" ht="33" customHeight="1" x14ac:dyDescent="0.25">
      <c r="B115" s="17"/>
      <c r="C115" s="20" t="s">
        <v>148</v>
      </c>
      <c r="D115" s="9" t="s">
        <v>31</v>
      </c>
      <c r="E115" s="25">
        <v>0.47660000000000002</v>
      </c>
      <c r="F115" s="83"/>
      <c r="G115" s="39"/>
      <c r="H115" s="34"/>
      <c r="I115" s="34"/>
      <c r="J115" s="34"/>
    </row>
    <row r="116" spans="2:10" s="44" customFormat="1" ht="33" customHeight="1" x14ac:dyDescent="0.25">
      <c r="B116" s="17"/>
      <c r="C116" s="33" t="s">
        <v>172</v>
      </c>
      <c r="D116" s="9" t="s">
        <v>55</v>
      </c>
      <c r="E116" s="42">
        <v>2</v>
      </c>
      <c r="F116" s="83" t="s">
        <v>159</v>
      </c>
      <c r="G116" s="39"/>
      <c r="H116" s="34"/>
      <c r="I116" s="34"/>
      <c r="J116" s="34"/>
    </row>
    <row r="117" spans="2:10" s="44" customFormat="1" ht="33" customHeight="1" x14ac:dyDescent="0.25">
      <c r="B117" s="17"/>
      <c r="C117" s="33" t="s">
        <v>149</v>
      </c>
      <c r="D117" s="9" t="s">
        <v>55</v>
      </c>
      <c r="E117" s="42">
        <v>2</v>
      </c>
      <c r="F117" s="83" t="s">
        <v>158</v>
      </c>
      <c r="G117" s="39"/>
      <c r="H117" s="34"/>
      <c r="I117" s="34"/>
      <c r="J117" s="34"/>
    </row>
    <row r="118" spans="2:10" s="44" customFormat="1" ht="33" customHeight="1" x14ac:dyDescent="0.25">
      <c r="B118" s="17"/>
      <c r="C118" s="33" t="s">
        <v>150</v>
      </c>
      <c r="D118" s="9" t="s">
        <v>55</v>
      </c>
      <c r="E118" s="42">
        <v>6</v>
      </c>
      <c r="F118" s="83" t="s">
        <v>157</v>
      </c>
      <c r="G118" s="39"/>
      <c r="H118" s="34"/>
      <c r="I118" s="34"/>
      <c r="J118" s="34"/>
    </row>
    <row r="119" spans="2:10" s="44" customFormat="1" ht="33" customHeight="1" x14ac:dyDescent="0.25">
      <c r="B119" s="17"/>
      <c r="C119" s="33" t="s">
        <v>153</v>
      </c>
      <c r="D119" s="9" t="s">
        <v>55</v>
      </c>
      <c r="E119" s="42">
        <v>2</v>
      </c>
      <c r="F119" s="83" t="s">
        <v>156</v>
      </c>
      <c r="G119" s="39"/>
      <c r="H119" s="34"/>
      <c r="I119" s="34"/>
      <c r="J119" s="34"/>
    </row>
    <row r="120" spans="2:10" s="44" customFormat="1" ht="33" customHeight="1" x14ac:dyDescent="0.25">
      <c r="B120" s="17"/>
      <c r="C120" s="33" t="s">
        <v>152</v>
      </c>
      <c r="D120" s="9" t="s">
        <v>55</v>
      </c>
      <c r="E120" s="42">
        <v>4</v>
      </c>
      <c r="F120" s="83" t="s">
        <v>155</v>
      </c>
      <c r="G120" s="39"/>
      <c r="H120" s="34"/>
      <c r="I120" s="34"/>
      <c r="J120" s="34"/>
    </row>
    <row r="121" spans="2:10" s="44" customFormat="1" ht="33" customHeight="1" x14ac:dyDescent="0.25">
      <c r="B121" s="17"/>
      <c r="C121" s="33" t="s">
        <v>151</v>
      </c>
      <c r="D121" s="9" t="s">
        <v>55</v>
      </c>
      <c r="E121" s="42">
        <v>14</v>
      </c>
      <c r="F121" s="83" t="s">
        <v>154</v>
      </c>
      <c r="G121" s="39"/>
      <c r="H121" s="34"/>
      <c r="I121" s="34"/>
      <c r="J121" s="34"/>
    </row>
    <row r="122" spans="2:10" ht="35.1" customHeight="1" x14ac:dyDescent="0.25">
      <c r="B122" s="17"/>
      <c r="C122" s="19" t="s">
        <v>59</v>
      </c>
      <c r="D122" s="9"/>
      <c r="E122" s="27"/>
      <c r="F122" s="45"/>
    </row>
    <row r="123" spans="2:10" s="54" customFormat="1" ht="33" customHeight="1" x14ac:dyDescent="0.25">
      <c r="B123" s="9">
        <v>1</v>
      </c>
      <c r="C123" s="24" t="s">
        <v>10</v>
      </c>
      <c r="D123" s="9" t="s">
        <v>1</v>
      </c>
      <c r="E123" s="52">
        <v>616.44000000000005</v>
      </c>
      <c r="F123" s="45">
        <f>560.4*1.1</f>
        <v>616.44000000000005</v>
      </c>
      <c r="G123" s="49"/>
      <c r="H123" s="50"/>
      <c r="I123" s="50"/>
      <c r="J123" s="50"/>
    </row>
    <row r="124" spans="2:10" s="54" customFormat="1" ht="33" customHeight="1" x14ac:dyDescent="0.25">
      <c r="B124" s="9"/>
      <c r="C124" s="74" t="s">
        <v>34</v>
      </c>
      <c r="D124" s="9" t="s">
        <v>1</v>
      </c>
      <c r="E124" s="52">
        <v>616.44000000000005</v>
      </c>
      <c r="F124" s="45"/>
      <c r="G124" s="49"/>
      <c r="H124" s="50"/>
      <c r="I124" s="50"/>
      <c r="J124" s="50"/>
    </row>
    <row r="125" spans="2:10" s="54" customFormat="1" ht="33" customHeight="1" x14ac:dyDescent="0.25">
      <c r="B125" s="9">
        <v>2</v>
      </c>
      <c r="C125" s="24" t="s">
        <v>84</v>
      </c>
      <c r="D125" s="9" t="s">
        <v>1</v>
      </c>
      <c r="E125" s="52">
        <v>616.44000000000005</v>
      </c>
      <c r="F125" s="45">
        <f>560.4*1.1</f>
        <v>616.44000000000005</v>
      </c>
      <c r="G125" s="49"/>
      <c r="H125" s="50"/>
      <c r="I125" s="50"/>
      <c r="J125" s="50"/>
    </row>
    <row r="126" spans="2:10" s="54" customFormat="1" ht="33" customHeight="1" x14ac:dyDescent="0.25">
      <c r="B126" s="9"/>
      <c r="C126" s="74" t="s">
        <v>164</v>
      </c>
      <c r="D126" s="9" t="s">
        <v>31</v>
      </c>
      <c r="E126" s="75">
        <v>0.154</v>
      </c>
      <c r="F126" s="45" t="s">
        <v>163</v>
      </c>
      <c r="G126" s="49"/>
      <c r="H126" s="50"/>
      <c r="I126" s="50"/>
      <c r="J126" s="50"/>
    </row>
    <row r="127" spans="2:10" s="54" customFormat="1" ht="33" customHeight="1" x14ac:dyDescent="0.25">
      <c r="B127" s="9">
        <v>3</v>
      </c>
      <c r="C127" s="24" t="s">
        <v>85</v>
      </c>
      <c r="D127" s="9" t="s">
        <v>1</v>
      </c>
      <c r="E127" s="52">
        <v>560.4</v>
      </c>
      <c r="F127" s="45"/>
      <c r="G127" s="49">
        <f>E127*3</f>
        <v>1681.1999999999998</v>
      </c>
      <c r="H127" s="50"/>
      <c r="I127" s="50"/>
      <c r="J127" s="50"/>
    </row>
    <row r="128" spans="2:10" s="54" customFormat="1" ht="33" customHeight="1" x14ac:dyDescent="0.25">
      <c r="B128" s="9"/>
      <c r="C128" s="74" t="s">
        <v>165</v>
      </c>
      <c r="D128" s="9" t="s">
        <v>1</v>
      </c>
      <c r="E128" s="52">
        <v>1933.38</v>
      </c>
      <c r="F128" s="45">
        <f>(1245+436.2)*1.15</f>
        <v>1933.3799999999999</v>
      </c>
      <c r="G128" s="49"/>
      <c r="H128" s="50"/>
      <c r="I128" s="50"/>
      <c r="J128" s="50"/>
    </row>
    <row r="129" spans="2:10" s="54" customFormat="1" ht="33" customHeight="1" x14ac:dyDescent="0.25">
      <c r="B129" s="9">
        <v>4</v>
      </c>
      <c r="C129" s="24" t="s">
        <v>35</v>
      </c>
      <c r="D129" s="9" t="s">
        <v>6</v>
      </c>
      <c r="E129" s="52">
        <v>164.8</v>
      </c>
      <c r="F129" s="45">
        <f>131.8+33</f>
        <v>164.8</v>
      </c>
      <c r="G129" s="49"/>
      <c r="H129" s="50"/>
      <c r="I129" s="50"/>
      <c r="J129" s="50"/>
    </row>
    <row r="130" spans="2:10" s="54" customFormat="1" ht="33" customHeight="1" x14ac:dyDescent="0.25">
      <c r="B130" s="9"/>
      <c r="C130" s="74" t="s">
        <v>36</v>
      </c>
      <c r="D130" s="9" t="s">
        <v>6</v>
      </c>
      <c r="E130" s="52">
        <f>131.8+33</f>
        <v>164.8</v>
      </c>
      <c r="F130" s="21"/>
      <c r="G130" s="49"/>
      <c r="H130" s="50"/>
      <c r="I130" s="50"/>
      <c r="J130" s="50"/>
    </row>
    <row r="131" spans="2:10" ht="35.1" customHeight="1" x14ac:dyDescent="0.25">
      <c r="B131" s="9"/>
      <c r="C131" s="26" t="s">
        <v>166</v>
      </c>
      <c r="D131" s="9"/>
      <c r="E131" s="10"/>
      <c r="F131" s="21"/>
    </row>
    <row r="132" spans="2:10" s="54" customFormat="1" ht="33" customHeight="1" x14ac:dyDescent="0.25">
      <c r="B132" s="9">
        <v>1</v>
      </c>
      <c r="C132" s="24" t="s">
        <v>167</v>
      </c>
      <c r="D132" s="9" t="s">
        <v>6</v>
      </c>
      <c r="E132" s="52">
        <v>20.79</v>
      </c>
      <c r="F132" s="21"/>
      <c r="G132" s="49"/>
      <c r="H132" s="50"/>
      <c r="I132" s="50"/>
      <c r="J132" s="50"/>
    </row>
    <row r="133" spans="2:10" s="54" customFormat="1" ht="33" customHeight="1" x14ac:dyDescent="0.25">
      <c r="B133" s="9"/>
      <c r="C133" s="74" t="s">
        <v>25</v>
      </c>
      <c r="D133" s="9" t="s">
        <v>5</v>
      </c>
      <c r="E133" s="52">
        <v>15840</v>
      </c>
      <c r="F133" s="21"/>
      <c r="G133" s="49"/>
      <c r="H133" s="50"/>
      <c r="I133" s="50"/>
      <c r="J133" s="50"/>
    </row>
    <row r="134" spans="2:10" s="54" customFormat="1" ht="33" customHeight="1" x14ac:dyDescent="0.25">
      <c r="B134" s="9">
        <v>2</v>
      </c>
      <c r="C134" s="24" t="s">
        <v>22</v>
      </c>
      <c r="D134" s="9" t="s">
        <v>6</v>
      </c>
      <c r="E134" s="52">
        <v>20.79</v>
      </c>
      <c r="F134" s="21"/>
      <c r="G134" s="49"/>
      <c r="H134" s="50"/>
      <c r="I134" s="50"/>
      <c r="J134" s="50"/>
    </row>
    <row r="135" spans="2:10" s="54" customFormat="1" ht="33" customHeight="1" x14ac:dyDescent="0.25">
      <c r="B135" s="9"/>
      <c r="C135" s="74" t="s">
        <v>66</v>
      </c>
      <c r="D135" s="9" t="s">
        <v>6</v>
      </c>
      <c r="E135" s="52">
        <v>20.79</v>
      </c>
      <c r="F135" s="21"/>
      <c r="G135" s="49"/>
      <c r="H135" s="50"/>
      <c r="I135" s="50"/>
      <c r="J135" s="50"/>
    </row>
    <row r="136" spans="2:10" s="54" customFormat="1" ht="33" customHeight="1" x14ac:dyDescent="0.25">
      <c r="B136" s="9">
        <v>3</v>
      </c>
      <c r="C136" s="24" t="s">
        <v>11</v>
      </c>
      <c r="D136" s="9" t="s">
        <v>0</v>
      </c>
      <c r="E136" s="52">
        <v>0.08</v>
      </c>
      <c r="F136" s="21"/>
      <c r="G136" s="49"/>
      <c r="H136" s="50"/>
      <c r="I136" s="50"/>
      <c r="J136" s="50"/>
    </row>
    <row r="137" spans="2:10" s="54" customFormat="1" ht="33" customHeight="1" x14ac:dyDescent="0.25">
      <c r="B137" s="9"/>
      <c r="C137" s="74" t="s">
        <v>26</v>
      </c>
      <c r="D137" s="9" t="s">
        <v>0</v>
      </c>
      <c r="E137" s="43">
        <v>8.1600000000000006E-2</v>
      </c>
      <c r="F137" s="21"/>
      <c r="G137" s="49"/>
      <c r="H137" s="50"/>
      <c r="I137" s="50"/>
      <c r="J137" s="50"/>
    </row>
    <row r="138" spans="2:10" s="54" customFormat="1" ht="33" customHeight="1" x14ac:dyDescent="0.25">
      <c r="B138" s="9">
        <v>4</v>
      </c>
      <c r="C138" s="24" t="s">
        <v>12</v>
      </c>
      <c r="D138" s="9" t="s">
        <v>6</v>
      </c>
      <c r="E138" s="52">
        <v>20.79</v>
      </c>
      <c r="F138" s="21"/>
      <c r="G138" s="49"/>
      <c r="H138" s="50"/>
      <c r="I138" s="50"/>
      <c r="J138" s="50"/>
    </row>
    <row r="139" spans="2:10" s="54" customFormat="1" ht="33" customHeight="1" x14ac:dyDescent="0.25">
      <c r="B139" s="9"/>
      <c r="C139" s="74" t="s">
        <v>27</v>
      </c>
      <c r="D139" s="9" t="s">
        <v>6</v>
      </c>
      <c r="E139" s="52">
        <v>20.79</v>
      </c>
      <c r="F139" s="21"/>
      <c r="G139" s="49"/>
      <c r="H139" s="50"/>
      <c r="I139" s="50"/>
      <c r="J139" s="50"/>
    </row>
    <row r="140" spans="2:10" s="54" customFormat="1" ht="33" customHeight="1" x14ac:dyDescent="0.25">
      <c r="B140" s="9">
        <v>5</v>
      </c>
      <c r="C140" s="24" t="s">
        <v>168</v>
      </c>
      <c r="D140" s="9" t="s">
        <v>1</v>
      </c>
      <c r="E140" s="52">
        <v>8.4</v>
      </c>
      <c r="F140" s="45">
        <f>8.4*1.1</f>
        <v>9.240000000000002</v>
      </c>
      <c r="G140" s="49"/>
      <c r="H140" s="50"/>
      <c r="I140" s="50"/>
      <c r="J140" s="50"/>
    </row>
    <row r="141" spans="2:10" s="54" customFormat="1" ht="33" customHeight="1" x14ac:dyDescent="0.25">
      <c r="B141" s="9"/>
      <c r="C141" s="74" t="s">
        <v>56</v>
      </c>
      <c r="D141" s="9" t="s">
        <v>1</v>
      </c>
      <c r="E141" s="52">
        <v>9.24</v>
      </c>
      <c r="F141" s="45"/>
      <c r="G141" s="49"/>
      <c r="H141" s="50"/>
      <c r="I141" s="50"/>
      <c r="J141" s="50"/>
    </row>
    <row r="142" spans="2:10" s="54" customFormat="1" ht="33" customHeight="1" x14ac:dyDescent="0.25">
      <c r="B142" s="9">
        <v>6</v>
      </c>
      <c r="C142" s="24" t="s">
        <v>13</v>
      </c>
      <c r="D142" s="9" t="s">
        <v>1</v>
      </c>
      <c r="E142" s="52">
        <v>14.3</v>
      </c>
      <c r="F142" s="45">
        <f>14.3*1.15</f>
        <v>16.445</v>
      </c>
      <c r="G142" s="49"/>
      <c r="H142" s="50"/>
      <c r="I142" s="50"/>
      <c r="J142" s="50"/>
    </row>
    <row r="143" spans="2:10" s="54" customFormat="1" ht="33" customHeight="1" x14ac:dyDescent="0.25">
      <c r="B143" s="9"/>
      <c r="C143" s="74" t="s">
        <v>37</v>
      </c>
      <c r="D143" s="9" t="s">
        <v>1</v>
      </c>
      <c r="E143" s="52">
        <v>16.445</v>
      </c>
      <c r="F143" s="45"/>
      <c r="G143" s="49"/>
      <c r="H143" s="50"/>
      <c r="I143" s="50"/>
      <c r="J143" s="50"/>
    </row>
    <row r="144" spans="2:10" s="54" customFormat="1" ht="33" customHeight="1" x14ac:dyDescent="0.25">
      <c r="B144" s="9">
        <v>7</v>
      </c>
      <c r="C144" s="24" t="s">
        <v>14</v>
      </c>
      <c r="D144" s="9" t="s">
        <v>1</v>
      </c>
      <c r="E144" s="52">
        <v>9.9</v>
      </c>
      <c r="F144" s="45">
        <f>9.9*1.15</f>
        <v>11.385</v>
      </c>
      <c r="G144" s="49"/>
      <c r="H144" s="50"/>
      <c r="I144" s="50"/>
      <c r="J144" s="50"/>
    </row>
    <row r="145" spans="2:10" s="54" customFormat="1" ht="33" customHeight="1" x14ac:dyDescent="0.25">
      <c r="B145" s="9"/>
      <c r="C145" s="74" t="s">
        <v>38</v>
      </c>
      <c r="D145" s="9" t="s">
        <v>1</v>
      </c>
      <c r="E145" s="52">
        <v>11.385</v>
      </c>
      <c r="F145" s="21"/>
      <c r="G145" s="49"/>
      <c r="H145" s="50"/>
      <c r="I145" s="50"/>
      <c r="J145" s="50"/>
    </row>
    <row r="146" spans="2:10" s="54" customFormat="1" ht="33" customHeight="1" x14ac:dyDescent="0.25">
      <c r="B146" s="9">
        <v>8</v>
      </c>
      <c r="C146" s="24" t="s">
        <v>9</v>
      </c>
      <c r="D146" s="9" t="s">
        <v>6</v>
      </c>
      <c r="E146" s="52">
        <v>20.79</v>
      </c>
      <c r="F146" s="21"/>
      <c r="G146" s="49"/>
      <c r="H146" s="50"/>
      <c r="I146" s="50"/>
      <c r="J146" s="50"/>
    </row>
    <row r="147" spans="2:10" s="54" customFormat="1" ht="33" customHeight="1" x14ac:dyDescent="0.25">
      <c r="B147" s="9"/>
      <c r="C147" s="74" t="s">
        <v>67</v>
      </c>
      <c r="D147" s="9" t="s">
        <v>6</v>
      </c>
      <c r="E147" s="52">
        <v>20.79</v>
      </c>
      <c r="F147" s="21"/>
      <c r="G147" s="49"/>
      <c r="H147" s="50"/>
      <c r="I147" s="50"/>
      <c r="J147" s="50"/>
    </row>
    <row r="148" spans="2:10" ht="35.1" customHeight="1" x14ac:dyDescent="0.25">
      <c r="B148" s="17"/>
      <c r="C148" s="26" t="s">
        <v>169</v>
      </c>
      <c r="D148" s="9"/>
      <c r="E148" s="10"/>
      <c r="F148" s="21"/>
    </row>
    <row r="149" spans="2:10" s="54" customFormat="1" ht="33" customHeight="1" x14ac:dyDescent="0.25">
      <c r="B149" s="9">
        <v>1</v>
      </c>
      <c r="C149" s="24" t="s">
        <v>96</v>
      </c>
      <c r="D149" s="9" t="s">
        <v>0</v>
      </c>
      <c r="E149" s="52">
        <f>533+2.6+4.5+4.2+8.6+2.4+4+3+8.6+2.3</f>
        <v>573.20000000000005</v>
      </c>
      <c r="F149" s="21"/>
      <c r="G149" s="49"/>
      <c r="H149" s="50"/>
      <c r="I149" s="50"/>
      <c r="J149" s="50"/>
    </row>
    <row r="150" spans="2:10" s="54" customFormat="1" ht="33" customHeight="1" x14ac:dyDescent="0.25">
      <c r="B150" s="9"/>
      <c r="C150" s="74" t="s">
        <v>33</v>
      </c>
      <c r="D150" s="9" t="s">
        <v>0</v>
      </c>
      <c r="E150" s="52">
        <f>E149*1.015</f>
        <v>581.798</v>
      </c>
      <c r="F150" s="21"/>
      <c r="G150" s="49"/>
      <c r="H150" s="50"/>
      <c r="I150" s="50"/>
      <c r="J150" s="50"/>
    </row>
    <row r="151" spans="2:10" s="54" customFormat="1" ht="33" customHeight="1" x14ac:dyDescent="0.25">
      <c r="B151" s="9"/>
      <c r="C151" s="74" t="s">
        <v>47</v>
      </c>
      <c r="D151" s="9" t="s">
        <v>31</v>
      </c>
      <c r="E151" s="43">
        <f>166.91/1000</f>
        <v>0.16691</v>
      </c>
      <c r="F151" s="45">
        <f>0.104*1.015</f>
        <v>0.10555999999999999</v>
      </c>
      <c r="G151" s="49"/>
      <c r="H151" s="50"/>
      <c r="I151" s="50"/>
      <c r="J151" s="50"/>
    </row>
    <row r="152" spans="2:10" s="54" customFormat="1" ht="33" customHeight="1" x14ac:dyDescent="0.25">
      <c r="B152" s="9"/>
      <c r="C152" s="74" t="s">
        <v>49</v>
      </c>
      <c r="D152" s="9" t="s">
        <v>31</v>
      </c>
      <c r="E152" s="43">
        <v>0.52170000000000005</v>
      </c>
      <c r="F152" s="45">
        <f>0.514*1.015</f>
        <v>0.52171000000000001</v>
      </c>
      <c r="G152" s="49"/>
      <c r="H152" s="50"/>
      <c r="I152" s="50"/>
      <c r="J152" s="50"/>
    </row>
    <row r="153" spans="2:10" s="54" customFormat="1" ht="33" customHeight="1" x14ac:dyDescent="0.25">
      <c r="B153" s="9"/>
      <c r="C153" s="74" t="s">
        <v>50</v>
      </c>
      <c r="D153" s="9" t="s">
        <v>31</v>
      </c>
      <c r="E153" s="75">
        <v>0.20899999999999999</v>
      </c>
      <c r="F153" s="45">
        <f>0.20566*1.015</f>
        <v>0.20874489999999998</v>
      </c>
      <c r="G153" s="49"/>
      <c r="H153" s="50"/>
      <c r="I153" s="50"/>
      <c r="J153" s="50"/>
    </row>
    <row r="154" spans="2:10" s="54" customFormat="1" ht="33" customHeight="1" x14ac:dyDescent="0.25">
      <c r="B154" s="9"/>
      <c r="C154" s="74" t="s">
        <v>51</v>
      </c>
      <c r="D154" s="9" t="s">
        <v>31</v>
      </c>
      <c r="E154" s="75">
        <v>5.6420000000000003</v>
      </c>
      <c r="F154" s="45">
        <f>5.55855*1.015</f>
        <v>5.6419282499999994</v>
      </c>
      <c r="G154" s="49"/>
      <c r="H154" s="50"/>
      <c r="I154" s="50"/>
      <c r="J154" s="50"/>
    </row>
    <row r="155" spans="2:10" s="54" customFormat="1" ht="33" customHeight="1" x14ac:dyDescent="0.25">
      <c r="B155" s="9"/>
      <c r="C155" s="74" t="s">
        <v>64</v>
      </c>
      <c r="D155" s="9" t="s">
        <v>31</v>
      </c>
      <c r="E155" s="75">
        <v>0.65800000000000003</v>
      </c>
      <c r="F155" s="45">
        <f>0.6482*1.015</f>
        <v>0.65792299999999992</v>
      </c>
      <c r="G155" s="49"/>
      <c r="H155" s="50"/>
      <c r="I155" s="50"/>
      <c r="J155" s="50"/>
    </row>
    <row r="156" spans="2:10" s="54" customFormat="1" ht="33" customHeight="1" x14ac:dyDescent="0.25">
      <c r="B156" s="9"/>
      <c r="C156" s="74" t="s">
        <v>62</v>
      </c>
      <c r="D156" s="9" t="s">
        <v>31</v>
      </c>
      <c r="E156" s="75">
        <v>94.762</v>
      </c>
      <c r="F156" s="45">
        <f>93.362*1.015</f>
        <v>94.762429999999981</v>
      </c>
      <c r="G156" s="84">
        <f>SUM(E151:E156)</f>
        <v>101.95961</v>
      </c>
      <c r="H156" s="50">
        <f>106307.06/1000</f>
        <v>106.30705999999999</v>
      </c>
      <c r="I156" s="50"/>
      <c r="J156" s="50"/>
    </row>
    <row r="157" spans="2:10" s="54" customFormat="1" ht="33" customHeight="1" x14ac:dyDescent="0.25">
      <c r="B157" s="9"/>
      <c r="C157" s="74" t="s">
        <v>68</v>
      </c>
      <c r="D157" s="9" t="s">
        <v>55</v>
      </c>
      <c r="E157" s="52">
        <v>1460</v>
      </c>
      <c r="F157" s="45" t="s">
        <v>86</v>
      </c>
      <c r="G157" s="49"/>
      <c r="H157" s="50"/>
      <c r="I157" s="50"/>
      <c r="J157" s="50"/>
    </row>
    <row r="158" spans="2:10" s="44" customFormat="1" ht="33" customHeight="1" x14ac:dyDescent="0.25">
      <c r="B158" s="17">
        <v>2</v>
      </c>
      <c r="C158" s="20" t="s">
        <v>170</v>
      </c>
      <c r="D158" s="9" t="s">
        <v>55</v>
      </c>
      <c r="E158" s="42">
        <v>1</v>
      </c>
      <c r="F158" s="83"/>
      <c r="G158" s="39"/>
      <c r="H158" s="34"/>
      <c r="I158" s="34"/>
      <c r="J158" s="34"/>
    </row>
    <row r="159" spans="2:10" s="54" customFormat="1" ht="33" customHeight="1" x14ac:dyDescent="0.25">
      <c r="B159" s="9"/>
      <c r="C159" s="74" t="s">
        <v>171</v>
      </c>
      <c r="D159" s="9" t="s">
        <v>31</v>
      </c>
      <c r="E159" s="43">
        <v>2.1399999999999999E-2</v>
      </c>
      <c r="F159" s="45"/>
      <c r="G159" s="84"/>
      <c r="H159" s="50"/>
      <c r="I159" s="50"/>
      <c r="J159" s="50"/>
    </row>
    <row r="160" spans="2:10" s="54" customFormat="1" ht="42.75" x14ac:dyDescent="0.25">
      <c r="B160" s="9"/>
      <c r="C160" s="74" t="s">
        <v>195</v>
      </c>
      <c r="D160" s="9" t="s">
        <v>196</v>
      </c>
      <c r="E160" s="85">
        <v>0.6</v>
      </c>
      <c r="F160" s="45" t="s">
        <v>197</v>
      </c>
      <c r="G160" s="84"/>
      <c r="H160" s="50"/>
      <c r="I160" s="50"/>
      <c r="J160" s="50"/>
    </row>
    <row r="161" spans="2:10" s="54" customFormat="1" ht="33" customHeight="1" x14ac:dyDescent="0.25">
      <c r="B161" s="9">
        <v>3</v>
      </c>
      <c r="C161" s="24" t="s">
        <v>174</v>
      </c>
      <c r="D161" s="9" t="s">
        <v>55</v>
      </c>
      <c r="E161" s="52">
        <v>520</v>
      </c>
      <c r="F161" s="45" t="s">
        <v>173</v>
      </c>
      <c r="G161" s="49"/>
      <c r="H161" s="50"/>
      <c r="I161" s="50"/>
      <c r="J161" s="50"/>
    </row>
    <row r="162" spans="2:10" s="54" customFormat="1" ht="33" customHeight="1" x14ac:dyDescent="0.25">
      <c r="B162" s="9"/>
      <c r="C162" s="74" t="s">
        <v>175</v>
      </c>
      <c r="D162" s="9" t="s">
        <v>31</v>
      </c>
      <c r="E162" s="43">
        <v>2.4024000000000001</v>
      </c>
      <c r="F162" s="45">
        <f>7*0.66*520</f>
        <v>2402.4</v>
      </c>
      <c r="G162" s="84"/>
      <c r="H162" s="50"/>
      <c r="I162" s="50"/>
      <c r="J162" s="50"/>
    </row>
    <row r="163" spans="2:10" s="54" customFormat="1" ht="33" customHeight="1" x14ac:dyDescent="0.25">
      <c r="B163" s="9"/>
      <c r="C163" s="74" t="s">
        <v>176</v>
      </c>
      <c r="D163" s="9" t="s">
        <v>31</v>
      </c>
      <c r="E163" s="43">
        <v>0.61360000000000003</v>
      </c>
      <c r="F163" s="45">
        <f>0.59*2*520</f>
        <v>613.6</v>
      </c>
      <c r="G163" s="84"/>
      <c r="H163" s="50"/>
      <c r="I163" s="50"/>
      <c r="J163" s="50"/>
    </row>
    <row r="164" spans="2:10" s="54" customFormat="1" ht="33" customHeight="1" x14ac:dyDescent="0.25">
      <c r="B164" s="9">
        <v>4</v>
      </c>
      <c r="C164" s="24" t="s">
        <v>177</v>
      </c>
      <c r="D164" s="9" t="s">
        <v>55</v>
      </c>
      <c r="E164" s="52">
        <v>36</v>
      </c>
      <c r="F164" s="45" t="s">
        <v>173</v>
      </c>
      <c r="G164" s="49"/>
      <c r="H164" s="50"/>
      <c r="I164" s="50"/>
      <c r="J164" s="50"/>
    </row>
    <row r="165" spans="2:10" s="54" customFormat="1" ht="33" customHeight="1" x14ac:dyDescent="0.25">
      <c r="B165" s="9"/>
      <c r="C165" s="74" t="s">
        <v>178</v>
      </c>
      <c r="D165" s="9" t="s">
        <v>31</v>
      </c>
      <c r="E165" s="43">
        <v>0.121</v>
      </c>
      <c r="F165" s="45">
        <f>7*0.48*36</f>
        <v>120.96</v>
      </c>
      <c r="G165" s="84"/>
      <c r="H165" s="50"/>
      <c r="I165" s="50"/>
      <c r="J165" s="50"/>
    </row>
    <row r="166" spans="2:10" s="54" customFormat="1" ht="33" customHeight="1" x14ac:dyDescent="0.25">
      <c r="B166" s="9"/>
      <c r="C166" s="74" t="s">
        <v>183</v>
      </c>
      <c r="D166" s="9" t="s">
        <v>31</v>
      </c>
      <c r="E166" s="43">
        <v>4.2500000000000003E-2</v>
      </c>
      <c r="F166" s="45">
        <f>0.59*2*36</f>
        <v>42.48</v>
      </c>
      <c r="G166" s="84"/>
      <c r="H166" s="50"/>
      <c r="I166" s="50"/>
      <c r="J166" s="50"/>
    </row>
    <row r="167" spans="2:10" s="54" customFormat="1" ht="33" customHeight="1" x14ac:dyDescent="0.25">
      <c r="B167" s="9">
        <v>5</v>
      </c>
      <c r="C167" s="24" t="s">
        <v>179</v>
      </c>
      <c r="D167" s="9" t="s">
        <v>180</v>
      </c>
      <c r="E167" s="52">
        <v>421.2</v>
      </c>
      <c r="F167" s="45" t="s">
        <v>181</v>
      </c>
      <c r="G167" s="49"/>
      <c r="H167" s="50"/>
      <c r="I167" s="50"/>
      <c r="J167" s="50"/>
    </row>
    <row r="168" spans="2:10" s="54" customFormat="1" ht="33" customHeight="1" x14ac:dyDescent="0.25">
      <c r="B168" s="9"/>
      <c r="C168" s="74" t="s">
        <v>178</v>
      </c>
      <c r="D168" s="9" t="s">
        <v>31</v>
      </c>
      <c r="E168" s="75">
        <v>1.125</v>
      </c>
      <c r="F168" s="45">
        <f>3*0.89*421.2</f>
        <v>1124.604</v>
      </c>
      <c r="G168" s="84"/>
      <c r="H168" s="50"/>
      <c r="I168" s="50"/>
      <c r="J168" s="50"/>
    </row>
    <row r="169" spans="2:10" s="54" customFormat="1" ht="33" customHeight="1" x14ac:dyDescent="0.25">
      <c r="B169" s="9"/>
      <c r="C169" s="74" t="s">
        <v>182</v>
      </c>
      <c r="D169" s="9" t="s">
        <v>31</v>
      </c>
      <c r="E169" s="75">
        <v>1.415</v>
      </c>
      <c r="F169" s="45">
        <f>0.56*6*421.2</f>
        <v>1415.2320000000002</v>
      </c>
      <c r="G169" s="84"/>
      <c r="H169" s="50"/>
      <c r="I169" s="50"/>
      <c r="J169" s="50"/>
    </row>
    <row r="170" spans="2:10" s="54" customFormat="1" ht="33" customHeight="1" x14ac:dyDescent="0.25">
      <c r="B170" s="9"/>
      <c r="C170" s="74" t="s">
        <v>184</v>
      </c>
      <c r="D170" s="9" t="s">
        <v>31</v>
      </c>
      <c r="E170" s="75">
        <v>0.223</v>
      </c>
      <c r="F170" s="45">
        <f>0.53*1*421.2</f>
        <v>223.23600000000002</v>
      </c>
      <c r="G170" s="84"/>
      <c r="H170" s="50"/>
      <c r="I170" s="50"/>
      <c r="J170" s="50"/>
    </row>
    <row r="171" spans="2:10" s="54" customFormat="1" ht="35.1" customHeight="1" x14ac:dyDescent="0.25">
      <c r="B171" s="9"/>
      <c r="C171" s="26" t="s">
        <v>189</v>
      </c>
      <c r="D171" s="9"/>
      <c r="E171" s="52"/>
      <c r="F171" s="21"/>
      <c r="G171" s="49"/>
      <c r="H171" s="50"/>
      <c r="I171" s="50"/>
      <c r="J171" s="50"/>
    </row>
    <row r="172" spans="2:10" s="54" customFormat="1" ht="33" customHeight="1" x14ac:dyDescent="0.25">
      <c r="B172" s="9">
        <v>1</v>
      </c>
      <c r="C172" s="21" t="s">
        <v>21</v>
      </c>
      <c r="D172" s="9" t="s">
        <v>0</v>
      </c>
      <c r="E172" s="52">
        <v>4.4000000000000004</v>
      </c>
      <c r="F172" s="21"/>
      <c r="G172" s="49"/>
      <c r="H172" s="50"/>
      <c r="I172" s="50"/>
      <c r="J172" s="50"/>
    </row>
    <row r="173" spans="2:10" s="54" customFormat="1" ht="33" customHeight="1" x14ac:dyDescent="0.25">
      <c r="B173" s="9"/>
      <c r="C173" s="74" t="s">
        <v>190</v>
      </c>
      <c r="D173" s="9" t="s">
        <v>0</v>
      </c>
      <c r="E173" s="52">
        <f>E172*1.02</f>
        <v>4.4880000000000004</v>
      </c>
      <c r="F173" s="21"/>
      <c r="G173" s="49"/>
      <c r="H173" s="50"/>
      <c r="I173" s="50"/>
      <c r="J173" s="50"/>
    </row>
    <row r="174" spans="2:10" s="54" customFormat="1" ht="33" customHeight="1" x14ac:dyDescent="0.25">
      <c r="B174" s="9">
        <v>2</v>
      </c>
      <c r="C174" s="24" t="s">
        <v>84</v>
      </c>
      <c r="D174" s="9" t="s">
        <v>1</v>
      </c>
      <c r="E174" s="52">
        <v>42.6</v>
      </c>
      <c r="F174" s="21"/>
      <c r="G174" s="49"/>
      <c r="H174" s="50"/>
      <c r="I174" s="50"/>
      <c r="J174" s="50"/>
    </row>
    <row r="175" spans="2:10" s="54" customFormat="1" ht="33" customHeight="1" x14ac:dyDescent="0.25">
      <c r="B175" s="9"/>
      <c r="C175" s="74" t="s">
        <v>164</v>
      </c>
      <c r="D175" s="9" t="s">
        <v>45</v>
      </c>
      <c r="E175" s="52">
        <f>E174*0.25</f>
        <v>10.65</v>
      </c>
      <c r="F175" s="45" t="s">
        <v>163</v>
      </c>
      <c r="G175" s="49"/>
      <c r="H175" s="50"/>
      <c r="I175" s="50"/>
      <c r="J175" s="50"/>
    </row>
    <row r="176" spans="2:10" s="54" customFormat="1" ht="33" customHeight="1" x14ac:dyDescent="0.25">
      <c r="B176" s="9">
        <v>3</v>
      </c>
      <c r="C176" s="24" t="s">
        <v>85</v>
      </c>
      <c r="D176" s="9" t="s">
        <v>1</v>
      </c>
      <c r="E176" s="52">
        <v>42.6</v>
      </c>
      <c r="F176" s="21"/>
      <c r="G176" s="49"/>
      <c r="H176" s="50"/>
      <c r="I176" s="50"/>
      <c r="J176" s="50"/>
    </row>
    <row r="177" spans="2:10" s="54" customFormat="1" ht="33" customHeight="1" x14ac:dyDescent="0.25">
      <c r="B177" s="9"/>
      <c r="C177" s="74" t="s">
        <v>123</v>
      </c>
      <c r="D177" s="9" t="s">
        <v>1</v>
      </c>
      <c r="E177" s="52">
        <f>E176*3*1.15</f>
        <v>146.97</v>
      </c>
      <c r="F177" s="21"/>
      <c r="G177" s="49"/>
      <c r="H177" s="50"/>
      <c r="I177" s="50"/>
      <c r="J177" s="50"/>
    </row>
    <row r="178" spans="2:10" s="54" customFormat="1" ht="33" customHeight="1" x14ac:dyDescent="0.25">
      <c r="B178" s="9">
        <v>4</v>
      </c>
      <c r="C178" s="24" t="s">
        <v>4</v>
      </c>
      <c r="D178" s="9" t="s">
        <v>0</v>
      </c>
      <c r="E178" s="52">
        <v>42.6</v>
      </c>
      <c r="F178" s="21"/>
      <c r="G178" s="49"/>
      <c r="H178" s="50"/>
      <c r="I178" s="50"/>
      <c r="J178" s="50"/>
    </row>
    <row r="179" spans="2:10" s="54" customFormat="1" ht="33" customHeight="1" x14ac:dyDescent="0.25">
      <c r="B179" s="9"/>
      <c r="C179" s="74" t="s">
        <v>185</v>
      </c>
      <c r="D179" s="9" t="s">
        <v>0</v>
      </c>
      <c r="E179" s="52">
        <f>E178*1.02</f>
        <v>43.452000000000005</v>
      </c>
      <c r="F179" s="21"/>
      <c r="G179" s="49"/>
      <c r="H179" s="50"/>
      <c r="I179" s="50"/>
      <c r="J179" s="50"/>
    </row>
    <row r="180" spans="2:10" s="54" customFormat="1" ht="33" customHeight="1" x14ac:dyDescent="0.25">
      <c r="B180" s="9">
        <v>5</v>
      </c>
      <c r="C180" s="24" t="s">
        <v>39</v>
      </c>
      <c r="D180" s="9" t="s">
        <v>0</v>
      </c>
      <c r="E180" s="52">
        <v>11.8</v>
      </c>
      <c r="F180" s="21"/>
      <c r="G180" s="49"/>
      <c r="H180" s="50"/>
      <c r="I180" s="50"/>
      <c r="J180" s="50"/>
    </row>
    <row r="181" spans="2:10" s="54" customFormat="1" ht="33" customHeight="1" x14ac:dyDescent="0.25">
      <c r="B181" s="9"/>
      <c r="C181" s="74" t="s">
        <v>33</v>
      </c>
      <c r="D181" s="9" t="s">
        <v>0</v>
      </c>
      <c r="E181" s="52">
        <f>E180*1.015</f>
        <v>11.977</v>
      </c>
      <c r="F181" s="21"/>
      <c r="G181" s="49"/>
      <c r="H181" s="50"/>
      <c r="I181" s="50"/>
      <c r="J181" s="50"/>
    </row>
    <row r="182" spans="2:10" s="54" customFormat="1" ht="33" customHeight="1" x14ac:dyDescent="0.25">
      <c r="B182" s="9"/>
      <c r="C182" s="74" t="s">
        <v>49</v>
      </c>
      <c r="D182" s="9" t="s">
        <v>31</v>
      </c>
      <c r="E182" s="43">
        <f>0.19714*1.015</f>
        <v>0.2000971</v>
      </c>
      <c r="F182" s="45"/>
      <c r="G182" s="49"/>
      <c r="H182" s="50"/>
      <c r="I182" s="50"/>
      <c r="J182" s="50"/>
    </row>
    <row r="183" spans="2:10" s="54" customFormat="1" ht="33" customHeight="1" x14ac:dyDescent="0.25">
      <c r="B183" s="9"/>
      <c r="C183" s="74" t="s">
        <v>51</v>
      </c>
      <c r="D183" s="9" t="s">
        <v>31</v>
      </c>
      <c r="E183" s="43">
        <f>0.04268*1.015</f>
        <v>4.3320199999999996E-2</v>
      </c>
      <c r="F183" s="45"/>
      <c r="G183" s="49"/>
      <c r="H183" s="50"/>
      <c r="I183" s="50"/>
      <c r="J183" s="50"/>
    </row>
    <row r="184" spans="2:10" s="54" customFormat="1" ht="33" customHeight="1" x14ac:dyDescent="0.25">
      <c r="B184" s="9"/>
      <c r="C184" s="74" t="s">
        <v>64</v>
      </c>
      <c r="D184" s="9" t="s">
        <v>31</v>
      </c>
      <c r="E184" s="43">
        <f>4.89676*1.015</f>
        <v>4.9702113999999993</v>
      </c>
      <c r="F184" s="45"/>
      <c r="G184" s="84">
        <f>SUM(E182:E184)</f>
        <v>5.2136286999999992</v>
      </c>
      <c r="H184" s="50">
        <f>4674.19/1000</f>
        <v>4.6741899999999994</v>
      </c>
      <c r="I184" s="50"/>
      <c r="J184" s="50"/>
    </row>
    <row r="185" spans="2:10" ht="35.1" customHeight="1" x14ac:dyDescent="0.25">
      <c r="B185" s="17"/>
      <c r="C185" s="26" t="s">
        <v>186</v>
      </c>
      <c r="D185" s="9"/>
      <c r="E185" s="10"/>
      <c r="F185" s="21"/>
    </row>
    <row r="186" spans="2:10" ht="33" customHeight="1" x14ac:dyDescent="0.25">
      <c r="B186" s="17">
        <v>1</v>
      </c>
      <c r="C186" s="23" t="s">
        <v>21</v>
      </c>
      <c r="D186" s="9" t="s">
        <v>0</v>
      </c>
      <c r="E186" s="10">
        <v>4.5</v>
      </c>
      <c r="F186" s="21"/>
    </row>
    <row r="187" spans="2:10" ht="33" customHeight="1" x14ac:dyDescent="0.25">
      <c r="B187" s="17"/>
      <c r="C187" s="33" t="s">
        <v>65</v>
      </c>
      <c r="D187" s="9" t="s">
        <v>0</v>
      </c>
      <c r="E187" s="10">
        <f>E186*1.02</f>
        <v>4.59</v>
      </c>
      <c r="F187" s="21"/>
    </row>
    <row r="188" spans="2:10" s="54" customFormat="1" ht="33" customHeight="1" x14ac:dyDescent="0.25">
      <c r="B188" s="9">
        <v>2</v>
      </c>
      <c r="C188" s="24" t="s">
        <v>84</v>
      </c>
      <c r="D188" s="9" t="s">
        <v>1</v>
      </c>
      <c r="E188" s="52">
        <v>44.1</v>
      </c>
      <c r="F188" s="21"/>
      <c r="G188" s="49"/>
      <c r="H188" s="50"/>
      <c r="I188" s="50"/>
      <c r="J188" s="50"/>
    </row>
    <row r="189" spans="2:10" s="54" customFormat="1" ht="33" customHeight="1" x14ac:dyDescent="0.25">
      <c r="B189" s="9"/>
      <c r="C189" s="74" t="s">
        <v>164</v>
      </c>
      <c r="D189" s="9" t="s">
        <v>45</v>
      </c>
      <c r="E189" s="52">
        <f>E188*0.25</f>
        <v>11.025</v>
      </c>
      <c r="F189" s="45" t="s">
        <v>163</v>
      </c>
      <c r="G189" s="49"/>
      <c r="H189" s="50"/>
      <c r="I189" s="50"/>
      <c r="J189" s="50"/>
    </row>
    <row r="190" spans="2:10" ht="33" customHeight="1" x14ac:dyDescent="0.25">
      <c r="B190" s="17">
        <v>3</v>
      </c>
      <c r="C190" s="20" t="s">
        <v>85</v>
      </c>
      <c r="D190" s="9" t="s">
        <v>1</v>
      </c>
      <c r="E190" s="10">
        <v>44.1</v>
      </c>
      <c r="F190" s="21"/>
    </row>
    <row r="191" spans="2:10" ht="33" customHeight="1" x14ac:dyDescent="0.25">
      <c r="B191" s="17"/>
      <c r="C191" s="33" t="s">
        <v>123</v>
      </c>
      <c r="D191" s="9" t="s">
        <v>1</v>
      </c>
      <c r="E191" s="10">
        <f>E190*3*1.15</f>
        <v>152.14500000000001</v>
      </c>
      <c r="F191" s="21"/>
    </row>
    <row r="192" spans="2:10" ht="33" customHeight="1" x14ac:dyDescent="0.25">
      <c r="B192" s="17">
        <v>4</v>
      </c>
      <c r="C192" s="20" t="s">
        <v>4</v>
      </c>
      <c r="D192" s="9" t="s">
        <v>0</v>
      </c>
      <c r="E192" s="10">
        <v>44.1</v>
      </c>
      <c r="F192" s="21"/>
    </row>
    <row r="193" spans="2:8" ht="33" customHeight="1" x14ac:dyDescent="0.25">
      <c r="B193" s="17"/>
      <c r="C193" s="33" t="s">
        <v>185</v>
      </c>
      <c r="D193" s="9" t="s">
        <v>0</v>
      </c>
      <c r="E193" s="10">
        <f>E192*1.02</f>
        <v>44.981999999999999</v>
      </c>
      <c r="F193" s="21"/>
    </row>
    <row r="194" spans="2:8" ht="33" customHeight="1" x14ac:dyDescent="0.25">
      <c r="B194" s="17">
        <v>5</v>
      </c>
      <c r="C194" s="20" t="s">
        <v>39</v>
      </c>
      <c r="D194" s="9" t="s">
        <v>0</v>
      </c>
      <c r="E194" s="10">
        <v>12.6</v>
      </c>
      <c r="F194" s="21"/>
    </row>
    <row r="195" spans="2:8" ht="33" customHeight="1" x14ac:dyDescent="0.25">
      <c r="B195" s="17"/>
      <c r="C195" s="33" t="s">
        <v>33</v>
      </c>
      <c r="D195" s="9" t="s">
        <v>0</v>
      </c>
      <c r="E195" s="10">
        <f>E194*1.015</f>
        <v>12.788999999999998</v>
      </c>
      <c r="F195" s="21"/>
    </row>
    <row r="196" spans="2:8" ht="33" customHeight="1" x14ac:dyDescent="0.25">
      <c r="B196" s="17"/>
      <c r="C196" s="33" t="s">
        <v>49</v>
      </c>
      <c r="D196" s="9" t="s">
        <v>31</v>
      </c>
      <c r="E196" s="25">
        <f>0.12131*1.015</f>
        <v>0.12312964999999999</v>
      </c>
      <c r="F196" s="45"/>
    </row>
    <row r="197" spans="2:8" ht="33" customHeight="1" x14ac:dyDescent="0.25">
      <c r="B197" s="17"/>
      <c r="C197" s="33" t="s">
        <v>51</v>
      </c>
      <c r="D197" s="9" t="s">
        <v>31</v>
      </c>
      <c r="E197" s="25">
        <f>0.02365+0.01902*1.015</f>
        <v>4.2955300000000002E-2</v>
      </c>
      <c r="F197" s="45"/>
    </row>
    <row r="198" spans="2:8" ht="33" customHeight="1" x14ac:dyDescent="0.25">
      <c r="B198" s="17"/>
      <c r="C198" s="33" t="s">
        <v>64</v>
      </c>
      <c r="D198" s="9" t="s">
        <v>31</v>
      </c>
      <c r="E198" s="25">
        <f>(1.40264+0.61699+0.17742+0.9339+0.83687+0.28552+0.25687)*1.015</f>
        <v>4.5778631500000007</v>
      </c>
      <c r="F198" s="45"/>
      <c r="G198" s="41">
        <f>SUM(E196:E198)</f>
        <v>4.7439481000000008</v>
      </c>
      <c r="H198" s="34">
        <f>4674.19/1000</f>
        <v>4.6741899999999994</v>
      </c>
    </row>
    <row r="199" spans="2:8" ht="35.1" customHeight="1" x14ac:dyDescent="0.25">
      <c r="B199" s="17"/>
      <c r="C199" s="19" t="s">
        <v>187</v>
      </c>
      <c r="D199" s="9"/>
      <c r="E199" s="10"/>
      <c r="F199" s="21"/>
    </row>
    <row r="200" spans="2:8" ht="33" customHeight="1" x14ac:dyDescent="0.25">
      <c r="B200" s="17">
        <v>1</v>
      </c>
      <c r="C200" s="21" t="s">
        <v>15</v>
      </c>
      <c r="D200" s="9" t="s">
        <v>0</v>
      </c>
      <c r="E200" s="10">
        <f>9.9*4</f>
        <v>39.6</v>
      </c>
      <c r="F200" s="21"/>
    </row>
    <row r="201" spans="2:8" ht="33" customHeight="1" x14ac:dyDescent="0.25">
      <c r="B201" s="17"/>
      <c r="C201" s="33" t="s">
        <v>191</v>
      </c>
      <c r="D201" s="9" t="s">
        <v>0</v>
      </c>
      <c r="E201" s="10">
        <f>E200*1.1</f>
        <v>43.56</v>
      </c>
      <c r="F201" s="21"/>
    </row>
    <row r="202" spans="2:8" ht="33" customHeight="1" x14ac:dyDescent="0.25">
      <c r="B202" s="17">
        <v>2</v>
      </c>
      <c r="C202" s="24" t="s">
        <v>54</v>
      </c>
      <c r="D202" s="9" t="s">
        <v>0</v>
      </c>
      <c r="E202" s="10">
        <f>0.8*4</f>
        <v>3.2</v>
      </c>
      <c r="F202" s="21"/>
    </row>
    <row r="203" spans="2:8" ht="33" customHeight="1" x14ac:dyDescent="0.25">
      <c r="B203" s="17"/>
      <c r="C203" s="33" t="s">
        <v>190</v>
      </c>
      <c r="D203" s="9" t="s">
        <v>0</v>
      </c>
      <c r="E203" s="10">
        <f>E202*1.02</f>
        <v>3.2640000000000002</v>
      </c>
      <c r="F203" s="21"/>
    </row>
    <row r="204" spans="2:8" ht="33" customHeight="1" x14ac:dyDescent="0.25">
      <c r="B204" s="17">
        <v>3</v>
      </c>
      <c r="C204" s="24" t="s">
        <v>42</v>
      </c>
      <c r="D204" s="9" t="s">
        <v>0</v>
      </c>
      <c r="E204" s="10">
        <f>2.9*4</f>
        <v>11.6</v>
      </c>
      <c r="F204" s="21"/>
    </row>
    <row r="205" spans="2:8" ht="33" customHeight="1" x14ac:dyDescent="0.25">
      <c r="B205" s="17"/>
      <c r="C205" s="33" t="s">
        <v>192</v>
      </c>
      <c r="D205" s="9" t="s">
        <v>0</v>
      </c>
      <c r="E205" s="10">
        <f>E204*1.015</f>
        <v>11.773999999999999</v>
      </c>
      <c r="F205" s="21"/>
    </row>
    <row r="206" spans="2:8" ht="33" customHeight="1" x14ac:dyDescent="0.25">
      <c r="B206" s="17"/>
      <c r="C206" s="33" t="s">
        <v>52</v>
      </c>
      <c r="D206" s="9" t="s">
        <v>31</v>
      </c>
      <c r="E206" s="25">
        <v>9.9500000000000005E-2</v>
      </c>
      <c r="F206" s="45">
        <f>0.09804*1.015</f>
        <v>9.9510599999999991E-2</v>
      </c>
    </row>
    <row r="207" spans="2:8" ht="33" customHeight="1" x14ac:dyDescent="0.25">
      <c r="B207" s="17"/>
      <c r="C207" s="33" t="s">
        <v>47</v>
      </c>
      <c r="D207" s="9" t="s">
        <v>31</v>
      </c>
      <c r="E207" s="25">
        <v>0.14949999999999999</v>
      </c>
      <c r="F207" s="45">
        <f>0.14732*1.015</f>
        <v>0.14952979999999999</v>
      </c>
    </row>
    <row r="208" spans="2:8" ht="33" customHeight="1" x14ac:dyDescent="0.25">
      <c r="B208" s="17"/>
      <c r="C208" s="33" t="s">
        <v>51</v>
      </c>
      <c r="D208" s="9" t="s">
        <v>31</v>
      </c>
      <c r="E208" s="73">
        <v>0.85</v>
      </c>
      <c r="F208" s="45">
        <f>0.83768*1.015</f>
        <v>0.85024519999999992</v>
      </c>
      <c r="G208" s="41">
        <f>SUM(E206:E208)</f>
        <v>1.099</v>
      </c>
    </row>
    <row r="209" spans="2:10" ht="35.1" customHeight="1" x14ac:dyDescent="0.25">
      <c r="B209" s="17"/>
      <c r="C209" s="28" t="s">
        <v>188</v>
      </c>
      <c r="D209" s="9"/>
      <c r="E209" s="10"/>
      <c r="F209" s="21"/>
    </row>
    <row r="210" spans="2:10" ht="33" customHeight="1" x14ac:dyDescent="0.25">
      <c r="B210" s="17">
        <v>1</v>
      </c>
      <c r="C210" s="24" t="s">
        <v>3</v>
      </c>
      <c r="D210" s="9" t="s">
        <v>0</v>
      </c>
      <c r="E210" s="10">
        <f>0.9*2+0.6*2</f>
        <v>3</v>
      </c>
      <c r="F210" s="21"/>
    </row>
    <row r="211" spans="2:10" ht="33" customHeight="1" x14ac:dyDescent="0.25">
      <c r="B211" s="17"/>
      <c r="C211" s="33" t="s">
        <v>190</v>
      </c>
      <c r="D211" s="9" t="s">
        <v>0</v>
      </c>
      <c r="E211" s="10">
        <f>E210*1.02</f>
        <v>3.06</v>
      </c>
      <c r="F211" s="21"/>
    </row>
    <row r="212" spans="2:10" s="54" customFormat="1" ht="33" customHeight="1" x14ac:dyDescent="0.25">
      <c r="B212" s="9">
        <v>2</v>
      </c>
      <c r="C212" s="24" t="s">
        <v>84</v>
      </c>
      <c r="D212" s="9" t="s">
        <v>1</v>
      </c>
      <c r="E212" s="52">
        <f>14.8+10.6</f>
        <v>25.4</v>
      </c>
      <c r="F212" s="21"/>
      <c r="G212" s="49"/>
      <c r="H212" s="50"/>
      <c r="I212" s="50"/>
      <c r="J212" s="50"/>
    </row>
    <row r="213" spans="2:10" s="54" customFormat="1" ht="33" customHeight="1" x14ac:dyDescent="0.25">
      <c r="B213" s="9"/>
      <c r="C213" s="74" t="s">
        <v>121</v>
      </c>
      <c r="D213" s="9" t="s">
        <v>45</v>
      </c>
      <c r="E213" s="52">
        <f>E212*0.25</f>
        <v>6.35</v>
      </c>
      <c r="F213" s="21"/>
      <c r="G213" s="49"/>
      <c r="H213" s="50"/>
      <c r="I213" s="50"/>
      <c r="J213" s="50"/>
    </row>
    <row r="214" spans="2:10" ht="33" customHeight="1" x14ac:dyDescent="0.25">
      <c r="B214" s="17">
        <v>3</v>
      </c>
      <c r="C214" s="20" t="s">
        <v>85</v>
      </c>
      <c r="D214" s="9" t="s">
        <v>1</v>
      </c>
      <c r="E214" s="10">
        <f>14.8+10.6</f>
        <v>25.4</v>
      </c>
      <c r="F214" s="21"/>
    </row>
    <row r="215" spans="2:10" ht="33" customHeight="1" x14ac:dyDescent="0.25">
      <c r="B215" s="17"/>
      <c r="C215" s="33" t="s">
        <v>165</v>
      </c>
      <c r="D215" s="9" t="s">
        <v>1</v>
      </c>
      <c r="E215" s="10">
        <f>E214*3*1.15</f>
        <v>87.629999999999981</v>
      </c>
      <c r="F215" s="21"/>
    </row>
    <row r="216" spans="2:10" ht="33" customHeight="1" x14ac:dyDescent="0.25">
      <c r="B216" s="17">
        <v>4</v>
      </c>
      <c r="C216" s="20" t="s">
        <v>4</v>
      </c>
      <c r="D216" s="9" t="s">
        <v>0</v>
      </c>
      <c r="E216" s="10">
        <f>0.6*2+0.8*2</f>
        <v>2.8</v>
      </c>
      <c r="F216" s="21"/>
    </row>
    <row r="217" spans="2:10" ht="33" customHeight="1" x14ac:dyDescent="0.25">
      <c r="B217" s="17"/>
      <c r="C217" s="33" t="s">
        <v>40</v>
      </c>
      <c r="D217" s="9" t="s">
        <v>0</v>
      </c>
      <c r="E217" s="10">
        <f>E216*1.02</f>
        <v>2.8559999999999999</v>
      </c>
      <c r="F217" s="21"/>
    </row>
    <row r="218" spans="2:10" ht="33" customHeight="1" x14ac:dyDescent="0.25">
      <c r="B218" s="17">
        <v>5</v>
      </c>
      <c r="C218" s="24" t="s">
        <v>41</v>
      </c>
      <c r="D218" s="9" t="s">
        <v>0</v>
      </c>
      <c r="E218" s="10">
        <f>1.5*2+2.1*2</f>
        <v>7.2</v>
      </c>
      <c r="F218" s="21"/>
    </row>
    <row r="219" spans="2:10" ht="33" customHeight="1" x14ac:dyDescent="0.25">
      <c r="B219" s="17"/>
      <c r="C219" s="33" t="s">
        <v>192</v>
      </c>
      <c r="D219" s="9" t="s">
        <v>0</v>
      </c>
      <c r="E219" s="10">
        <f>E218*1.015</f>
        <v>7.3079999999999998</v>
      </c>
      <c r="F219" s="21"/>
    </row>
    <row r="220" spans="2:10" ht="33" customHeight="1" x14ac:dyDescent="0.25">
      <c r="B220" s="17"/>
      <c r="C220" s="33" t="s">
        <v>49</v>
      </c>
      <c r="D220" s="9" t="s">
        <v>31</v>
      </c>
      <c r="E220" s="73">
        <v>4.5999999999999999E-2</v>
      </c>
      <c r="F220" s="45">
        <f>0.0455*1.015</f>
        <v>4.6182499999999994E-2</v>
      </c>
    </row>
    <row r="221" spans="2:10" ht="33" customHeight="1" x14ac:dyDescent="0.25">
      <c r="B221" s="17"/>
      <c r="C221" s="33" t="s">
        <v>50</v>
      </c>
      <c r="D221" s="9" t="s">
        <v>31</v>
      </c>
      <c r="E221" s="25">
        <v>6.1499999999999999E-2</v>
      </c>
      <c r="F221" s="45">
        <f>0.06056*1.015</f>
        <v>6.1468399999999999E-2</v>
      </c>
    </row>
    <row r="222" spans="2:10" ht="33" customHeight="1" x14ac:dyDescent="0.25">
      <c r="B222" s="17"/>
      <c r="C222" s="33" t="s">
        <v>64</v>
      </c>
      <c r="D222" s="9" t="s">
        <v>31</v>
      </c>
      <c r="E222" s="73">
        <v>3.1739999999999999</v>
      </c>
      <c r="F222" s="45">
        <f>3.12682*1.015</f>
        <v>3.1737222999999997</v>
      </c>
      <c r="G222" s="41">
        <f>SUM(E220:E222)</f>
        <v>3.2814999999999999</v>
      </c>
      <c r="H222" s="34">
        <f>3232.9/1000</f>
        <v>3.2328999999999999</v>
      </c>
    </row>
    <row r="224" spans="2:10" s="64" customFormat="1" ht="14.25" customHeight="1" x14ac:dyDescent="0.25">
      <c r="B224" s="66" t="s">
        <v>202</v>
      </c>
      <c r="D224" s="93"/>
      <c r="E224" s="93"/>
      <c r="G224" s="94"/>
    </row>
    <row r="225" spans="2:7" ht="15" customHeight="1" x14ac:dyDescent="0.25">
      <c r="B225" s="96"/>
      <c r="C225" s="96"/>
    </row>
    <row r="226" spans="2:7" s="87" customFormat="1" ht="14.25" customHeight="1" x14ac:dyDescent="0.25">
      <c r="C226" s="87" t="s">
        <v>198</v>
      </c>
      <c r="D226" s="88"/>
      <c r="E226" s="88"/>
      <c r="G226" s="89"/>
    </row>
    <row r="227" spans="2:7" s="87" customFormat="1" ht="14.25" customHeight="1" x14ac:dyDescent="0.25">
      <c r="C227" s="87" t="s">
        <v>2</v>
      </c>
      <c r="D227" s="88"/>
      <c r="E227" s="88"/>
      <c r="F227" s="87" t="s">
        <v>199</v>
      </c>
      <c r="G227" s="89"/>
    </row>
    <row r="228" spans="2:7" s="87" customFormat="1" ht="14.25" customHeight="1" x14ac:dyDescent="0.25">
      <c r="D228" s="88"/>
      <c r="E228" s="88"/>
      <c r="G228" s="89"/>
    </row>
    <row r="229" spans="2:7" s="87" customFormat="1" ht="14.25" customHeight="1" x14ac:dyDescent="0.25">
      <c r="D229" s="88"/>
      <c r="E229" s="88"/>
      <c r="G229" s="89"/>
    </row>
    <row r="230" spans="2:7" s="87" customFormat="1" ht="14.25" customHeight="1" x14ac:dyDescent="0.3">
      <c r="B230" s="86"/>
      <c r="C230" s="95" t="s">
        <v>203</v>
      </c>
      <c r="D230" s="95"/>
      <c r="E230" s="95"/>
      <c r="F230" s="87" t="s">
        <v>204</v>
      </c>
      <c r="G230" s="89"/>
    </row>
    <row r="231" spans="2:7" x14ac:dyDescent="0.25">
      <c r="B231" s="96"/>
      <c r="C231" s="96"/>
      <c r="D231" s="35"/>
      <c r="E231" s="36"/>
      <c r="F231" s="37"/>
    </row>
    <row r="232" spans="2:7" x14ac:dyDescent="0.25">
      <c r="G232" s="39">
        <f>SUM(E23:E222)</f>
        <v>56129.138196799984</v>
      </c>
    </row>
    <row r="233" spans="2:7" x14ac:dyDescent="0.25">
      <c r="F233" s="12"/>
    </row>
  </sheetData>
  <autoFilter ref="B21:G222"/>
  <mergeCells count="9">
    <mergeCell ref="B231:C231"/>
    <mergeCell ref="B225:C225"/>
    <mergeCell ref="D18:F18"/>
    <mergeCell ref="B19:F19"/>
    <mergeCell ref="B12:F12"/>
    <mergeCell ref="D14:F14"/>
    <mergeCell ref="D15:F15"/>
    <mergeCell ref="D16:F16"/>
    <mergeCell ref="D17:F17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ЗСГО_ВОР_КЖ, КМ_2</vt:lpstr>
      <vt:lpstr>'ЗСГО_ВОР_КЖ, КМ_2'!Область_печати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2024-09-10T13:56:17Z</dcterms:modified>
</cp:coreProperties>
</file>