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ilieva.elena\AppData\Local\Microsoft\Windows\Temporary Internet Files\Content.Outlook\STJF2NFT\"/>
    </mc:Choice>
  </mc:AlternateContent>
  <bookViews>
    <workbookView xWindow="0" yWindow="0" windowWidth="14475" windowHeight="11820" firstSheet="1" activeTab="1"/>
  </bookViews>
  <sheets>
    <sheet name="мат" sheetId="6" state="hidden" r:id="rId1"/>
    <sheet name="Смета 12 гр. ТЕР МО" sheetId="5" r:id="rId2"/>
    <sheet name="Source" sheetId="1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'Смета 12 гр. ТЕР МО'!$27:$27</definedName>
    <definedName name="_xlnm.Print_Area" localSheetId="1">'Смета 12 гр. ТЕР МО'!$A$1:$L$491</definedName>
  </definedNames>
  <calcPr calcId="162913"/>
</workbook>
</file>

<file path=xl/calcChain.xml><?xml version="1.0" encoding="utf-8"?>
<calcChain xmlns="http://schemas.openxmlformats.org/spreadsheetml/2006/main">
  <c r="J480" i="5" l="1"/>
  <c r="J479" i="5"/>
  <c r="J477" i="5"/>
  <c r="J474" i="5"/>
  <c r="J370" i="5"/>
  <c r="G176" i="5"/>
  <c r="G205" i="5"/>
  <c r="G204" i="5"/>
  <c r="G203" i="5"/>
  <c r="G143" i="5"/>
  <c r="G139" i="5"/>
  <c r="G138" i="5"/>
  <c r="G137" i="5"/>
  <c r="G77" i="5"/>
  <c r="G73" i="5"/>
  <c r="G72" i="5"/>
  <c r="G71" i="5"/>
  <c r="AE390" i="1"/>
  <c r="AD390" i="1" s="1"/>
  <c r="AE383" i="1"/>
  <c r="AD383" i="1" s="1"/>
  <c r="AF383" i="1"/>
  <c r="K367" i="5"/>
  <c r="H367" i="5"/>
  <c r="I176" i="1"/>
  <c r="I175" i="1"/>
  <c r="AF377" i="1" l="1"/>
  <c r="AE377" i="1"/>
  <c r="AD377" i="1"/>
  <c r="AF375" i="1"/>
  <c r="AE375" i="1"/>
  <c r="AF335" i="1"/>
  <c r="AE335" i="1"/>
  <c r="AD335" i="1" s="1"/>
  <c r="AE246" i="5"/>
  <c r="I489" i="5"/>
  <c r="I486" i="5"/>
  <c r="D489" i="5"/>
  <c r="D486" i="5"/>
  <c r="C480" i="5"/>
  <c r="C479" i="5"/>
  <c r="Z468" i="5"/>
  <c r="Y468" i="5"/>
  <c r="X468" i="5"/>
  <c r="J467" i="5"/>
  <c r="Y467" i="5"/>
  <c r="X467" i="5"/>
  <c r="W467" i="5"/>
  <c r="F467" i="5"/>
  <c r="D467" i="5"/>
  <c r="B467" i="5"/>
  <c r="J466" i="5"/>
  <c r="Z466" i="5"/>
  <c r="Y466" i="5"/>
  <c r="X466" i="5"/>
  <c r="F466" i="5"/>
  <c r="D466" i="5"/>
  <c r="C466" i="5"/>
  <c r="B466" i="5"/>
  <c r="E465" i="5"/>
  <c r="J464" i="5"/>
  <c r="E464" i="5"/>
  <c r="J463" i="5"/>
  <c r="E463" i="5"/>
  <c r="J462" i="5"/>
  <c r="F462" i="5"/>
  <c r="J461" i="5"/>
  <c r="F461" i="5"/>
  <c r="J460" i="5"/>
  <c r="F460" i="5"/>
  <c r="J459" i="5"/>
  <c r="F459" i="5"/>
  <c r="F457" i="5"/>
  <c r="D457" i="5"/>
  <c r="I457" i="5"/>
  <c r="B457" i="5"/>
  <c r="Z456" i="5"/>
  <c r="Y456" i="5"/>
  <c r="X456" i="5"/>
  <c r="J455" i="5"/>
  <c r="Y455" i="5"/>
  <c r="X455" i="5"/>
  <c r="W455" i="5"/>
  <c r="F455" i="5"/>
  <c r="D455" i="5"/>
  <c r="B455" i="5"/>
  <c r="J454" i="5"/>
  <c r="Z454" i="5"/>
  <c r="Y454" i="5"/>
  <c r="X454" i="5"/>
  <c r="F454" i="5"/>
  <c r="D454" i="5"/>
  <c r="C454" i="5"/>
  <c r="B454" i="5"/>
  <c r="E453" i="5"/>
  <c r="J452" i="5"/>
  <c r="E452" i="5"/>
  <c r="J451" i="5"/>
  <c r="E451" i="5"/>
  <c r="J450" i="5"/>
  <c r="F450" i="5"/>
  <c r="J449" i="5"/>
  <c r="F449" i="5"/>
  <c r="J448" i="5"/>
  <c r="F448" i="5"/>
  <c r="J447" i="5"/>
  <c r="F447" i="5"/>
  <c r="F445" i="5"/>
  <c r="D445" i="5"/>
  <c r="I445" i="5"/>
  <c r="C445" i="5"/>
  <c r="B445" i="5"/>
  <c r="Z444" i="5"/>
  <c r="Y444" i="5"/>
  <c r="X444" i="5"/>
  <c r="J443" i="5"/>
  <c r="E443" i="5"/>
  <c r="J442" i="5"/>
  <c r="E442" i="5"/>
  <c r="J441" i="5"/>
  <c r="F441" i="5"/>
  <c r="J440" i="5"/>
  <c r="F440" i="5"/>
  <c r="J439" i="5"/>
  <c r="F439" i="5"/>
  <c r="F438" i="5"/>
  <c r="E438" i="5"/>
  <c r="D438" i="5"/>
  <c r="I438" i="5"/>
  <c r="C438" i="5"/>
  <c r="B438" i="5"/>
  <c r="Z437" i="5"/>
  <c r="Y437" i="5"/>
  <c r="X437" i="5"/>
  <c r="J436" i="5"/>
  <c r="Y436" i="5"/>
  <c r="X436" i="5"/>
  <c r="W436" i="5"/>
  <c r="F436" i="5"/>
  <c r="D436" i="5"/>
  <c r="B436" i="5"/>
  <c r="J435" i="5"/>
  <c r="Z435" i="5"/>
  <c r="Y435" i="5"/>
  <c r="X435" i="5"/>
  <c r="F435" i="5"/>
  <c r="D435" i="5"/>
  <c r="C435" i="5"/>
  <c r="B435" i="5"/>
  <c r="E434" i="5"/>
  <c r="J433" i="5"/>
  <c r="E433" i="5"/>
  <c r="J432" i="5"/>
  <c r="E432" i="5"/>
  <c r="J431" i="5"/>
  <c r="F431" i="5"/>
  <c r="J430" i="5"/>
  <c r="F430" i="5"/>
  <c r="J429" i="5"/>
  <c r="F429" i="5"/>
  <c r="J428" i="5"/>
  <c r="F428" i="5"/>
  <c r="F426" i="5"/>
  <c r="D426" i="5"/>
  <c r="I426" i="5"/>
  <c r="B426" i="5"/>
  <c r="Z425" i="5"/>
  <c r="Y425" i="5"/>
  <c r="X425" i="5"/>
  <c r="J424" i="5"/>
  <c r="Y424" i="5"/>
  <c r="X424" i="5"/>
  <c r="W424" i="5"/>
  <c r="F424" i="5"/>
  <c r="D424" i="5"/>
  <c r="B424" i="5"/>
  <c r="J423" i="5"/>
  <c r="Z423" i="5"/>
  <c r="Y423" i="5"/>
  <c r="X423" i="5"/>
  <c r="F423" i="5"/>
  <c r="D423" i="5"/>
  <c r="C423" i="5"/>
  <c r="B423" i="5"/>
  <c r="E422" i="5"/>
  <c r="J421" i="5"/>
  <c r="E421" i="5"/>
  <c r="J420" i="5"/>
  <c r="E420" i="5"/>
  <c r="J419" i="5"/>
  <c r="F419" i="5"/>
  <c r="J418" i="5"/>
  <c r="F418" i="5"/>
  <c r="J417" i="5"/>
  <c r="F417" i="5"/>
  <c r="J416" i="5"/>
  <c r="F416" i="5"/>
  <c r="F414" i="5"/>
  <c r="D414" i="5"/>
  <c r="I414" i="5"/>
  <c r="C414" i="5"/>
  <c r="B414" i="5"/>
  <c r="Z413" i="5"/>
  <c r="Y413" i="5"/>
  <c r="X413" i="5"/>
  <c r="J412" i="5"/>
  <c r="E412" i="5"/>
  <c r="J411" i="5"/>
  <c r="E411" i="5"/>
  <c r="J410" i="5"/>
  <c r="F410" i="5"/>
  <c r="J409" i="5"/>
  <c r="F409" i="5"/>
  <c r="J408" i="5"/>
  <c r="F408" i="5"/>
  <c r="F407" i="5"/>
  <c r="E407" i="5"/>
  <c r="D407" i="5"/>
  <c r="I407" i="5"/>
  <c r="C407" i="5"/>
  <c r="B407" i="5"/>
  <c r="Z406" i="5"/>
  <c r="Y406" i="5"/>
  <c r="X406" i="5"/>
  <c r="J405" i="5"/>
  <c r="Y405" i="5"/>
  <c r="X405" i="5"/>
  <c r="W405" i="5"/>
  <c r="F405" i="5"/>
  <c r="D405" i="5"/>
  <c r="B405" i="5"/>
  <c r="E404" i="5"/>
  <c r="J403" i="5"/>
  <c r="E403" i="5"/>
  <c r="J402" i="5"/>
  <c r="E402" i="5"/>
  <c r="J401" i="5"/>
  <c r="F401" i="5"/>
  <c r="J400" i="5"/>
  <c r="F400" i="5"/>
  <c r="J399" i="5"/>
  <c r="F399" i="5"/>
  <c r="J398" i="5"/>
  <c r="F398" i="5"/>
  <c r="F396" i="5"/>
  <c r="D396" i="5"/>
  <c r="I396" i="5"/>
  <c r="C396" i="5"/>
  <c r="B396" i="5"/>
  <c r="Z395" i="5"/>
  <c r="Y395" i="5"/>
  <c r="X395" i="5"/>
  <c r="J394" i="5"/>
  <c r="Y394" i="5"/>
  <c r="X394" i="5"/>
  <c r="W394" i="5"/>
  <c r="F394" i="5"/>
  <c r="D394" i="5"/>
  <c r="B394" i="5"/>
  <c r="E393" i="5"/>
  <c r="J392" i="5"/>
  <c r="E392" i="5"/>
  <c r="J391" i="5"/>
  <c r="E391" i="5"/>
  <c r="J390" i="5"/>
  <c r="F390" i="5"/>
  <c r="J389" i="5"/>
  <c r="F389" i="5"/>
  <c r="J388" i="5"/>
  <c r="F388" i="5"/>
  <c r="J387" i="5"/>
  <c r="F387" i="5"/>
  <c r="F385" i="5"/>
  <c r="D385" i="5"/>
  <c r="I385" i="5"/>
  <c r="C385" i="5"/>
  <c r="B385" i="5"/>
  <c r="Z384" i="5"/>
  <c r="Y384" i="5"/>
  <c r="X384" i="5"/>
  <c r="J383" i="5"/>
  <c r="F383" i="5"/>
  <c r="F382" i="5"/>
  <c r="E382" i="5"/>
  <c r="D382" i="5"/>
  <c r="I382" i="5"/>
  <c r="C382" i="5"/>
  <c r="B382" i="5"/>
  <c r="Z381" i="5"/>
  <c r="Y381" i="5"/>
  <c r="X381" i="5"/>
  <c r="J380" i="5"/>
  <c r="E380" i="5"/>
  <c r="J379" i="5"/>
  <c r="E379" i="5"/>
  <c r="J378" i="5"/>
  <c r="F378" i="5"/>
  <c r="J377" i="5"/>
  <c r="F377" i="5"/>
  <c r="F375" i="5"/>
  <c r="D375" i="5"/>
  <c r="I375" i="5"/>
  <c r="C375" i="5"/>
  <c r="B375" i="5"/>
  <c r="A374" i="5"/>
  <c r="Z368" i="5"/>
  <c r="Y368" i="5"/>
  <c r="X368" i="5"/>
  <c r="J367" i="5"/>
  <c r="Y367" i="5"/>
  <c r="X367" i="5"/>
  <c r="W367" i="5"/>
  <c r="D367" i="5"/>
  <c r="B367" i="5"/>
  <c r="J366" i="5"/>
  <c r="Y366" i="5"/>
  <c r="X366" i="5"/>
  <c r="W366" i="5"/>
  <c r="F366" i="5"/>
  <c r="D366" i="5"/>
  <c r="B366" i="5"/>
  <c r="E365" i="5"/>
  <c r="J364" i="5"/>
  <c r="E364" i="5"/>
  <c r="J363" i="5"/>
  <c r="E363" i="5"/>
  <c r="J362" i="5"/>
  <c r="F362" i="5"/>
  <c r="J361" i="5"/>
  <c r="F361" i="5"/>
  <c r="J360" i="5"/>
  <c r="F360" i="5"/>
  <c r="J359" i="5"/>
  <c r="F359" i="5"/>
  <c r="F357" i="5"/>
  <c r="D357" i="5"/>
  <c r="I357" i="5"/>
  <c r="C357" i="5"/>
  <c r="B357" i="5"/>
  <c r="Z356" i="5"/>
  <c r="Y356" i="5"/>
  <c r="X356" i="5"/>
  <c r="E355" i="5"/>
  <c r="J354" i="5"/>
  <c r="E354" i="5"/>
  <c r="J353" i="5"/>
  <c r="E353" i="5"/>
  <c r="J352" i="5"/>
  <c r="F352" i="5"/>
  <c r="J351" i="5"/>
  <c r="F351" i="5"/>
  <c r="J350" i="5"/>
  <c r="F350" i="5"/>
  <c r="F348" i="5"/>
  <c r="I348" i="5"/>
  <c r="C348" i="5"/>
  <c r="B348" i="5"/>
  <c r="Z347" i="5"/>
  <c r="Y347" i="5"/>
  <c r="X347" i="5"/>
  <c r="E346" i="5"/>
  <c r="J345" i="5"/>
  <c r="E345" i="5"/>
  <c r="J344" i="5"/>
  <c r="E344" i="5"/>
  <c r="J343" i="5"/>
  <c r="F343" i="5"/>
  <c r="J342" i="5"/>
  <c r="F342" i="5"/>
  <c r="J341" i="5"/>
  <c r="F341" i="5"/>
  <c r="F339" i="5"/>
  <c r="D339" i="5"/>
  <c r="I339" i="5"/>
  <c r="C339" i="5"/>
  <c r="B339" i="5"/>
  <c r="A338" i="5"/>
  <c r="Z332" i="5"/>
  <c r="Y332" i="5"/>
  <c r="X332" i="5"/>
  <c r="J331" i="5"/>
  <c r="Z331" i="5"/>
  <c r="Y331" i="5"/>
  <c r="X331" i="5"/>
  <c r="F331" i="5"/>
  <c r="D331" i="5"/>
  <c r="B331" i="5"/>
  <c r="E330" i="5"/>
  <c r="J329" i="5"/>
  <c r="E329" i="5"/>
  <c r="J328" i="5"/>
  <c r="E328" i="5"/>
  <c r="J327" i="5"/>
  <c r="F327" i="5"/>
  <c r="J326" i="5"/>
  <c r="F326" i="5"/>
  <c r="J325" i="5"/>
  <c r="F325" i="5"/>
  <c r="J324" i="5"/>
  <c r="F324" i="5"/>
  <c r="F322" i="5"/>
  <c r="D322" i="5"/>
  <c r="I322" i="5"/>
  <c r="C322" i="5"/>
  <c r="B322" i="5"/>
  <c r="Z321" i="5"/>
  <c r="Y321" i="5"/>
  <c r="X321" i="5"/>
  <c r="J320" i="5"/>
  <c r="Y320" i="5"/>
  <c r="X320" i="5"/>
  <c r="W320" i="5"/>
  <c r="F320" i="5"/>
  <c r="D320" i="5"/>
  <c r="B320" i="5"/>
  <c r="J319" i="5"/>
  <c r="Z319" i="5"/>
  <c r="Y319" i="5"/>
  <c r="X319" i="5"/>
  <c r="F319" i="5"/>
  <c r="D319" i="5"/>
  <c r="C319" i="5"/>
  <c r="B319" i="5"/>
  <c r="E318" i="5"/>
  <c r="J317" i="5"/>
  <c r="E317" i="5"/>
  <c r="J316" i="5"/>
  <c r="E316" i="5"/>
  <c r="J315" i="5"/>
  <c r="F315" i="5"/>
  <c r="J314" i="5"/>
  <c r="F314" i="5"/>
  <c r="J313" i="5"/>
  <c r="F313" i="5"/>
  <c r="J312" i="5"/>
  <c r="F312" i="5"/>
  <c r="F311" i="5"/>
  <c r="E311" i="5"/>
  <c r="D311" i="5"/>
  <c r="I311" i="5"/>
  <c r="C311" i="5"/>
  <c r="B311" i="5"/>
  <c r="Z310" i="5"/>
  <c r="Y310" i="5"/>
  <c r="X310" i="5"/>
  <c r="E309" i="5"/>
  <c r="J308" i="5"/>
  <c r="E308" i="5"/>
  <c r="J307" i="5"/>
  <c r="E307" i="5"/>
  <c r="J306" i="5"/>
  <c r="F306" i="5"/>
  <c r="J305" i="5"/>
  <c r="F305" i="5"/>
  <c r="J304" i="5"/>
  <c r="F304" i="5"/>
  <c r="F302" i="5"/>
  <c r="D302" i="5"/>
  <c r="I302" i="5"/>
  <c r="C302" i="5"/>
  <c r="B302" i="5"/>
  <c r="A301" i="5"/>
  <c r="Z295" i="5"/>
  <c r="Y295" i="5"/>
  <c r="X295" i="5"/>
  <c r="J294" i="5"/>
  <c r="F294" i="5"/>
  <c r="F293" i="5"/>
  <c r="E293" i="5"/>
  <c r="D293" i="5"/>
  <c r="I293" i="5"/>
  <c r="C293" i="5"/>
  <c r="B293" i="5"/>
  <c r="Z292" i="5"/>
  <c r="Y292" i="5"/>
  <c r="X292" i="5"/>
  <c r="E291" i="5"/>
  <c r="J290" i="5"/>
  <c r="E290" i="5"/>
  <c r="J289" i="5"/>
  <c r="E289" i="5"/>
  <c r="J288" i="5"/>
  <c r="F288" i="5"/>
  <c r="F286" i="5"/>
  <c r="D286" i="5"/>
  <c r="I286" i="5"/>
  <c r="C286" i="5"/>
  <c r="B286" i="5"/>
  <c r="Z285" i="5"/>
  <c r="Y285" i="5"/>
  <c r="X285" i="5"/>
  <c r="E284" i="5"/>
  <c r="J283" i="5"/>
  <c r="E283" i="5"/>
  <c r="J282" i="5"/>
  <c r="E282" i="5"/>
  <c r="J281" i="5"/>
  <c r="F281" i="5"/>
  <c r="J280" i="5"/>
  <c r="F280" i="5"/>
  <c r="J279" i="5"/>
  <c r="F279" i="5"/>
  <c r="J278" i="5"/>
  <c r="F278" i="5"/>
  <c r="F276" i="5"/>
  <c r="D276" i="5"/>
  <c r="I276" i="5"/>
  <c r="C276" i="5"/>
  <c r="B276" i="5"/>
  <c r="Z275" i="5"/>
  <c r="Y275" i="5"/>
  <c r="X275" i="5"/>
  <c r="E274" i="5"/>
  <c r="J273" i="5"/>
  <c r="E273" i="5"/>
  <c r="J272" i="5"/>
  <c r="E272" i="5"/>
  <c r="J271" i="5"/>
  <c r="F271" i="5"/>
  <c r="J270" i="5"/>
  <c r="F270" i="5"/>
  <c r="J269" i="5"/>
  <c r="F269" i="5"/>
  <c r="F267" i="5"/>
  <c r="D267" i="5"/>
  <c r="I267" i="5"/>
  <c r="C267" i="5"/>
  <c r="B267" i="5"/>
  <c r="Z266" i="5"/>
  <c r="Y266" i="5"/>
  <c r="X266" i="5"/>
  <c r="E265" i="5"/>
  <c r="J264" i="5"/>
  <c r="E264" i="5"/>
  <c r="J263" i="5"/>
  <c r="E263" i="5"/>
  <c r="J262" i="5"/>
  <c r="F262" i="5"/>
  <c r="J261" i="5"/>
  <c r="F261" i="5"/>
  <c r="J260" i="5"/>
  <c r="F260" i="5"/>
  <c r="F258" i="5"/>
  <c r="D258" i="5"/>
  <c r="I258" i="5"/>
  <c r="C258" i="5"/>
  <c r="B258" i="5"/>
  <c r="Z257" i="5"/>
  <c r="Y257" i="5"/>
  <c r="X257" i="5"/>
  <c r="E256" i="5"/>
  <c r="J255" i="5"/>
  <c r="E255" i="5"/>
  <c r="J254" i="5"/>
  <c r="E254" i="5"/>
  <c r="J253" i="5"/>
  <c r="F253" i="5"/>
  <c r="J252" i="5"/>
  <c r="F252" i="5"/>
  <c r="J251" i="5"/>
  <c r="F251" i="5"/>
  <c r="F249" i="5"/>
  <c r="D249" i="5"/>
  <c r="I249" i="5"/>
  <c r="C249" i="5"/>
  <c r="B249" i="5"/>
  <c r="A248" i="5"/>
  <c r="A246" i="5"/>
  <c r="Z236" i="5"/>
  <c r="Y236" i="5"/>
  <c r="X236" i="5"/>
  <c r="J235" i="5"/>
  <c r="Z235" i="5"/>
  <c r="Y235" i="5"/>
  <c r="X235" i="5"/>
  <c r="F235" i="5"/>
  <c r="D235" i="5"/>
  <c r="C235" i="5"/>
  <c r="B235" i="5"/>
  <c r="J234" i="5"/>
  <c r="Y234" i="5"/>
  <c r="X234" i="5"/>
  <c r="W234" i="5"/>
  <c r="F234" i="5"/>
  <c r="D234" i="5"/>
  <c r="B234" i="5"/>
  <c r="J233" i="5"/>
  <c r="Y233" i="5"/>
  <c r="X233" i="5"/>
  <c r="W233" i="5"/>
  <c r="F233" i="5"/>
  <c r="D233" i="5"/>
  <c r="B233" i="5"/>
  <c r="J232" i="5"/>
  <c r="Z232" i="5"/>
  <c r="Y232" i="5"/>
  <c r="X232" i="5"/>
  <c r="F232" i="5"/>
  <c r="D232" i="5"/>
  <c r="C232" i="5"/>
  <c r="B232" i="5"/>
  <c r="J231" i="5"/>
  <c r="Z231" i="5"/>
  <c r="Y231" i="5"/>
  <c r="X231" i="5"/>
  <c r="F231" i="5"/>
  <c r="D231" i="5"/>
  <c r="C231" i="5"/>
  <c r="B231" i="5"/>
  <c r="E230" i="5"/>
  <c r="J229" i="5"/>
  <c r="E229" i="5"/>
  <c r="J228" i="5"/>
  <c r="E228" i="5"/>
  <c r="J227" i="5"/>
  <c r="F227" i="5"/>
  <c r="J226" i="5"/>
  <c r="F226" i="5"/>
  <c r="J225" i="5"/>
  <c r="F225" i="5"/>
  <c r="J224" i="5"/>
  <c r="F224" i="5"/>
  <c r="F222" i="5"/>
  <c r="I222" i="5"/>
  <c r="C222" i="5"/>
  <c r="B222" i="5"/>
  <c r="Z221" i="5"/>
  <c r="Y221" i="5"/>
  <c r="X221" i="5"/>
  <c r="E220" i="5"/>
  <c r="J219" i="5"/>
  <c r="E219" i="5"/>
  <c r="J218" i="5"/>
  <c r="E218" i="5"/>
  <c r="J217" i="5"/>
  <c r="F217" i="5"/>
  <c r="J216" i="5"/>
  <c r="F216" i="5"/>
  <c r="J215" i="5"/>
  <c r="F215" i="5"/>
  <c r="F213" i="5"/>
  <c r="I213" i="5"/>
  <c r="C213" i="5"/>
  <c r="B213" i="5"/>
  <c r="Z212" i="5"/>
  <c r="Y212" i="5"/>
  <c r="X212" i="5"/>
  <c r="J211" i="5"/>
  <c r="Y211" i="5"/>
  <c r="X211" i="5"/>
  <c r="W211" i="5"/>
  <c r="F211" i="5"/>
  <c r="D211" i="5"/>
  <c r="B211" i="5"/>
  <c r="J210" i="5"/>
  <c r="Z210" i="5"/>
  <c r="Y210" i="5"/>
  <c r="X210" i="5"/>
  <c r="F210" i="5"/>
  <c r="D210" i="5"/>
  <c r="C210" i="5"/>
  <c r="B210" i="5"/>
  <c r="E209" i="5"/>
  <c r="J208" i="5"/>
  <c r="E208" i="5"/>
  <c r="J207" i="5"/>
  <c r="E207" i="5"/>
  <c r="J206" i="5"/>
  <c r="F206" i="5"/>
  <c r="J205" i="5"/>
  <c r="F205" i="5"/>
  <c r="J204" i="5"/>
  <c r="F204" i="5"/>
  <c r="J203" i="5"/>
  <c r="F203" i="5"/>
  <c r="F202" i="5"/>
  <c r="E202" i="5"/>
  <c r="I202" i="5"/>
  <c r="C202" i="5"/>
  <c r="B202" i="5"/>
  <c r="Z201" i="5"/>
  <c r="Y201" i="5"/>
  <c r="X201" i="5"/>
  <c r="E200" i="5"/>
  <c r="J199" i="5"/>
  <c r="E199" i="5"/>
  <c r="J198" i="5"/>
  <c r="E198" i="5"/>
  <c r="J197" i="5"/>
  <c r="F197" i="5"/>
  <c r="J196" i="5"/>
  <c r="F196" i="5"/>
  <c r="J195" i="5"/>
  <c r="F195" i="5"/>
  <c r="F193" i="5"/>
  <c r="D193" i="5"/>
  <c r="I193" i="5"/>
  <c r="C193" i="5"/>
  <c r="B193" i="5"/>
  <c r="A192" i="5"/>
  <c r="Z186" i="5"/>
  <c r="Y186" i="5"/>
  <c r="X186" i="5"/>
  <c r="J185" i="5"/>
  <c r="Z185" i="5"/>
  <c r="Y185" i="5"/>
  <c r="X185" i="5"/>
  <c r="F185" i="5"/>
  <c r="D185" i="5"/>
  <c r="C185" i="5"/>
  <c r="B185" i="5"/>
  <c r="J184" i="5"/>
  <c r="Y184" i="5"/>
  <c r="X184" i="5"/>
  <c r="W184" i="5"/>
  <c r="F184" i="5"/>
  <c r="D184" i="5"/>
  <c r="B184" i="5"/>
  <c r="J183" i="5"/>
  <c r="Y183" i="5"/>
  <c r="X183" i="5"/>
  <c r="W183" i="5"/>
  <c r="F183" i="5"/>
  <c r="D183" i="5"/>
  <c r="B183" i="5"/>
  <c r="J182" i="5"/>
  <c r="Z182" i="5"/>
  <c r="Y182" i="5"/>
  <c r="X182" i="5"/>
  <c r="F182" i="5"/>
  <c r="D182" i="5"/>
  <c r="C182" i="5"/>
  <c r="B182" i="5"/>
  <c r="J181" i="5"/>
  <c r="Z181" i="5"/>
  <c r="Y181" i="5"/>
  <c r="X181" i="5"/>
  <c r="F181" i="5"/>
  <c r="D181" i="5"/>
  <c r="C181" i="5"/>
  <c r="B181" i="5"/>
  <c r="E180" i="5"/>
  <c r="J179" i="5"/>
  <c r="E179" i="5"/>
  <c r="J178" i="5"/>
  <c r="E178" i="5"/>
  <c r="J177" i="5"/>
  <c r="F177" i="5"/>
  <c r="J176" i="5"/>
  <c r="F176" i="5"/>
  <c r="J175" i="5"/>
  <c r="F175" i="5"/>
  <c r="J174" i="5"/>
  <c r="F174" i="5"/>
  <c r="F172" i="5"/>
  <c r="I172" i="5"/>
  <c r="C172" i="5"/>
  <c r="B172" i="5"/>
  <c r="Z171" i="5"/>
  <c r="Y171" i="5"/>
  <c r="X171" i="5"/>
  <c r="E170" i="5"/>
  <c r="J169" i="5"/>
  <c r="E169" i="5"/>
  <c r="J168" i="5"/>
  <c r="E168" i="5"/>
  <c r="J167" i="5"/>
  <c r="F167" i="5"/>
  <c r="J166" i="5"/>
  <c r="F166" i="5"/>
  <c r="J165" i="5"/>
  <c r="F165" i="5"/>
  <c r="F163" i="5"/>
  <c r="D163" i="5"/>
  <c r="I163" i="5"/>
  <c r="C163" i="5"/>
  <c r="B163" i="5"/>
  <c r="Z162" i="5"/>
  <c r="Y162" i="5"/>
  <c r="X162" i="5"/>
  <c r="E161" i="5"/>
  <c r="J160" i="5"/>
  <c r="E160" i="5"/>
  <c r="J159" i="5"/>
  <c r="E159" i="5"/>
  <c r="J158" i="5"/>
  <c r="F158" i="5"/>
  <c r="J157" i="5"/>
  <c r="F157" i="5"/>
  <c r="J156" i="5"/>
  <c r="F156" i="5"/>
  <c r="F154" i="5"/>
  <c r="I154" i="5"/>
  <c r="C154" i="5"/>
  <c r="B154" i="5"/>
  <c r="Z153" i="5"/>
  <c r="Y153" i="5"/>
  <c r="X153" i="5"/>
  <c r="E152" i="5"/>
  <c r="J151" i="5"/>
  <c r="E151" i="5"/>
  <c r="J150" i="5"/>
  <c r="E150" i="5"/>
  <c r="J149" i="5"/>
  <c r="F149" i="5"/>
  <c r="F147" i="5"/>
  <c r="D147" i="5"/>
  <c r="I147" i="5"/>
  <c r="C147" i="5"/>
  <c r="B147" i="5"/>
  <c r="Z146" i="5"/>
  <c r="Y146" i="5"/>
  <c r="X146" i="5"/>
  <c r="J145" i="5"/>
  <c r="Y145" i="5"/>
  <c r="X145" i="5"/>
  <c r="W145" i="5"/>
  <c r="F145" i="5"/>
  <c r="D145" i="5"/>
  <c r="B145" i="5"/>
  <c r="J144" i="5"/>
  <c r="Z144" i="5"/>
  <c r="Y144" i="5"/>
  <c r="X144" i="5"/>
  <c r="F144" i="5"/>
  <c r="D144" i="5"/>
  <c r="C144" i="5"/>
  <c r="B144" i="5"/>
  <c r="E143" i="5"/>
  <c r="J142" i="5"/>
  <c r="E142" i="5"/>
  <c r="J141" i="5"/>
  <c r="E141" i="5"/>
  <c r="J140" i="5"/>
  <c r="F140" i="5"/>
  <c r="J139" i="5"/>
  <c r="F139" i="5"/>
  <c r="J138" i="5"/>
  <c r="F138" i="5"/>
  <c r="J137" i="5"/>
  <c r="F137" i="5"/>
  <c r="F136" i="5"/>
  <c r="E136" i="5"/>
  <c r="I136" i="5"/>
  <c r="C136" i="5"/>
  <c r="B136" i="5"/>
  <c r="Z135" i="5"/>
  <c r="Y135" i="5"/>
  <c r="X135" i="5"/>
  <c r="E134" i="5"/>
  <c r="J133" i="5"/>
  <c r="E133" i="5"/>
  <c r="J132" i="5"/>
  <c r="E132" i="5"/>
  <c r="J131" i="5"/>
  <c r="F131" i="5"/>
  <c r="J130" i="5"/>
  <c r="F130" i="5"/>
  <c r="J129" i="5"/>
  <c r="F129" i="5"/>
  <c r="F127" i="5"/>
  <c r="D127" i="5"/>
  <c r="I127" i="5"/>
  <c r="C127" i="5"/>
  <c r="B127" i="5"/>
  <c r="A126" i="5"/>
  <c r="Z120" i="5"/>
  <c r="Y120" i="5"/>
  <c r="X120" i="5"/>
  <c r="J119" i="5"/>
  <c r="Z119" i="5"/>
  <c r="Y119" i="5"/>
  <c r="X119" i="5"/>
  <c r="F119" i="5"/>
  <c r="D119" i="5"/>
  <c r="C119" i="5"/>
  <c r="B119" i="5"/>
  <c r="J118" i="5"/>
  <c r="Y118" i="5"/>
  <c r="X118" i="5"/>
  <c r="W118" i="5"/>
  <c r="F118" i="5"/>
  <c r="D118" i="5"/>
  <c r="B118" i="5"/>
  <c r="J117" i="5"/>
  <c r="Y117" i="5"/>
  <c r="X117" i="5"/>
  <c r="W117" i="5"/>
  <c r="F117" i="5"/>
  <c r="D117" i="5"/>
  <c r="B117" i="5"/>
  <c r="J116" i="5"/>
  <c r="Z116" i="5"/>
  <c r="Y116" i="5"/>
  <c r="X116" i="5"/>
  <c r="F116" i="5"/>
  <c r="D116" i="5"/>
  <c r="C116" i="5"/>
  <c r="B116" i="5"/>
  <c r="J115" i="5"/>
  <c r="Z115" i="5"/>
  <c r="Y115" i="5"/>
  <c r="X115" i="5"/>
  <c r="F115" i="5"/>
  <c r="D115" i="5"/>
  <c r="C115" i="5"/>
  <c r="B115" i="5"/>
  <c r="E114" i="5"/>
  <c r="J113" i="5"/>
  <c r="E113" i="5"/>
  <c r="J112" i="5"/>
  <c r="E112" i="5"/>
  <c r="J111" i="5"/>
  <c r="F111" i="5"/>
  <c r="J110" i="5"/>
  <c r="F110" i="5"/>
  <c r="J109" i="5"/>
  <c r="F109" i="5"/>
  <c r="J108" i="5"/>
  <c r="F108" i="5"/>
  <c r="F106" i="5"/>
  <c r="I106" i="5"/>
  <c r="C106" i="5"/>
  <c r="B106" i="5"/>
  <c r="Z105" i="5"/>
  <c r="Y105" i="5"/>
  <c r="X105" i="5"/>
  <c r="E104" i="5"/>
  <c r="J103" i="5"/>
  <c r="E103" i="5"/>
  <c r="J102" i="5"/>
  <c r="E102" i="5"/>
  <c r="J101" i="5"/>
  <c r="F101" i="5"/>
  <c r="J100" i="5"/>
  <c r="F100" i="5"/>
  <c r="J99" i="5"/>
  <c r="F99" i="5"/>
  <c r="F97" i="5"/>
  <c r="D97" i="5"/>
  <c r="I97" i="5"/>
  <c r="C97" i="5"/>
  <c r="B97" i="5"/>
  <c r="Z96" i="5"/>
  <c r="Y96" i="5"/>
  <c r="X96" i="5"/>
  <c r="E95" i="5"/>
  <c r="J94" i="5"/>
  <c r="E94" i="5"/>
  <c r="J93" i="5"/>
  <c r="E93" i="5"/>
  <c r="J92" i="5"/>
  <c r="F92" i="5"/>
  <c r="J91" i="5"/>
  <c r="F91" i="5"/>
  <c r="J90" i="5"/>
  <c r="F90" i="5"/>
  <c r="F88" i="5"/>
  <c r="I88" i="5"/>
  <c r="C88" i="5"/>
  <c r="B88" i="5"/>
  <c r="Z87" i="5"/>
  <c r="Y87" i="5"/>
  <c r="X87" i="5"/>
  <c r="E86" i="5"/>
  <c r="J85" i="5"/>
  <c r="E85" i="5"/>
  <c r="J84" i="5"/>
  <c r="E84" i="5"/>
  <c r="J83" i="5"/>
  <c r="F83" i="5"/>
  <c r="F81" i="5"/>
  <c r="D81" i="5"/>
  <c r="I81" i="5"/>
  <c r="C81" i="5"/>
  <c r="B81" i="5"/>
  <c r="Z80" i="5"/>
  <c r="Y80" i="5"/>
  <c r="X80" i="5"/>
  <c r="J79" i="5"/>
  <c r="Y79" i="5"/>
  <c r="X79" i="5"/>
  <c r="W79" i="5"/>
  <c r="F79" i="5"/>
  <c r="D79" i="5"/>
  <c r="B79" i="5"/>
  <c r="J78" i="5"/>
  <c r="Z78" i="5"/>
  <c r="Y78" i="5"/>
  <c r="X78" i="5"/>
  <c r="F78" i="5"/>
  <c r="D78" i="5"/>
  <c r="C78" i="5"/>
  <c r="B78" i="5"/>
  <c r="E77" i="5"/>
  <c r="J76" i="5"/>
  <c r="E76" i="5"/>
  <c r="J75" i="5"/>
  <c r="E75" i="5"/>
  <c r="J74" i="5"/>
  <c r="F74" i="5"/>
  <c r="J73" i="5"/>
  <c r="F73" i="5"/>
  <c r="J72" i="5"/>
  <c r="F72" i="5"/>
  <c r="J71" i="5"/>
  <c r="F71" i="5"/>
  <c r="F70" i="5"/>
  <c r="E70" i="5"/>
  <c r="I70" i="5"/>
  <c r="C70" i="5"/>
  <c r="B70" i="5"/>
  <c r="Z69" i="5"/>
  <c r="Y69" i="5"/>
  <c r="X69" i="5"/>
  <c r="E68" i="5"/>
  <c r="J67" i="5"/>
  <c r="E67" i="5"/>
  <c r="J66" i="5"/>
  <c r="E66" i="5"/>
  <c r="J65" i="5"/>
  <c r="F65" i="5"/>
  <c r="J64" i="5"/>
  <c r="F64" i="5"/>
  <c r="J63" i="5"/>
  <c r="F63" i="5"/>
  <c r="F61" i="5"/>
  <c r="D61" i="5"/>
  <c r="I61" i="5"/>
  <c r="C61" i="5"/>
  <c r="B61" i="5"/>
  <c r="A60" i="5"/>
  <c r="A58" i="5"/>
  <c r="Z52" i="5"/>
  <c r="Y52" i="5"/>
  <c r="X52" i="5"/>
  <c r="J51" i="5"/>
  <c r="F51" i="5"/>
  <c r="F50" i="5"/>
  <c r="E50" i="5"/>
  <c r="D50" i="5"/>
  <c r="I50" i="5"/>
  <c r="C50" i="5"/>
  <c r="B50" i="5"/>
  <c r="Z49" i="5"/>
  <c r="Y49" i="5"/>
  <c r="X49" i="5"/>
  <c r="J48" i="5"/>
  <c r="F48" i="5"/>
  <c r="F47" i="5"/>
  <c r="E47" i="5"/>
  <c r="D47" i="5"/>
  <c r="I47" i="5"/>
  <c r="C47" i="5"/>
  <c r="B47" i="5"/>
  <c r="Z46" i="5"/>
  <c r="Y46" i="5"/>
  <c r="X46" i="5"/>
  <c r="E45" i="5"/>
  <c r="J44" i="5"/>
  <c r="E44" i="5"/>
  <c r="J43" i="5"/>
  <c r="E43" i="5"/>
  <c r="J42" i="5"/>
  <c r="F42" i="5"/>
  <c r="F40" i="5"/>
  <c r="D40" i="5"/>
  <c r="I40" i="5"/>
  <c r="C40" i="5"/>
  <c r="B40" i="5"/>
  <c r="Z39" i="5"/>
  <c r="Y39" i="5"/>
  <c r="X39" i="5"/>
  <c r="E38" i="5"/>
  <c r="J37" i="5"/>
  <c r="E37" i="5"/>
  <c r="J36" i="5"/>
  <c r="E36" i="5"/>
  <c r="J35" i="5"/>
  <c r="F35" i="5"/>
  <c r="J34" i="5"/>
  <c r="F34" i="5"/>
  <c r="J33" i="5"/>
  <c r="F33" i="5"/>
  <c r="J32" i="5"/>
  <c r="F32" i="5"/>
  <c r="F31" i="5"/>
  <c r="E31" i="5"/>
  <c r="D31" i="5"/>
  <c r="I31" i="5"/>
  <c r="C31" i="5"/>
  <c r="B31" i="5"/>
  <c r="A30" i="5"/>
  <c r="A1" i="5"/>
  <c r="AD375" i="1" l="1"/>
  <c r="O87" i="5"/>
  <c r="O153" i="5"/>
  <c r="O257" i="5"/>
  <c r="O406" i="5"/>
  <c r="O456" i="5"/>
  <c r="O96" i="5"/>
  <c r="O105" i="5"/>
  <c r="O162" i="5"/>
  <c r="O49" i="5"/>
  <c r="O171" i="5"/>
  <c r="O347" i="5"/>
  <c r="O425" i="5"/>
  <c r="O212" i="5"/>
  <c r="O69" i="5"/>
  <c r="O146" i="5"/>
  <c r="O292" i="5"/>
  <c r="O413" i="5"/>
  <c r="O39" i="5"/>
  <c r="O201" i="5"/>
  <c r="O275" i="5"/>
  <c r="O285" i="5"/>
  <c r="O356" i="5"/>
  <c r="O395" i="5"/>
  <c r="O46" i="5"/>
  <c r="O135" i="5"/>
  <c r="O310" i="5"/>
  <c r="O321" i="5"/>
  <c r="O368" i="5"/>
  <c r="O444" i="5"/>
  <c r="O221" i="5"/>
  <c r="O236" i="5"/>
  <c r="O266" i="5"/>
  <c r="O381" i="5"/>
  <c r="O384" i="5"/>
  <c r="O332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1" i="3"/>
  <c r="CX1" i="3"/>
  <c r="CY1" i="3"/>
  <c r="CZ1" i="3"/>
  <c r="DA1" i="3"/>
  <c r="DB1" i="3"/>
  <c r="DC1" i="3"/>
  <c r="A2" i="3"/>
  <c r="CX2" i="3"/>
  <c r="CY2" i="3"/>
  <c r="CZ2" i="3"/>
  <c r="DA2" i="3"/>
  <c r="DB2" i="3"/>
  <c r="DC2" i="3"/>
  <c r="A3" i="3"/>
  <c r="CX3" i="3"/>
  <c r="CY3" i="3"/>
  <c r="CZ3" i="3"/>
  <c r="DB3" i="3" s="1"/>
  <c r="DA3" i="3"/>
  <c r="DC3" i="3"/>
  <c r="A4" i="3"/>
  <c r="CX4" i="3"/>
  <c r="CY4" i="3"/>
  <c r="CZ4" i="3"/>
  <c r="DB4" i="3" s="1"/>
  <c r="DA4" i="3"/>
  <c r="DC4" i="3"/>
  <c r="A5" i="3"/>
  <c r="CX5" i="3"/>
  <c r="CY5" i="3"/>
  <c r="CZ5" i="3"/>
  <c r="DB5" i="3" s="1"/>
  <c r="DA5" i="3"/>
  <c r="DC5" i="3"/>
  <c r="A6" i="3"/>
  <c r="CX6" i="3"/>
  <c r="CY6" i="3"/>
  <c r="CZ6" i="3"/>
  <c r="DB6" i="3" s="1"/>
  <c r="DA6" i="3"/>
  <c r="DC6" i="3"/>
  <c r="A7" i="3"/>
  <c r="CX7" i="3"/>
  <c r="CY7" i="3"/>
  <c r="CZ7" i="3"/>
  <c r="DB7" i="3" s="1"/>
  <c r="DA7" i="3"/>
  <c r="DC7" i="3"/>
  <c r="A8" i="3"/>
  <c r="CY8" i="3"/>
  <c r="CZ8" i="3"/>
  <c r="DB8" i="3" s="1"/>
  <c r="DA8" i="3"/>
  <c r="DC8" i="3"/>
  <c r="A9" i="3"/>
  <c r="CY9" i="3"/>
  <c r="CZ9" i="3"/>
  <c r="DB9" i="3" s="1"/>
  <c r="DA9" i="3"/>
  <c r="DC9" i="3"/>
  <c r="A10" i="3"/>
  <c r="CY10" i="3"/>
  <c r="CZ10" i="3"/>
  <c r="DB10" i="3" s="1"/>
  <c r="DA10" i="3"/>
  <c r="DC10" i="3"/>
  <c r="A11" i="3"/>
  <c r="CY11" i="3"/>
  <c r="CZ11" i="3"/>
  <c r="DB11" i="3" s="1"/>
  <c r="DA11" i="3"/>
  <c r="DC11" i="3"/>
  <c r="A12" i="3"/>
  <c r="CY12" i="3"/>
  <c r="CZ12" i="3"/>
  <c r="DB12" i="3" s="1"/>
  <c r="DA12" i="3"/>
  <c r="DC12" i="3"/>
  <c r="A13" i="3"/>
  <c r="CY13" i="3"/>
  <c r="CZ13" i="3"/>
  <c r="DB13" i="3" s="1"/>
  <c r="DA13" i="3"/>
  <c r="DC13" i="3"/>
  <c r="A14" i="3"/>
  <c r="CY14" i="3"/>
  <c r="CZ14" i="3"/>
  <c r="DA14" i="3"/>
  <c r="DB14" i="3"/>
  <c r="DC14" i="3"/>
  <c r="A15" i="3"/>
  <c r="CY15" i="3"/>
  <c r="CZ15" i="3"/>
  <c r="DB15" i="3" s="1"/>
  <c r="DA15" i="3"/>
  <c r="DC15" i="3"/>
  <c r="A16" i="3"/>
  <c r="CY16" i="3"/>
  <c r="CZ16" i="3"/>
  <c r="DB16" i="3" s="1"/>
  <c r="DA16" i="3"/>
  <c r="DC16" i="3"/>
  <c r="A17" i="3"/>
  <c r="CY17" i="3"/>
  <c r="CZ17" i="3"/>
  <c r="DA17" i="3"/>
  <c r="DB17" i="3"/>
  <c r="DC17" i="3"/>
  <c r="A18" i="3"/>
  <c r="CY18" i="3"/>
  <c r="CZ18" i="3"/>
  <c r="DB18" i="3" s="1"/>
  <c r="DA18" i="3"/>
  <c r="DC18" i="3"/>
  <c r="A19" i="3"/>
  <c r="CY19" i="3"/>
  <c r="CZ19" i="3"/>
  <c r="DB19" i="3" s="1"/>
  <c r="DA19" i="3"/>
  <c r="DC19" i="3"/>
  <c r="A20" i="3"/>
  <c r="CY20" i="3"/>
  <c r="CZ20" i="3"/>
  <c r="DB20" i="3" s="1"/>
  <c r="DA20" i="3"/>
  <c r="DC20" i="3"/>
  <c r="A21" i="3"/>
  <c r="CY21" i="3"/>
  <c r="CZ21" i="3"/>
  <c r="DB21" i="3" s="1"/>
  <c r="DA21" i="3"/>
  <c r="DC21" i="3"/>
  <c r="A22" i="3"/>
  <c r="CY22" i="3"/>
  <c r="CZ22" i="3"/>
  <c r="DB22" i="3" s="1"/>
  <c r="DA22" i="3"/>
  <c r="DC22" i="3"/>
  <c r="A23" i="3"/>
  <c r="CY23" i="3"/>
  <c r="CZ23" i="3"/>
  <c r="DB23" i="3" s="1"/>
  <c r="DA23" i="3"/>
  <c r="DC23" i="3"/>
  <c r="A24" i="3"/>
  <c r="CY24" i="3"/>
  <c r="CZ24" i="3"/>
  <c r="DB24" i="3" s="1"/>
  <c r="DA24" i="3"/>
  <c r="DC24" i="3"/>
  <c r="A25" i="3"/>
  <c r="CY25" i="3"/>
  <c r="CZ25" i="3"/>
  <c r="DB25" i="3" s="1"/>
  <c r="DA25" i="3"/>
  <c r="DC25" i="3"/>
  <c r="A26" i="3"/>
  <c r="CY26" i="3"/>
  <c r="CZ26" i="3"/>
  <c r="DA26" i="3"/>
  <c r="DB26" i="3"/>
  <c r="DC26" i="3"/>
  <c r="A27" i="3"/>
  <c r="CY27" i="3"/>
  <c r="CZ27" i="3"/>
  <c r="DB27" i="3" s="1"/>
  <c r="DA27" i="3"/>
  <c r="DC27" i="3"/>
  <c r="A28" i="3"/>
  <c r="CY28" i="3"/>
  <c r="CZ28" i="3"/>
  <c r="DB28" i="3" s="1"/>
  <c r="DA28" i="3"/>
  <c r="DC28" i="3"/>
  <c r="A29" i="3"/>
  <c r="CY29" i="3"/>
  <c r="CZ29" i="3"/>
  <c r="DA29" i="3"/>
  <c r="DB29" i="3"/>
  <c r="DC29" i="3"/>
  <c r="A30" i="3"/>
  <c r="CY30" i="3"/>
  <c r="CZ30" i="3"/>
  <c r="DB30" i="3" s="1"/>
  <c r="DA30" i="3"/>
  <c r="DC30" i="3"/>
  <c r="A31" i="3"/>
  <c r="CX31" i="3"/>
  <c r="CY31" i="3"/>
  <c r="CZ31" i="3"/>
  <c r="DB31" i="3" s="1"/>
  <c r="DA31" i="3"/>
  <c r="DC31" i="3"/>
  <c r="A32" i="3"/>
  <c r="CX32" i="3"/>
  <c r="CY32" i="3"/>
  <c r="CZ32" i="3"/>
  <c r="DB32" i="3" s="1"/>
  <c r="DA32" i="3"/>
  <c r="DC32" i="3"/>
  <c r="A33" i="3"/>
  <c r="CX33" i="3"/>
  <c r="CY33" i="3"/>
  <c r="CZ33" i="3"/>
  <c r="DA33" i="3"/>
  <c r="DB33" i="3"/>
  <c r="DC33" i="3"/>
  <c r="A34" i="3"/>
  <c r="CX34" i="3"/>
  <c r="CY34" i="3"/>
  <c r="CZ34" i="3"/>
  <c r="DA34" i="3"/>
  <c r="DB34" i="3"/>
  <c r="DC34" i="3"/>
  <c r="A35" i="3"/>
  <c r="CX35" i="3"/>
  <c r="CY35" i="3"/>
  <c r="CZ35" i="3"/>
  <c r="DB35" i="3" s="1"/>
  <c r="DA35" i="3"/>
  <c r="DC35" i="3"/>
  <c r="A36" i="3"/>
  <c r="CX36" i="3"/>
  <c r="CY36" i="3"/>
  <c r="CZ36" i="3"/>
  <c r="DB36" i="3" s="1"/>
  <c r="DA36" i="3"/>
  <c r="DC36" i="3"/>
  <c r="A37" i="3"/>
  <c r="CX37" i="3"/>
  <c r="CY37" i="3"/>
  <c r="CZ37" i="3"/>
  <c r="DB37" i="3" s="1"/>
  <c r="DA37" i="3"/>
  <c r="DC37" i="3"/>
  <c r="A38" i="3"/>
  <c r="CX38" i="3"/>
  <c r="CY38" i="3"/>
  <c r="CZ38" i="3"/>
  <c r="DB38" i="3" s="1"/>
  <c r="DA38" i="3"/>
  <c r="DC38" i="3"/>
  <c r="A39" i="3"/>
  <c r="CY39" i="3"/>
  <c r="CZ39" i="3"/>
  <c r="DB39" i="3" s="1"/>
  <c r="DA39" i="3"/>
  <c r="DC39" i="3"/>
  <c r="A40" i="3"/>
  <c r="CY40" i="3"/>
  <c r="CZ40" i="3"/>
  <c r="DB40" i="3" s="1"/>
  <c r="DA40" i="3"/>
  <c r="DC40" i="3"/>
  <c r="A41" i="3"/>
  <c r="CY41" i="3"/>
  <c r="CZ41" i="3"/>
  <c r="DB41" i="3" s="1"/>
  <c r="DA41" i="3"/>
  <c r="DC41" i="3"/>
  <c r="A42" i="3"/>
  <c r="CY42" i="3"/>
  <c r="CZ42" i="3"/>
  <c r="DA42" i="3"/>
  <c r="DB42" i="3"/>
  <c r="DC42" i="3"/>
  <c r="A43" i="3"/>
  <c r="CY43" i="3"/>
  <c r="CZ43" i="3"/>
  <c r="DB43" i="3" s="1"/>
  <c r="DA43" i="3"/>
  <c r="DC43" i="3"/>
  <c r="A44" i="3"/>
  <c r="CY44" i="3"/>
  <c r="CZ44" i="3"/>
  <c r="DB44" i="3" s="1"/>
  <c r="DA44" i="3"/>
  <c r="DC44" i="3"/>
  <c r="A45" i="3"/>
  <c r="CY45" i="3"/>
  <c r="CZ45" i="3"/>
  <c r="DB45" i="3" s="1"/>
  <c r="DA45" i="3"/>
  <c r="DC45" i="3"/>
  <c r="A46" i="3"/>
  <c r="CY46" i="3"/>
  <c r="CZ46" i="3"/>
  <c r="DB46" i="3" s="1"/>
  <c r="DA46" i="3"/>
  <c r="DC46" i="3"/>
  <c r="A47" i="3"/>
  <c r="CY47" i="3"/>
  <c r="CZ47" i="3"/>
  <c r="DB47" i="3" s="1"/>
  <c r="DA47" i="3"/>
  <c r="DC47" i="3"/>
  <c r="A48" i="3"/>
  <c r="CY48" i="3"/>
  <c r="CZ48" i="3"/>
  <c r="DB48" i="3" s="1"/>
  <c r="DA48" i="3"/>
  <c r="DC48" i="3"/>
  <c r="A49" i="3"/>
  <c r="CY49" i="3"/>
  <c r="CZ49" i="3"/>
  <c r="DB49" i="3" s="1"/>
  <c r="DA49" i="3"/>
  <c r="DC49" i="3"/>
  <c r="A50" i="3"/>
  <c r="CY50" i="3"/>
  <c r="CZ50" i="3"/>
  <c r="DB50" i="3" s="1"/>
  <c r="DA50" i="3"/>
  <c r="DC50" i="3"/>
  <c r="A51" i="3"/>
  <c r="CY51" i="3"/>
  <c r="CZ51" i="3"/>
  <c r="DB51" i="3" s="1"/>
  <c r="DA51" i="3"/>
  <c r="DC51" i="3"/>
  <c r="A52" i="3"/>
  <c r="CY52" i="3"/>
  <c r="CZ52" i="3"/>
  <c r="DB52" i="3" s="1"/>
  <c r="DA52" i="3"/>
  <c r="DC52" i="3"/>
  <c r="A53" i="3"/>
  <c r="CY53" i="3"/>
  <c r="CZ53" i="3"/>
  <c r="DB53" i="3" s="1"/>
  <c r="DA53" i="3"/>
  <c r="DC53" i="3"/>
  <c r="A54" i="3"/>
  <c r="CY54" i="3"/>
  <c r="CZ54" i="3"/>
  <c r="DB54" i="3" s="1"/>
  <c r="DA54" i="3"/>
  <c r="DC54" i="3"/>
  <c r="A55" i="3"/>
  <c r="CY55" i="3"/>
  <c r="CZ55" i="3"/>
  <c r="DB55" i="3" s="1"/>
  <c r="DA55" i="3"/>
  <c r="DC55" i="3"/>
  <c r="A56" i="3"/>
  <c r="CY56" i="3"/>
  <c r="CZ56" i="3"/>
  <c r="DB56" i="3" s="1"/>
  <c r="DA56" i="3"/>
  <c r="DC56" i="3"/>
  <c r="A57" i="3"/>
  <c r="CY57" i="3"/>
  <c r="CZ57" i="3"/>
  <c r="DB57" i="3" s="1"/>
  <c r="DA57" i="3"/>
  <c r="DC57" i="3"/>
  <c r="A58" i="3"/>
  <c r="CY58" i="3"/>
  <c r="CZ58" i="3"/>
  <c r="DA58" i="3"/>
  <c r="DB58" i="3"/>
  <c r="DC58" i="3"/>
  <c r="A59" i="3"/>
  <c r="CY59" i="3"/>
  <c r="CZ59" i="3"/>
  <c r="DB59" i="3" s="1"/>
  <c r="DA59" i="3"/>
  <c r="DC59" i="3"/>
  <c r="A60" i="3"/>
  <c r="CY60" i="3"/>
  <c r="CZ60" i="3"/>
  <c r="DB60" i="3" s="1"/>
  <c r="DA60" i="3"/>
  <c r="DC60" i="3"/>
  <c r="A61" i="3"/>
  <c r="CY61" i="3"/>
  <c r="CZ61" i="3"/>
  <c r="DA61" i="3"/>
  <c r="DB61" i="3"/>
  <c r="DC61" i="3"/>
  <c r="A62" i="3"/>
  <c r="CY62" i="3"/>
  <c r="CZ62" i="3"/>
  <c r="DA62" i="3"/>
  <c r="DB62" i="3"/>
  <c r="DC62" i="3"/>
  <c r="A63" i="3"/>
  <c r="CY63" i="3"/>
  <c r="CZ63" i="3"/>
  <c r="DB63" i="3" s="1"/>
  <c r="DA63" i="3"/>
  <c r="DC63" i="3"/>
  <c r="A64" i="3"/>
  <c r="CY64" i="3"/>
  <c r="CZ64" i="3"/>
  <c r="DB64" i="3" s="1"/>
  <c r="DA64" i="3"/>
  <c r="DC64" i="3"/>
  <c r="A65" i="3"/>
  <c r="CY65" i="3"/>
  <c r="CZ65" i="3"/>
  <c r="DA65" i="3"/>
  <c r="DB65" i="3"/>
  <c r="DC65" i="3"/>
  <c r="A66" i="3"/>
  <c r="CY66" i="3"/>
  <c r="CZ66" i="3"/>
  <c r="DB66" i="3" s="1"/>
  <c r="DA66" i="3"/>
  <c r="DC66" i="3"/>
  <c r="A67" i="3"/>
  <c r="CY67" i="3"/>
  <c r="CZ67" i="3"/>
  <c r="DB67" i="3" s="1"/>
  <c r="DA67" i="3"/>
  <c r="DC67" i="3"/>
  <c r="A68" i="3"/>
  <c r="CY68" i="3"/>
  <c r="CZ68" i="3"/>
  <c r="DB68" i="3" s="1"/>
  <c r="DA68" i="3"/>
  <c r="DC68" i="3"/>
  <c r="A69" i="3"/>
  <c r="CY69" i="3"/>
  <c r="CZ69" i="3"/>
  <c r="DB69" i="3" s="1"/>
  <c r="DA69" i="3"/>
  <c r="DC69" i="3"/>
  <c r="A70" i="3"/>
  <c r="CY70" i="3"/>
  <c r="CZ70" i="3"/>
  <c r="DB70" i="3" s="1"/>
  <c r="DA70" i="3"/>
  <c r="DC70" i="3"/>
  <c r="A71" i="3"/>
  <c r="CY71" i="3"/>
  <c r="CZ71" i="3"/>
  <c r="DB71" i="3" s="1"/>
  <c r="DA71" i="3"/>
  <c r="DC71" i="3"/>
  <c r="A72" i="3"/>
  <c r="CY72" i="3"/>
  <c r="CZ72" i="3"/>
  <c r="DB72" i="3" s="1"/>
  <c r="DA72" i="3"/>
  <c r="DC72" i="3"/>
  <c r="A73" i="3"/>
  <c r="CY73" i="3"/>
  <c r="CZ73" i="3"/>
  <c r="DB73" i="3" s="1"/>
  <c r="DA73" i="3"/>
  <c r="DC73" i="3"/>
  <c r="A74" i="3"/>
  <c r="CY74" i="3"/>
  <c r="CZ74" i="3"/>
  <c r="DB74" i="3" s="1"/>
  <c r="DA74" i="3"/>
  <c r="DC74" i="3"/>
  <c r="A75" i="3"/>
  <c r="CY75" i="3"/>
  <c r="CZ75" i="3"/>
  <c r="DB75" i="3" s="1"/>
  <c r="DA75" i="3"/>
  <c r="DC75" i="3"/>
  <c r="A76" i="3"/>
  <c r="CY76" i="3"/>
  <c r="CZ76" i="3"/>
  <c r="DB76" i="3" s="1"/>
  <c r="DA76" i="3"/>
  <c r="DC76" i="3"/>
  <c r="A77" i="3"/>
  <c r="CX77" i="3"/>
  <c r="CY77" i="3"/>
  <c r="CZ77" i="3"/>
  <c r="DA77" i="3"/>
  <c r="DB77" i="3"/>
  <c r="DC77" i="3"/>
  <c r="A78" i="3"/>
  <c r="CX78" i="3"/>
  <c r="CY78" i="3"/>
  <c r="CZ78" i="3"/>
  <c r="DA78" i="3"/>
  <c r="DB78" i="3"/>
  <c r="DC78" i="3"/>
  <c r="A79" i="3"/>
  <c r="CX79" i="3"/>
  <c r="CY79" i="3"/>
  <c r="CZ79" i="3"/>
  <c r="DB79" i="3" s="1"/>
  <c r="DA79" i="3"/>
  <c r="DC79" i="3"/>
  <c r="A80" i="3"/>
  <c r="CX80" i="3"/>
  <c r="CY80" i="3"/>
  <c r="CZ80" i="3"/>
  <c r="DB80" i="3" s="1"/>
  <c r="DA80" i="3"/>
  <c r="DC80" i="3"/>
  <c r="A81" i="3"/>
  <c r="CX81" i="3"/>
  <c r="CY81" i="3"/>
  <c r="CZ81" i="3"/>
  <c r="DA81" i="3"/>
  <c r="DB81" i="3"/>
  <c r="DC81" i="3"/>
  <c r="A82" i="3"/>
  <c r="CX82" i="3"/>
  <c r="CY82" i="3"/>
  <c r="CZ82" i="3"/>
  <c r="DB82" i="3" s="1"/>
  <c r="DA82" i="3"/>
  <c r="DC82" i="3"/>
  <c r="A83" i="3"/>
  <c r="CX83" i="3"/>
  <c r="CY83" i="3"/>
  <c r="CZ83" i="3"/>
  <c r="DB83" i="3" s="1"/>
  <c r="DA83" i="3"/>
  <c r="DC83" i="3"/>
  <c r="A84" i="3"/>
  <c r="CX84" i="3"/>
  <c r="CY84" i="3"/>
  <c r="CZ84" i="3"/>
  <c r="DB84" i="3" s="1"/>
  <c r="DA84" i="3"/>
  <c r="DC84" i="3"/>
  <c r="A85" i="3"/>
  <c r="CX85" i="3"/>
  <c r="CY85" i="3"/>
  <c r="CZ85" i="3"/>
  <c r="DB85" i="3" s="1"/>
  <c r="DA85" i="3"/>
  <c r="DC85" i="3"/>
  <c r="A86" i="3"/>
  <c r="CY86" i="3"/>
  <c r="CZ86" i="3"/>
  <c r="DA86" i="3"/>
  <c r="DB86" i="3"/>
  <c r="DC86" i="3"/>
  <c r="A87" i="3"/>
  <c r="CY87" i="3"/>
  <c r="CZ87" i="3"/>
  <c r="DB87" i="3" s="1"/>
  <c r="DA87" i="3"/>
  <c r="DC87" i="3"/>
  <c r="A88" i="3"/>
  <c r="CY88" i="3"/>
  <c r="CZ88" i="3"/>
  <c r="DB88" i="3" s="1"/>
  <c r="DA88" i="3"/>
  <c r="DC88" i="3"/>
  <c r="A89" i="3"/>
  <c r="CY89" i="3"/>
  <c r="CZ89" i="3"/>
  <c r="DA89" i="3"/>
  <c r="DB89" i="3"/>
  <c r="DC89" i="3"/>
  <c r="A90" i="3"/>
  <c r="CY90" i="3"/>
  <c r="CZ90" i="3"/>
  <c r="DB90" i="3" s="1"/>
  <c r="DA90" i="3"/>
  <c r="DC90" i="3"/>
  <c r="A91" i="3"/>
  <c r="CY91" i="3"/>
  <c r="CZ91" i="3"/>
  <c r="DB91" i="3" s="1"/>
  <c r="DA91" i="3"/>
  <c r="DC91" i="3"/>
  <c r="A92" i="3"/>
  <c r="CY92" i="3"/>
  <c r="CZ92" i="3"/>
  <c r="DB92" i="3" s="1"/>
  <c r="DA92" i="3"/>
  <c r="DC92" i="3"/>
  <c r="A93" i="3"/>
  <c r="CY93" i="3"/>
  <c r="CZ93" i="3"/>
  <c r="DB93" i="3" s="1"/>
  <c r="DA93" i="3"/>
  <c r="DC93" i="3"/>
  <c r="A94" i="3"/>
  <c r="CY94" i="3"/>
  <c r="CZ94" i="3"/>
  <c r="DB94" i="3" s="1"/>
  <c r="DA94" i="3"/>
  <c r="DC94" i="3"/>
  <c r="A95" i="3"/>
  <c r="CY95" i="3"/>
  <c r="CZ95" i="3"/>
  <c r="DB95" i="3" s="1"/>
  <c r="DA95" i="3"/>
  <c r="DC95" i="3"/>
  <c r="A96" i="3"/>
  <c r="CY96" i="3"/>
  <c r="CZ96" i="3"/>
  <c r="DB96" i="3" s="1"/>
  <c r="DA96" i="3"/>
  <c r="DC96" i="3"/>
  <c r="A97" i="3"/>
  <c r="CY97" i="3"/>
  <c r="CZ97" i="3"/>
  <c r="DB97" i="3" s="1"/>
  <c r="DA97" i="3"/>
  <c r="DC97" i="3"/>
  <c r="A98" i="3"/>
  <c r="CY98" i="3"/>
  <c r="CZ98" i="3"/>
  <c r="DA98" i="3"/>
  <c r="DB98" i="3"/>
  <c r="DC98" i="3"/>
  <c r="A99" i="3"/>
  <c r="CY99" i="3"/>
  <c r="CZ99" i="3"/>
  <c r="DB99" i="3" s="1"/>
  <c r="DA99" i="3"/>
  <c r="DC99" i="3"/>
  <c r="A100" i="3"/>
  <c r="CY100" i="3"/>
  <c r="CZ100" i="3"/>
  <c r="DB100" i="3" s="1"/>
  <c r="DA100" i="3"/>
  <c r="DC100" i="3"/>
  <c r="A101" i="3"/>
  <c r="CY101" i="3"/>
  <c r="CZ101" i="3"/>
  <c r="DA101" i="3"/>
  <c r="DB101" i="3"/>
  <c r="DC101" i="3"/>
  <c r="A102" i="3"/>
  <c r="CY102" i="3"/>
  <c r="CZ102" i="3"/>
  <c r="DB102" i="3" s="1"/>
  <c r="DA102" i="3"/>
  <c r="DC102" i="3"/>
  <c r="A103" i="3"/>
  <c r="CY103" i="3"/>
  <c r="CZ103" i="3"/>
  <c r="DB103" i="3" s="1"/>
  <c r="DA103" i="3"/>
  <c r="DC103" i="3"/>
  <c r="A104" i="3"/>
  <c r="CY104" i="3"/>
  <c r="CZ104" i="3"/>
  <c r="DB104" i="3" s="1"/>
  <c r="DA104" i="3"/>
  <c r="DC104" i="3"/>
  <c r="A105" i="3"/>
  <c r="CY105" i="3"/>
  <c r="CZ105" i="3"/>
  <c r="DB105" i="3" s="1"/>
  <c r="DA105" i="3"/>
  <c r="DC105" i="3"/>
  <c r="A106" i="3"/>
  <c r="CY106" i="3"/>
  <c r="CZ106" i="3"/>
  <c r="DB106" i="3" s="1"/>
  <c r="DA106" i="3"/>
  <c r="DC106" i="3"/>
  <c r="A107" i="3"/>
  <c r="CY107" i="3"/>
  <c r="CZ107" i="3"/>
  <c r="DB107" i="3" s="1"/>
  <c r="DA107" i="3"/>
  <c r="DC107" i="3"/>
  <c r="A108" i="3"/>
  <c r="CY108" i="3"/>
  <c r="CZ108" i="3"/>
  <c r="DB108" i="3" s="1"/>
  <c r="DA108" i="3"/>
  <c r="DC108" i="3"/>
  <c r="A109" i="3"/>
  <c r="CY109" i="3"/>
  <c r="CZ109" i="3"/>
  <c r="DB109" i="3" s="1"/>
  <c r="DA109" i="3"/>
  <c r="DC109" i="3"/>
  <c r="A110" i="3"/>
  <c r="CY110" i="3"/>
  <c r="CZ110" i="3"/>
  <c r="DA110" i="3"/>
  <c r="DB110" i="3"/>
  <c r="DC110" i="3"/>
  <c r="A111" i="3"/>
  <c r="CY111" i="3"/>
  <c r="CZ111" i="3"/>
  <c r="DB111" i="3" s="1"/>
  <c r="DA111" i="3"/>
  <c r="DC111" i="3"/>
  <c r="A112" i="3"/>
  <c r="CY112" i="3"/>
  <c r="CZ112" i="3"/>
  <c r="DB112" i="3" s="1"/>
  <c r="DA112" i="3"/>
  <c r="DC112" i="3"/>
  <c r="A113" i="3"/>
  <c r="CY113" i="3"/>
  <c r="CZ113" i="3"/>
  <c r="DA113" i="3"/>
  <c r="DB113" i="3"/>
  <c r="DC113" i="3"/>
  <c r="A114" i="3"/>
  <c r="CY114" i="3"/>
  <c r="CZ114" i="3"/>
  <c r="DB114" i="3" s="1"/>
  <c r="DA114" i="3"/>
  <c r="DC114" i="3"/>
  <c r="A115" i="3"/>
  <c r="CY115" i="3"/>
  <c r="CZ115" i="3"/>
  <c r="DB115" i="3" s="1"/>
  <c r="DA115" i="3"/>
  <c r="DC115" i="3"/>
  <c r="A116" i="3"/>
  <c r="CY116" i="3"/>
  <c r="CZ116" i="3"/>
  <c r="DB116" i="3" s="1"/>
  <c r="DA116" i="3"/>
  <c r="DC116" i="3"/>
  <c r="A117" i="3"/>
  <c r="CY117" i="3"/>
  <c r="CZ117" i="3"/>
  <c r="DB117" i="3" s="1"/>
  <c r="DA117" i="3"/>
  <c r="DC117" i="3"/>
  <c r="A118" i="3"/>
  <c r="CY118" i="3"/>
  <c r="CZ118" i="3"/>
  <c r="DA118" i="3"/>
  <c r="DB118" i="3"/>
  <c r="DC118" i="3"/>
  <c r="A119" i="3"/>
  <c r="CY119" i="3"/>
  <c r="CZ119" i="3"/>
  <c r="DB119" i="3" s="1"/>
  <c r="DA119" i="3"/>
  <c r="DC119" i="3"/>
  <c r="A120" i="3"/>
  <c r="CY120" i="3"/>
  <c r="CZ120" i="3"/>
  <c r="DB120" i="3" s="1"/>
  <c r="DA120" i="3"/>
  <c r="DC120" i="3"/>
  <c r="A121" i="3"/>
  <c r="CY121" i="3"/>
  <c r="CZ121" i="3"/>
  <c r="DA121" i="3"/>
  <c r="DB121" i="3"/>
  <c r="DC121" i="3"/>
  <c r="A122" i="3"/>
  <c r="CY122" i="3"/>
  <c r="CZ122" i="3"/>
  <c r="DA122" i="3"/>
  <c r="DB122" i="3"/>
  <c r="DC122" i="3"/>
  <c r="A123" i="3"/>
  <c r="CY123" i="3"/>
  <c r="CZ123" i="3"/>
  <c r="DB123" i="3" s="1"/>
  <c r="DA123" i="3"/>
  <c r="DC123" i="3"/>
  <c r="A124" i="3"/>
  <c r="CY124" i="3"/>
  <c r="CZ124" i="3"/>
  <c r="DB124" i="3" s="1"/>
  <c r="DA124" i="3"/>
  <c r="DC124" i="3"/>
  <c r="A125" i="3"/>
  <c r="CX125" i="3"/>
  <c r="CY125" i="3"/>
  <c r="CZ125" i="3"/>
  <c r="DB125" i="3" s="1"/>
  <c r="DA125" i="3"/>
  <c r="DC125" i="3"/>
  <c r="A126" i="3"/>
  <c r="CX126" i="3"/>
  <c r="CY126" i="3"/>
  <c r="CZ126" i="3"/>
  <c r="DB126" i="3" s="1"/>
  <c r="DA126" i="3"/>
  <c r="DC126" i="3"/>
  <c r="A127" i="3"/>
  <c r="CX127" i="3"/>
  <c r="CY127" i="3"/>
  <c r="CZ127" i="3"/>
  <c r="DB127" i="3" s="1"/>
  <c r="DA127" i="3"/>
  <c r="DC127" i="3"/>
  <c r="A128" i="3"/>
  <c r="CX128" i="3"/>
  <c r="CY128" i="3"/>
  <c r="CZ128" i="3"/>
  <c r="DB128" i="3" s="1"/>
  <c r="DA128" i="3"/>
  <c r="DC128" i="3"/>
  <c r="A129" i="3"/>
  <c r="CX129" i="3"/>
  <c r="CY129" i="3"/>
  <c r="CZ129" i="3"/>
  <c r="DA129" i="3"/>
  <c r="DB129" i="3"/>
  <c r="DC129" i="3"/>
  <c r="A130" i="3"/>
  <c r="CX130" i="3"/>
  <c r="CY130" i="3"/>
  <c r="CZ130" i="3"/>
  <c r="DA130" i="3"/>
  <c r="DB130" i="3"/>
  <c r="DC130" i="3"/>
  <c r="A131" i="3"/>
  <c r="CX131" i="3"/>
  <c r="CY131" i="3"/>
  <c r="CZ131" i="3"/>
  <c r="DB131" i="3" s="1"/>
  <c r="DA131" i="3"/>
  <c r="DC131" i="3"/>
  <c r="A132" i="3"/>
  <c r="CX132" i="3"/>
  <c r="CY132" i="3"/>
  <c r="CZ132" i="3"/>
  <c r="DB132" i="3" s="1"/>
  <c r="DA132" i="3"/>
  <c r="DC132" i="3"/>
  <c r="A133" i="3"/>
  <c r="CY133" i="3"/>
  <c r="CZ133" i="3"/>
  <c r="DB133" i="3" s="1"/>
  <c r="DA133" i="3"/>
  <c r="DC133" i="3"/>
  <c r="A134" i="3"/>
  <c r="CY134" i="3"/>
  <c r="CZ134" i="3"/>
  <c r="DA134" i="3"/>
  <c r="DB134" i="3"/>
  <c r="DC134" i="3"/>
  <c r="A135" i="3"/>
  <c r="CY135" i="3"/>
  <c r="CZ135" i="3"/>
  <c r="DB135" i="3" s="1"/>
  <c r="DA135" i="3"/>
  <c r="DC135" i="3"/>
  <c r="A136" i="3"/>
  <c r="CY136" i="3"/>
  <c r="CZ136" i="3"/>
  <c r="DB136" i="3" s="1"/>
  <c r="DA136" i="3"/>
  <c r="DC136" i="3"/>
  <c r="A137" i="3"/>
  <c r="CY137" i="3"/>
  <c r="CZ137" i="3"/>
  <c r="DA137" i="3"/>
  <c r="DB137" i="3"/>
  <c r="DC137" i="3"/>
  <c r="A138" i="3"/>
  <c r="CY138" i="3"/>
  <c r="CZ138" i="3"/>
  <c r="DB138" i="3" s="1"/>
  <c r="DA138" i="3"/>
  <c r="DC138" i="3"/>
  <c r="A139" i="3"/>
  <c r="CY139" i="3"/>
  <c r="CZ139" i="3"/>
  <c r="DB139" i="3" s="1"/>
  <c r="DA139" i="3"/>
  <c r="DC139" i="3"/>
  <c r="A140" i="3"/>
  <c r="CY140" i="3"/>
  <c r="CZ140" i="3"/>
  <c r="DB140" i="3" s="1"/>
  <c r="DA140" i="3"/>
  <c r="DC140" i="3"/>
  <c r="A141" i="3"/>
  <c r="CY141" i="3"/>
  <c r="CZ141" i="3"/>
  <c r="DB141" i="3" s="1"/>
  <c r="DA141" i="3"/>
  <c r="DC141" i="3"/>
  <c r="A142" i="3"/>
  <c r="CY142" i="3"/>
  <c r="CZ142" i="3"/>
  <c r="DB142" i="3" s="1"/>
  <c r="DA142" i="3"/>
  <c r="DC142" i="3"/>
  <c r="A143" i="3"/>
  <c r="CY143" i="3"/>
  <c r="CZ143" i="3"/>
  <c r="DB143" i="3" s="1"/>
  <c r="DA143" i="3"/>
  <c r="DC143" i="3"/>
  <c r="A144" i="3"/>
  <c r="CY144" i="3"/>
  <c r="CZ144" i="3"/>
  <c r="DB144" i="3" s="1"/>
  <c r="DA144" i="3"/>
  <c r="DC144" i="3"/>
  <c r="A145" i="3"/>
  <c r="CY145" i="3"/>
  <c r="CZ145" i="3"/>
  <c r="DB145" i="3" s="1"/>
  <c r="DA145" i="3"/>
  <c r="DC145" i="3"/>
  <c r="A146" i="3"/>
  <c r="CY146" i="3"/>
  <c r="CZ146" i="3"/>
  <c r="DA146" i="3"/>
  <c r="DB146" i="3"/>
  <c r="DC146" i="3"/>
  <c r="A147" i="3"/>
  <c r="CY147" i="3"/>
  <c r="CZ147" i="3"/>
  <c r="DB147" i="3" s="1"/>
  <c r="DA147" i="3"/>
  <c r="DC147" i="3"/>
  <c r="A148" i="3"/>
  <c r="CY148" i="3"/>
  <c r="CZ148" i="3"/>
  <c r="DB148" i="3" s="1"/>
  <c r="DA148" i="3"/>
  <c r="DC148" i="3"/>
  <c r="A149" i="3"/>
  <c r="CY149" i="3"/>
  <c r="CZ149" i="3"/>
  <c r="DA149" i="3"/>
  <c r="DB149" i="3"/>
  <c r="DC149" i="3"/>
  <c r="A150" i="3"/>
  <c r="CY150" i="3"/>
  <c r="CZ150" i="3"/>
  <c r="DB150" i="3" s="1"/>
  <c r="DA150" i="3"/>
  <c r="DC150" i="3"/>
  <c r="A151" i="3"/>
  <c r="CY151" i="3"/>
  <c r="CZ151" i="3"/>
  <c r="DB151" i="3" s="1"/>
  <c r="DA151" i="3"/>
  <c r="DC151" i="3"/>
  <c r="A152" i="3"/>
  <c r="CY152" i="3"/>
  <c r="CZ152" i="3"/>
  <c r="DB152" i="3" s="1"/>
  <c r="DA152" i="3"/>
  <c r="DC152" i="3"/>
  <c r="A153" i="3"/>
  <c r="CY153" i="3"/>
  <c r="CZ153" i="3"/>
  <c r="DB153" i="3" s="1"/>
  <c r="DA153" i="3"/>
  <c r="DC153" i="3"/>
  <c r="A154" i="3"/>
  <c r="CY154" i="3"/>
  <c r="CZ154" i="3"/>
  <c r="DB154" i="3" s="1"/>
  <c r="DA154" i="3"/>
  <c r="DC154" i="3"/>
  <c r="A155" i="3"/>
  <c r="CY155" i="3"/>
  <c r="CZ155" i="3"/>
  <c r="DB155" i="3" s="1"/>
  <c r="DA155" i="3"/>
  <c r="DC155" i="3"/>
  <c r="A156" i="3"/>
  <c r="CY156" i="3"/>
  <c r="CZ156" i="3"/>
  <c r="DB156" i="3" s="1"/>
  <c r="DA156" i="3"/>
  <c r="DC156" i="3"/>
  <c r="A157" i="3"/>
  <c r="CY157" i="3"/>
  <c r="CZ157" i="3"/>
  <c r="DB157" i="3" s="1"/>
  <c r="DA157" i="3"/>
  <c r="DC157" i="3"/>
  <c r="A158" i="3"/>
  <c r="CY158" i="3"/>
  <c r="CZ158" i="3"/>
  <c r="DB158" i="3" s="1"/>
  <c r="DA158" i="3"/>
  <c r="DC158" i="3"/>
  <c r="A159" i="3"/>
  <c r="CY159" i="3"/>
  <c r="CZ159" i="3"/>
  <c r="DB159" i="3" s="1"/>
  <c r="DA159" i="3"/>
  <c r="DC159" i="3"/>
  <c r="A160" i="3"/>
  <c r="CY160" i="3"/>
  <c r="CZ160" i="3"/>
  <c r="DB160" i="3" s="1"/>
  <c r="DA160" i="3"/>
  <c r="DC160" i="3"/>
  <c r="A161" i="3"/>
  <c r="CY161" i="3"/>
  <c r="CZ161" i="3"/>
  <c r="DB161" i="3" s="1"/>
  <c r="DA161" i="3"/>
  <c r="DC161" i="3"/>
  <c r="A162" i="3"/>
  <c r="CY162" i="3"/>
  <c r="CZ162" i="3"/>
  <c r="DB162" i="3" s="1"/>
  <c r="DA162" i="3"/>
  <c r="DC162" i="3"/>
  <c r="A163" i="3"/>
  <c r="CY163" i="3"/>
  <c r="CZ163" i="3"/>
  <c r="DB163" i="3" s="1"/>
  <c r="DA163" i="3"/>
  <c r="DC163" i="3"/>
  <c r="A164" i="3"/>
  <c r="CY164" i="3"/>
  <c r="CZ164" i="3"/>
  <c r="DB164" i="3" s="1"/>
  <c r="DA164" i="3"/>
  <c r="DC164" i="3"/>
  <c r="A165" i="3"/>
  <c r="CY165" i="3"/>
  <c r="CZ165" i="3"/>
  <c r="DB165" i="3" s="1"/>
  <c r="DA165" i="3"/>
  <c r="DC165" i="3"/>
  <c r="A166" i="3"/>
  <c r="CY166" i="3"/>
  <c r="CZ166" i="3"/>
  <c r="DA166" i="3"/>
  <c r="DB166" i="3"/>
  <c r="DC166" i="3"/>
  <c r="A167" i="3"/>
  <c r="CY167" i="3"/>
  <c r="CZ167" i="3"/>
  <c r="DB167" i="3" s="1"/>
  <c r="DA167" i="3"/>
  <c r="DC167" i="3"/>
  <c r="A168" i="3"/>
  <c r="CY168" i="3"/>
  <c r="CZ168" i="3"/>
  <c r="DB168" i="3" s="1"/>
  <c r="DA168" i="3"/>
  <c r="DC168" i="3"/>
  <c r="A169" i="3"/>
  <c r="CY169" i="3"/>
  <c r="CZ169" i="3"/>
  <c r="DA169" i="3"/>
  <c r="DB169" i="3"/>
  <c r="DC169" i="3"/>
  <c r="A170" i="3"/>
  <c r="CY170" i="3"/>
  <c r="CZ170" i="3"/>
  <c r="DB170" i="3" s="1"/>
  <c r="DA170" i="3"/>
  <c r="DC170" i="3"/>
  <c r="A171" i="3"/>
  <c r="CY171" i="3"/>
  <c r="CZ171" i="3"/>
  <c r="DB171" i="3" s="1"/>
  <c r="DA171" i="3"/>
  <c r="DC171" i="3"/>
  <c r="A172" i="3"/>
  <c r="CY172" i="3"/>
  <c r="CZ172" i="3"/>
  <c r="DB172" i="3" s="1"/>
  <c r="DA172" i="3"/>
  <c r="DC172" i="3"/>
  <c r="A173" i="3"/>
  <c r="CY173" i="3"/>
  <c r="CZ173" i="3"/>
  <c r="DB173" i="3" s="1"/>
  <c r="DA173" i="3"/>
  <c r="DC173" i="3"/>
  <c r="A174" i="3"/>
  <c r="CY174" i="3"/>
  <c r="CZ174" i="3"/>
  <c r="DA174" i="3"/>
  <c r="DB174" i="3"/>
  <c r="DC174" i="3"/>
  <c r="A175" i="3"/>
  <c r="CY175" i="3"/>
  <c r="CZ175" i="3"/>
  <c r="DB175" i="3" s="1"/>
  <c r="DA175" i="3"/>
  <c r="DC175" i="3"/>
  <c r="A176" i="3"/>
  <c r="CY176" i="3"/>
  <c r="CZ176" i="3"/>
  <c r="DB176" i="3" s="1"/>
  <c r="DA176" i="3"/>
  <c r="DC176" i="3"/>
  <c r="A177" i="3"/>
  <c r="CY177" i="3"/>
  <c r="CZ177" i="3"/>
  <c r="DA177" i="3"/>
  <c r="DB177" i="3"/>
  <c r="DC177" i="3"/>
  <c r="A178" i="3"/>
  <c r="CY178" i="3"/>
  <c r="CZ178" i="3"/>
  <c r="DA178" i="3"/>
  <c r="DB178" i="3"/>
  <c r="DC178" i="3"/>
  <c r="A179" i="3"/>
  <c r="CY179" i="3"/>
  <c r="CZ179" i="3"/>
  <c r="DB179" i="3" s="1"/>
  <c r="DA179" i="3"/>
  <c r="DC179" i="3"/>
  <c r="A180" i="3"/>
  <c r="CY180" i="3"/>
  <c r="CZ180" i="3"/>
  <c r="DB180" i="3" s="1"/>
  <c r="DA180" i="3"/>
  <c r="DC180" i="3"/>
  <c r="A181" i="3"/>
  <c r="CY181" i="3"/>
  <c r="CZ181" i="3"/>
  <c r="DA181" i="3"/>
  <c r="DB181" i="3"/>
  <c r="DC181" i="3"/>
  <c r="A182" i="3"/>
  <c r="CY182" i="3"/>
  <c r="CZ182" i="3"/>
  <c r="DB182" i="3" s="1"/>
  <c r="DA182" i="3"/>
  <c r="DC182" i="3"/>
  <c r="A183" i="3"/>
  <c r="CY183" i="3"/>
  <c r="CZ183" i="3"/>
  <c r="DB183" i="3" s="1"/>
  <c r="DA183" i="3"/>
  <c r="DC183" i="3"/>
  <c r="A184" i="3"/>
  <c r="CY184" i="3"/>
  <c r="CZ184" i="3"/>
  <c r="DB184" i="3" s="1"/>
  <c r="DA184" i="3"/>
  <c r="DC184" i="3"/>
  <c r="A185" i="3"/>
  <c r="CY185" i="3"/>
  <c r="CZ185" i="3"/>
  <c r="DB185" i="3" s="1"/>
  <c r="DA185" i="3"/>
  <c r="DC185" i="3"/>
  <c r="A186" i="3"/>
  <c r="CY186" i="3"/>
  <c r="CZ186" i="3"/>
  <c r="DB186" i="3" s="1"/>
  <c r="DA186" i="3"/>
  <c r="DC186" i="3"/>
  <c r="A187" i="3"/>
  <c r="CY187" i="3"/>
  <c r="CZ187" i="3"/>
  <c r="DA187" i="3"/>
  <c r="DB187" i="3"/>
  <c r="DC187" i="3"/>
  <c r="A188" i="3"/>
  <c r="CY188" i="3"/>
  <c r="CZ188" i="3"/>
  <c r="DB188" i="3" s="1"/>
  <c r="DA188" i="3"/>
  <c r="DC188" i="3"/>
  <c r="A189" i="3"/>
  <c r="CY189" i="3"/>
  <c r="CZ189" i="3"/>
  <c r="DB189" i="3" s="1"/>
  <c r="DA189" i="3"/>
  <c r="DC189" i="3"/>
  <c r="A190" i="3"/>
  <c r="CY190" i="3"/>
  <c r="CZ190" i="3"/>
  <c r="DA190" i="3"/>
  <c r="DB190" i="3"/>
  <c r="DC190" i="3"/>
  <c r="A191" i="3"/>
  <c r="CX191" i="3"/>
  <c r="CY191" i="3"/>
  <c r="CZ191" i="3"/>
  <c r="DB191" i="3" s="1"/>
  <c r="DA191" i="3"/>
  <c r="DC191" i="3"/>
  <c r="A192" i="3"/>
  <c r="CX192" i="3"/>
  <c r="CY192" i="3"/>
  <c r="CZ192" i="3"/>
  <c r="DB192" i="3" s="1"/>
  <c r="DA192" i="3"/>
  <c r="DC192" i="3"/>
  <c r="A193" i="3"/>
  <c r="CX193" i="3"/>
  <c r="CY193" i="3"/>
  <c r="CZ193" i="3"/>
  <c r="DB193" i="3" s="1"/>
  <c r="DA193" i="3"/>
  <c r="DC193" i="3"/>
  <c r="A194" i="3"/>
  <c r="CX194" i="3"/>
  <c r="CY194" i="3"/>
  <c r="CZ194" i="3"/>
  <c r="DB194" i="3" s="1"/>
  <c r="DA194" i="3"/>
  <c r="DC194" i="3"/>
  <c r="A195" i="3"/>
  <c r="CX195" i="3"/>
  <c r="CY195" i="3"/>
  <c r="CZ195" i="3"/>
  <c r="DB195" i="3" s="1"/>
  <c r="DA195" i="3"/>
  <c r="DC195" i="3"/>
  <c r="A196" i="3"/>
  <c r="CX196" i="3"/>
  <c r="CY196" i="3"/>
  <c r="CZ196" i="3"/>
  <c r="DB196" i="3" s="1"/>
  <c r="DA196" i="3"/>
  <c r="DC196" i="3"/>
  <c r="A197" i="3"/>
  <c r="CX197" i="3"/>
  <c r="CY197" i="3"/>
  <c r="CZ197" i="3"/>
  <c r="DB197" i="3" s="1"/>
  <c r="DA197" i="3"/>
  <c r="DC197" i="3"/>
  <c r="A198" i="3"/>
  <c r="CX198" i="3"/>
  <c r="CY198" i="3"/>
  <c r="CZ198" i="3"/>
  <c r="DA198" i="3"/>
  <c r="DB198" i="3"/>
  <c r="DC198" i="3"/>
  <c r="A199" i="3"/>
  <c r="CY199" i="3"/>
  <c r="CZ199" i="3"/>
  <c r="DB199" i="3" s="1"/>
  <c r="DA199" i="3"/>
  <c r="DC199" i="3"/>
  <c r="A200" i="3"/>
  <c r="CY200" i="3"/>
  <c r="CZ200" i="3"/>
  <c r="DB200" i="3" s="1"/>
  <c r="DA200" i="3"/>
  <c r="DC200" i="3"/>
  <c r="A201" i="3"/>
  <c r="CY201" i="3"/>
  <c r="CZ201" i="3"/>
  <c r="DB201" i="3" s="1"/>
  <c r="DA201" i="3"/>
  <c r="DC201" i="3"/>
  <c r="A202" i="3"/>
  <c r="CY202" i="3"/>
  <c r="CZ202" i="3"/>
  <c r="DB202" i="3" s="1"/>
  <c r="DA202" i="3"/>
  <c r="DC202" i="3"/>
  <c r="A203" i="3"/>
  <c r="CY203" i="3"/>
  <c r="CZ203" i="3"/>
  <c r="DA203" i="3"/>
  <c r="DB203" i="3"/>
  <c r="DC203" i="3"/>
  <c r="A204" i="3"/>
  <c r="CY204" i="3"/>
  <c r="CZ204" i="3"/>
  <c r="DB204" i="3" s="1"/>
  <c r="DA204" i="3"/>
  <c r="DC204" i="3"/>
  <c r="A205" i="3"/>
  <c r="CY205" i="3"/>
  <c r="CZ205" i="3"/>
  <c r="DB205" i="3" s="1"/>
  <c r="DA205" i="3"/>
  <c r="DC205" i="3"/>
  <c r="A206" i="3"/>
  <c r="CY206" i="3"/>
  <c r="CZ206" i="3"/>
  <c r="DA206" i="3"/>
  <c r="DB206" i="3"/>
  <c r="DC206" i="3"/>
  <c r="A207" i="3"/>
  <c r="CY207" i="3"/>
  <c r="CZ207" i="3"/>
  <c r="DB207" i="3" s="1"/>
  <c r="DA207" i="3"/>
  <c r="DC207" i="3"/>
  <c r="A208" i="3"/>
  <c r="CY208" i="3"/>
  <c r="CZ208" i="3"/>
  <c r="DB208" i="3" s="1"/>
  <c r="DA208" i="3"/>
  <c r="DC208" i="3"/>
  <c r="A209" i="3"/>
  <c r="CY209" i="3"/>
  <c r="CZ209" i="3"/>
  <c r="DB209" i="3" s="1"/>
  <c r="DA209" i="3"/>
  <c r="DC209" i="3"/>
  <c r="A210" i="3"/>
  <c r="CY210" i="3"/>
  <c r="CZ210" i="3"/>
  <c r="DB210" i="3" s="1"/>
  <c r="DA210" i="3"/>
  <c r="DC210" i="3"/>
  <c r="A211" i="3"/>
  <c r="CY211" i="3"/>
  <c r="CZ211" i="3"/>
  <c r="DA211" i="3"/>
  <c r="DB211" i="3"/>
  <c r="DC211" i="3"/>
  <c r="A212" i="3"/>
  <c r="CY212" i="3"/>
  <c r="CZ212" i="3"/>
  <c r="DB212" i="3" s="1"/>
  <c r="DA212" i="3"/>
  <c r="DC212" i="3"/>
  <c r="A213" i="3"/>
  <c r="CY213" i="3"/>
  <c r="CZ213" i="3"/>
  <c r="DB213" i="3" s="1"/>
  <c r="DA213" i="3"/>
  <c r="DC213" i="3"/>
  <c r="A214" i="3"/>
  <c r="CY214" i="3"/>
  <c r="CZ214" i="3"/>
  <c r="DA214" i="3"/>
  <c r="DB214" i="3"/>
  <c r="DC214" i="3"/>
  <c r="A215" i="3"/>
  <c r="CY215" i="3"/>
  <c r="CZ215" i="3"/>
  <c r="DA215" i="3"/>
  <c r="DB215" i="3"/>
  <c r="DC215" i="3"/>
  <c r="A216" i="3"/>
  <c r="CY216" i="3"/>
  <c r="CZ216" i="3"/>
  <c r="DB216" i="3" s="1"/>
  <c r="DA216" i="3"/>
  <c r="DC216" i="3"/>
  <c r="A217" i="3"/>
  <c r="CY217" i="3"/>
  <c r="CZ217" i="3"/>
  <c r="DB217" i="3" s="1"/>
  <c r="DA217" i="3"/>
  <c r="DC217" i="3"/>
  <c r="A218" i="3"/>
  <c r="CY218" i="3"/>
  <c r="CZ218" i="3"/>
  <c r="DA218" i="3"/>
  <c r="DB218" i="3"/>
  <c r="DC218" i="3"/>
  <c r="A219" i="3"/>
  <c r="CY219" i="3"/>
  <c r="CZ219" i="3"/>
  <c r="DB219" i="3" s="1"/>
  <c r="DA219" i="3"/>
  <c r="DC219" i="3"/>
  <c r="A220" i="3"/>
  <c r="CY220" i="3"/>
  <c r="CZ220" i="3"/>
  <c r="DB220" i="3" s="1"/>
  <c r="DA220" i="3"/>
  <c r="DC220" i="3"/>
  <c r="A221" i="3"/>
  <c r="CY221" i="3"/>
  <c r="CZ221" i="3"/>
  <c r="DB221" i="3" s="1"/>
  <c r="DA221" i="3"/>
  <c r="DC221" i="3"/>
  <c r="A222" i="3"/>
  <c r="CY222" i="3"/>
  <c r="CZ222" i="3"/>
  <c r="DB222" i="3" s="1"/>
  <c r="DA222" i="3"/>
  <c r="DC222" i="3"/>
  <c r="A223" i="3"/>
  <c r="CY223" i="3"/>
  <c r="CZ223" i="3"/>
  <c r="DA223" i="3"/>
  <c r="DB223" i="3"/>
  <c r="DC223" i="3"/>
  <c r="A224" i="3"/>
  <c r="CY224" i="3"/>
  <c r="CZ224" i="3"/>
  <c r="DB224" i="3" s="1"/>
  <c r="DA224" i="3"/>
  <c r="DC224" i="3"/>
  <c r="A225" i="3"/>
  <c r="CY225" i="3"/>
  <c r="CZ225" i="3"/>
  <c r="DB225" i="3" s="1"/>
  <c r="DA225" i="3"/>
  <c r="DC225" i="3"/>
  <c r="A226" i="3"/>
  <c r="CY226" i="3"/>
  <c r="CZ226" i="3"/>
  <c r="DA226" i="3"/>
  <c r="DB226" i="3"/>
  <c r="DC226" i="3"/>
  <c r="A227" i="3"/>
  <c r="CY227" i="3"/>
  <c r="CZ227" i="3"/>
  <c r="DA227" i="3"/>
  <c r="DB227" i="3"/>
  <c r="DC227" i="3"/>
  <c r="A228" i="3"/>
  <c r="CY228" i="3"/>
  <c r="CZ228" i="3"/>
  <c r="DB228" i="3" s="1"/>
  <c r="DA228" i="3"/>
  <c r="DC228" i="3"/>
  <c r="A229" i="3"/>
  <c r="CY229" i="3"/>
  <c r="CZ229" i="3"/>
  <c r="DB229" i="3" s="1"/>
  <c r="DA229" i="3"/>
  <c r="DC229" i="3"/>
  <c r="A230" i="3"/>
  <c r="CY230" i="3"/>
  <c r="CZ230" i="3"/>
  <c r="DA230" i="3"/>
  <c r="DB230" i="3"/>
  <c r="DC230" i="3"/>
  <c r="A231" i="3"/>
  <c r="CY231" i="3"/>
  <c r="CZ231" i="3"/>
  <c r="DB231" i="3" s="1"/>
  <c r="DA231" i="3"/>
  <c r="DC231" i="3"/>
  <c r="A232" i="3"/>
  <c r="CY232" i="3"/>
  <c r="CZ232" i="3"/>
  <c r="DB232" i="3" s="1"/>
  <c r="DA232" i="3"/>
  <c r="DC232" i="3"/>
  <c r="A233" i="3"/>
  <c r="CY233" i="3"/>
  <c r="CZ233" i="3"/>
  <c r="DB233" i="3" s="1"/>
  <c r="DA233" i="3"/>
  <c r="DC233" i="3"/>
  <c r="A234" i="3"/>
  <c r="CY234" i="3"/>
  <c r="CZ234" i="3"/>
  <c r="DB234" i="3" s="1"/>
  <c r="DA234" i="3"/>
  <c r="DC234" i="3"/>
  <c r="A235" i="3"/>
  <c r="CY235" i="3"/>
  <c r="CZ235" i="3"/>
  <c r="DA235" i="3"/>
  <c r="DB235" i="3"/>
  <c r="DC235" i="3"/>
  <c r="A236" i="3"/>
  <c r="CY236" i="3"/>
  <c r="CZ236" i="3"/>
  <c r="DB236" i="3" s="1"/>
  <c r="DA236" i="3"/>
  <c r="DC236" i="3"/>
  <c r="A237" i="3"/>
  <c r="CY237" i="3"/>
  <c r="CZ237" i="3"/>
  <c r="DB237" i="3" s="1"/>
  <c r="DA237" i="3"/>
  <c r="DC237" i="3"/>
  <c r="A238" i="3"/>
  <c r="CY238" i="3"/>
  <c r="CZ238" i="3"/>
  <c r="DA238" i="3"/>
  <c r="DB238" i="3"/>
  <c r="DC238" i="3"/>
  <c r="A239" i="3"/>
  <c r="CY239" i="3"/>
  <c r="CZ239" i="3"/>
  <c r="DB239" i="3" s="1"/>
  <c r="DA239" i="3"/>
  <c r="DC239" i="3"/>
  <c r="A240" i="3"/>
  <c r="CY240" i="3"/>
  <c r="CZ240" i="3"/>
  <c r="DB240" i="3" s="1"/>
  <c r="DA240" i="3"/>
  <c r="DC240" i="3"/>
  <c r="A241" i="3"/>
  <c r="CY241" i="3"/>
  <c r="CZ241" i="3"/>
  <c r="DB241" i="3" s="1"/>
  <c r="DA241" i="3"/>
  <c r="DC241" i="3"/>
  <c r="A242" i="3"/>
  <c r="CY242" i="3"/>
  <c r="CZ242" i="3"/>
  <c r="DB242" i="3" s="1"/>
  <c r="DA242" i="3"/>
  <c r="DC242" i="3"/>
  <c r="A243" i="3"/>
  <c r="CY243" i="3"/>
  <c r="CZ243" i="3"/>
  <c r="DA243" i="3"/>
  <c r="DB243" i="3"/>
  <c r="DC243" i="3"/>
  <c r="A244" i="3"/>
  <c r="CY244" i="3"/>
  <c r="CZ244" i="3"/>
  <c r="DB244" i="3" s="1"/>
  <c r="DA244" i="3"/>
  <c r="DC244" i="3"/>
  <c r="A245" i="3"/>
  <c r="CY245" i="3"/>
  <c r="CZ245" i="3"/>
  <c r="DB245" i="3" s="1"/>
  <c r="DA245" i="3"/>
  <c r="DC245" i="3"/>
  <c r="A246" i="3"/>
  <c r="CY246" i="3"/>
  <c r="CZ246" i="3"/>
  <c r="DA246" i="3"/>
  <c r="DB246" i="3"/>
  <c r="DC246" i="3"/>
  <c r="A247" i="3"/>
  <c r="CY247" i="3"/>
  <c r="CZ247" i="3"/>
  <c r="DB247" i="3" s="1"/>
  <c r="DA247" i="3"/>
  <c r="DC247" i="3"/>
  <c r="A248" i="3"/>
  <c r="CX248" i="3"/>
  <c r="CY248" i="3"/>
  <c r="CZ248" i="3"/>
  <c r="DB248" i="3" s="1"/>
  <c r="DA248" i="3"/>
  <c r="DC248" i="3"/>
  <c r="A249" i="3"/>
  <c r="CX249" i="3"/>
  <c r="CY249" i="3"/>
  <c r="CZ249" i="3"/>
  <c r="DB249" i="3" s="1"/>
  <c r="DA249" i="3"/>
  <c r="DC249" i="3"/>
  <c r="A250" i="3"/>
  <c r="CX250" i="3"/>
  <c r="CY250" i="3"/>
  <c r="CZ250" i="3"/>
  <c r="DB250" i="3" s="1"/>
  <c r="DA250" i="3"/>
  <c r="DC250" i="3"/>
  <c r="A251" i="3"/>
  <c r="CY251" i="3"/>
  <c r="CZ251" i="3"/>
  <c r="DB251" i="3" s="1"/>
  <c r="DA251" i="3"/>
  <c r="DC251" i="3"/>
  <c r="A252" i="3"/>
  <c r="CY252" i="3"/>
  <c r="CZ252" i="3"/>
  <c r="DB252" i="3" s="1"/>
  <c r="DA252" i="3"/>
  <c r="DC252" i="3"/>
  <c r="A253" i="3"/>
  <c r="CY253" i="3"/>
  <c r="CZ253" i="3"/>
  <c r="DB253" i="3" s="1"/>
  <c r="DA253" i="3"/>
  <c r="DC253" i="3"/>
  <c r="A254" i="3"/>
  <c r="CY254" i="3"/>
  <c r="CZ254" i="3"/>
  <c r="DB254" i="3" s="1"/>
  <c r="DA254" i="3"/>
  <c r="DC254" i="3"/>
  <c r="A255" i="3"/>
  <c r="CY255" i="3"/>
  <c r="CZ255" i="3"/>
  <c r="DB255" i="3" s="1"/>
  <c r="DA255" i="3"/>
  <c r="DC255" i="3"/>
  <c r="A256" i="3"/>
  <c r="CY256" i="3"/>
  <c r="CZ256" i="3"/>
  <c r="DB256" i="3" s="1"/>
  <c r="DA256" i="3"/>
  <c r="DC256" i="3"/>
  <c r="A257" i="3"/>
  <c r="CY257" i="3"/>
  <c r="CZ257" i="3"/>
  <c r="DB257" i="3" s="1"/>
  <c r="DA257" i="3"/>
  <c r="DC257" i="3"/>
  <c r="A258" i="3"/>
  <c r="CY258" i="3"/>
  <c r="CZ258" i="3"/>
  <c r="DB258" i="3" s="1"/>
  <c r="DA258" i="3"/>
  <c r="DC258" i="3"/>
  <c r="A259" i="3"/>
  <c r="CX259" i="3"/>
  <c r="CY259" i="3"/>
  <c r="CZ259" i="3"/>
  <c r="DB259" i="3" s="1"/>
  <c r="DA259" i="3"/>
  <c r="DC259" i="3"/>
  <c r="A260" i="3"/>
  <c r="CY260" i="3"/>
  <c r="CZ260" i="3"/>
  <c r="DB260" i="3" s="1"/>
  <c r="DA260" i="3"/>
  <c r="DC260" i="3"/>
  <c r="A261" i="3"/>
  <c r="CY261" i="3"/>
  <c r="CZ261" i="3"/>
  <c r="DB261" i="3" s="1"/>
  <c r="DA261" i="3"/>
  <c r="DC261" i="3"/>
  <c r="A262" i="3"/>
  <c r="CY262" i="3"/>
  <c r="CZ262" i="3"/>
  <c r="DB262" i="3" s="1"/>
  <c r="DA262" i="3"/>
  <c r="DC262" i="3"/>
  <c r="A263" i="3"/>
  <c r="CY263" i="3"/>
  <c r="CZ263" i="3"/>
  <c r="DA263" i="3"/>
  <c r="DB263" i="3"/>
  <c r="DC263" i="3"/>
  <c r="A264" i="3"/>
  <c r="CY264" i="3"/>
  <c r="CZ264" i="3"/>
  <c r="DB264" i="3" s="1"/>
  <c r="DA264" i="3"/>
  <c r="DC264" i="3"/>
  <c r="A265" i="3"/>
  <c r="CY265" i="3"/>
  <c r="CZ265" i="3"/>
  <c r="DB265" i="3" s="1"/>
  <c r="DA265" i="3"/>
  <c r="DC265" i="3"/>
  <c r="A266" i="3"/>
  <c r="CY266" i="3"/>
  <c r="CZ266" i="3"/>
  <c r="DA266" i="3"/>
  <c r="DB266" i="3"/>
  <c r="DC266" i="3"/>
  <c r="A267" i="3"/>
  <c r="CY267" i="3"/>
  <c r="CZ267" i="3"/>
  <c r="DB267" i="3" s="1"/>
  <c r="DA267" i="3"/>
  <c r="DC267" i="3"/>
  <c r="A268" i="3"/>
  <c r="CY268" i="3"/>
  <c r="CZ268" i="3"/>
  <c r="DB268" i="3" s="1"/>
  <c r="DA268" i="3"/>
  <c r="DC268" i="3"/>
  <c r="A269" i="3"/>
  <c r="CY269" i="3"/>
  <c r="CZ269" i="3"/>
  <c r="DB269" i="3" s="1"/>
  <c r="DA269" i="3"/>
  <c r="DC269" i="3"/>
  <c r="A270" i="3"/>
  <c r="CY270" i="3"/>
  <c r="CZ270" i="3"/>
  <c r="DB270" i="3" s="1"/>
  <c r="DA270" i="3"/>
  <c r="DC270" i="3"/>
  <c r="A271" i="3"/>
  <c r="CY271" i="3"/>
  <c r="CZ271" i="3"/>
  <c r="DB271" i="3" s="1"/>
  <c r="DA271" i="3"/>
  <c r="DC271" i="3"/>
  <c r="A272" i="3"/>
  <c r="CY272" i="3"/>
  <c r="CZ272" i="3"/>
  <c r="DB272" i="3" s="1"/>
  <c r="DA272" i="3"/>
  <c r="DC272" i="3"/>
  <c r="A273" i="3"/>
  <c r="CY273" i="3"/>
  <c r="CZ273" i="3"/>
  <c r="DB273" i="3" s="1"/>
  <c r="DA273" i="3"/>
  <c r="DC273" i="3"/>
  <c r="A274" i="3"/>
  <c r="CY274" i="3"/>
  <c r="CZ274" i="3"/>
  <c r="DB274" i="3" s="1"/>
  <c r="DA274" i="3"/>
  <c r="DC274" i="3"/>
  <c r="A275" i="3"/>
  <c r="CY275" i="3"/>
  <c r="CZ275" i="3"/>
  <c r="DA275" i="3"/>
  <c r="DB275" i="3"/>
  <c r="DC275" i="3"/>
  <c r="A276" i="3"/>
  <c r="CY276" i="3"/>
  <c r="CZ276" i="3"/>
  <c r="DB276" i="3" s="1"/>
  <c r="DA276" i="3"/>
  <c r="DC276" i="3"/>
  <c r="A277" i="3"/>
  <c r="CY277" i="3"/>
  <c r="CZ277" i="3"/>
  <c r="DB277" i="3" s="1"/>
  <c r="DA277" i="3"/>
  <c r="DC277" i="3"/>
  <c r="A278" i="3"/>
  <c r="CY278" i="3"/>
  <c r="CZ278" i="3"/>
  <c r="DA278" i="3"/>
  <c r="DB278" i="3"/>
  <c r="DC278" i="3"/>
  <c r="A279" i="3"/>
  <c r="CY279" i="3"/>
  <c r="CZ279" i="3"/>
  <c r="DB279" i="3" s="1"/>
  <c r="DA279" i="3"/>
  <c r="DC279" i="3"/>
  <c r="A280" i="3"/>
  <c r="CY280" i="3"/>
  <c r="CZ280" i="3"/>
  <c r="DB280" i="3" s="1"/>
  <c r="DA280" i="3"/>
  <c r="DC280" i="3"/>
  <c r="A281" i="3"/>
  <c r="CY281" i="3"/>
  <c r="CZ281" i="3"/>
  <c r="DB281" i="3" s="1"/>
  <c r="DA281" i="3"/>
  <c r="DC281" i="3"/>
  <c r="A282" i="3"/>
  <c r="CY282" i="3"/>
  <c r="CZ282" i="3"/>
  <c r="DB282" i="3" s="1"/>
  <c r="DA282" i="3"/>
  <c r="DC282" i="3"/>
  <c r="A283" i="3"/>
  <c r="CY283" i="3"/>
  <c r="CZ283" i="3"/>
  <c r="DA283" i="3"/>
  <c r="DB283" i="3"/>
  <c r="DC283" i="3"/>
  <c r="A284" i="3"/>
  <c r="CY284" i="3"/>
  <c r="CZ284" i="3"/>
  <c r="DB284" i="3" s="1"/>
  <c r="DA284" i="3"/>
  <c r="DC284" i="3"/>
  <c r="A285" i="3"/>
  <c r="CY285" i="3"/>
  <c r="CZ285" i="3"/>
  <c r="DB285" i="3" s="1"/>
  <c r="DA285" i="3"/>
  <c r="DC285" i="3"/>
  <c r="A286" i="3"/>
  <c r="CY286" i="3"/>
  <c r="CZ286" i="3"/>
  <c r="DA286" i="3"/>
  <c r="DB286" i="3"/>
  <c r="DC286" i="3"/>
  <c r="A287" i="3"/>
  <c r="CY287" i="3"/>
  <c r="CZ287" i="3"/>
  <c r="DA287" i="3"/>
  <c r="DB287" i="3"/>
  <c r="DC287" i="3"/>
  <c r="A288" i="3"/>
  <c r="CX288" i="3"/>
  <c r="CY288" i="3"/>
  <c r="CZ288" i="3"/>
  <c r="DB288" i="3" s="1"/>
  <c r="DA288" i="3"/>
  <c r="DC288" i="3"/>
  <c r="A289" i="3"/>
  <c r="CX289" i="3"/>
  <c r="CY289" i="3"/>
  <c r="CZ289" i="3"/>
  <c r="DB289" i="3" s="1"/>
  <c r="DA289" i="3"/>
  <c r="DC289" i="3"/>
  <c r="A290" i="3"/>
  <c r="CX290" i="3"/>
  <c r="CY290" i="3"/>
  <c r="CZ290" i="3"/>
  <c r="DB290" i="3" s="1"/>
  <c r="DA290" i="3"/>
  <c r="DC290" i="3"/>
  <c r="A291" i="3"/>
  <c r="CY291" i="3"/>
  <c r="CZ291" i="3"/>
  <c r="DB291" i="3" s="1"/>
  <c r="DA291" i="3"/>
  <c r="DC291" i="3"/>
  <c r="A292" i="3"/>
  <c r="CY292" i="3"/>
  <c r="CZ292" i="3"/>
  <c r="DB292" i="3" s="1"/>
  <c r="DA292" i="3"/>
  <c r="DC292" i="3"/>
  <c r="A293" i="3"/>
  <c r="CY293" i="3"/>
  <c r="CZ293" i="3"/>
  <c r="DB293" i="3" s="1"/>
  <c r="DA293" i="3"/>
  <c r="DC293" i="3"/>
  <c r="A294" i="3"/>
  <c r="CY294" i="3"/>
  <c r="CZ294" i="3"/>
  <c r="DB294" i="3" s="1"/>
  <c r="DA294" i="3"/>
  <c r="DC294" i="3"/>
  <c r="A295" i="3"/>
  <c r="CY295" i="3"/>
  <c r="CZ295" i="3"/>
  <c r="DA295" i="3"/>
  <c r="DB295" i="3"/>
  <c r="DC295" i="3"/>
  <c r="A296" i="3"/>
  <c r="CY296" i="3"/>
  <c r="CZ296" i="3"/>
  <c r="DB296" i="3" s="1"/>
  <c r="DA296" i="3"/>
  <c r="DC296" i="3"/>
  <c r="A297" i="3"/>
  <c r="CY297" i="3"/>
  <c r="CZ297" i="3"/>
  <c r="DB297" i="3" s="1"/>
  <c r="DA297" i="3"/>
  <c r="DC297" i="3"/>
  <c r="A298" i="3"/>
  <c r="CY298" i="3"/>
  <c r="CZ298" i="3"/>
  <c r="DB298" i="3" s="1"/>
  <c r="DA298" i="3"/>
  <c r="DC298" i="3"/>
  <c r="A299" i="3"/>
  <c r="CY299" i="3"/>
  <c r="CZ299" i="3"/>
  <c r="DA299" i="3"/>
  <c r="DB299" i="3"/>
  <c r="DC299" i="3"/>
  <c r="A300" i="3"/>
  <c r="CY300" i="3"/>
  <c r="CZ300" i="3"/>
  <c r="DB300" i="3" s="1"/>
  <c r="DA300" i="3"/>
  <c r="DC300" i="3"/>
  <c r="A301" i="3"/>
  <c r="CY301" i="3"/>
  <c r="CZ301" i="3"/>
  <c r="DB301" i="3" s="1"/>
  <c r="DA301" i="3"/>
  <c r="DC301" i="3"/>
  <c r="A302" i="3"/>
  <c r="CY302" i="3"/>
  <c r="CZ302" i="3"/>
  <c r="DB302" i="3" s="1"/>
  <c r="DA302" i="3"/>
  <c r="DC302" i="3"/>
  <c r="A303" i="3"/>
  <c r="CY303" i="3"/>
  <c r="CZ303" i="3"/>
  <c r="DA303" i="3"/>
  <c r="DB303" i="3"/>
  <c r="DC303" i="3"/>
  <c r="A304" i="3"/>
  <c r="CY304" i="3"/>
  <c r="CZ304" i="3"/>
  <c r="DA304" i="3"/>
  <c r="DB304" i="3"/>
  <c r="DC304" i="3"/>
  <c r="A305" i="3"/>
  <c r="CY305" i="3"/>
  <c r="CZ305" i="3"/>
  <c r="DB305" i="3" s="1"/>
  <c r="DA305" i="3"/>
  <c r="DC305" i="3"/>
  <c r="A306" i="3"/>
  <c r="CY306" i="3"/>
  <c r="CZ306" i="3"/>
  <c r="DA306" i="3"/>
  <c r="DB306" i="3"/>
  <c r="DC306" i="3"/>
  <c r="A307" i="3"/>
  <c r="CY307" i="3"/>
  <c r="CZ307" i="3"/>
  <c r="DB307" i="3" s="1"/>
  <c r="DA307" i="3"/>
  <c r="DC307" i="3"/>
  <c r="A308" i="3"/>
  <c r="CY308" i="3"/>
  <c r="CZ308" i="3"/>
  <c r="DB308" i="3" s="1"/>
  <c r="DA308" i="3"/>
  <c r="DC308" i="3"/>
  <c r="A309" i="3"/>
  <c r="CY309" i="3"/>
  <c r="CZ309" i="3"/>
  <c r="DB309" i="3" s="1"/>
  <c r="DA309" i="3"/>
  <c r="DC309" i="3"/>
  <c r="A310" i="3"/>
  <c r="CY310" i="3"/>
  <c r="CZ310" i="3"/>
  <c r="DB310" i="3" s="1"/>
  <c r="DA310" i="3"/>
  <c r="DC310" i="3"/>
  <c r="A311" i="3"/>
  <c r="CY311" i="3"/>
  <c r="CZ311" i="3"/>
  <c r="DA311" i="3"/>
  <c r="DB311" i="3"/>
  <c r="DC311" i="3"/>
  <c r="A312" i="3"/>
  <c r="CY312" i="3"/>
  <c r="CZ312" i="3"/>
  <c r="DA312" i="3"/>
  <c r="DB312" i="3"/>
  <c r="DC312" i="3"/>
  <c r="A313" i="3"/>
  <c r="CY313" i="3"/>
  <c r="CZ313" i="3"/>
  <c r="DB313" i="3" s="1"/>
  <c r="DA313" i="3"/>
  <c r="DC313" i="3"/>
  <c r="A314" i="3"/>
  <c r="CY314" i="3"/>
  <c r="CZ314" i="3"/>
  <c r="DA314" i="3"/>
  <c r="DB314" i="3"/>
  <c r="DC314" i="3"/>
  <c r="A315" i="3"/>
  <c r="CY315" i="3"/>
  <c r="CZ315" i="3"/>
  <c r="DA315" i="3"/>
  <c r="DB315" i="3"/>
  <c r="DC315" i="3"/>
  <c r="A316" i="3"/>
  <c r="CY316" i="3"/>
  <c r="CZ316" i="3"/>
  <c r="DB316" i="3" s="1"/>
  <c r="DA316" i="3"/>
  <c r="DC316" i="3"/>
  <c r="A317" i="3"/>
  <c r="CY317" i="3"/>
  <c r="CZ317" i="3"/>
  <c r="DB317" i="3" s="1"/>
  <c r="DA317" i="3"/>
  <c r="DC317" i="3"/>
  <c r="A318" i="3"/>
  <c r="CY318" i="3"/>
  <c r="CZ318" i="3"/>
  <c r="DB318" i="3" s="1"/>
  <c r="DA318" i="3"/>
  <c r="DC318" i="3"/>
  <c r="A319" i="3"/>
  <c r="CY319" i="3"/>
  <c r="CZ319" i="3"/>
  <c r="DA319" i="3"/>
  <c r="DB319" i="3"/>
  <c r="DC319" i="3"/>
  <c r="A320" i="3"/>
  <c r="CY320" i="3"/>
  <c r="CZ320" i="3"/>
  <c r="DB320" i="3" s="1"/>
  <c r="DA320" i="3"/>
  <c r="DC320" i="3"/>
  <c r="A321" i="3"/>
  <c r="CY321" i="3"/>
  <c r="CZ321" i="3"/>
  <c r="DB321" i="3" s="1"/>
  <c r="DA321" i="3"/>
  <c r="DC321" i="3"/>
  <c r="A322" i="3"/>
  <c r="CY322" i="3"/>
  <c r="CZ322" i="3"/>
  <c r="DB322" i="3" s="1"/>
  <c r="DA322" i="3"/>
  <c r="DC322" i="3"/>
  <c r="A323" i="3"/>
  <c r="CY323" i="3"/>
  <c r="CZ323" i="3"/>
  <c r="DB323" i="3" s="1"/>
  <c r="DA323" i="3"/>
  <c r="DC323" i="3"/>
  <c r="A324" i="3"/>
  <c r="CY324" i="3"/>
  <c r="CZ324" i="3"/>
  <c r="DB324" i="3" s="1"/>
  <c r="DA324" i="3"/>
  <c r="DC324" i="3"/>
  <c r="A325" i="3"/>
  <c r="CY325" i="3"/>
  <c r="CZ325" i="3"/>
  <c r="DB325" i="3" s="1"/>
  <c r="DA325" i="3"/>
  <c r="DC325" i="3"/>
  <c r="A326" i="3"/>
  <c r="CY326" i="3"/>
  <c r="CZ326" i="3"/>
  <c r="DB326" i="3" s="1"/>
  <c r="DA326" i="3"/>
  <c r="DC326" i="3"/>
  <c r="A327" i="3"/>
  <c r="CY327" i="3"/>
  <c r="CZ327" i="3"/>
  <c r="DA327" i="3"/>
  <c r="DB327" i="3"/>
  <c r="DC327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F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V28" i="1"/>
  <c r="AC28" i="1"/>
  <c r="H35" i="5" s="1"/>
  <c r="AE28" i="1"/>
  <c r="AF28" i="1"/>
  <c r="AG28" i="1"/>
  <c r="CU28" i="1" s="1"/>
  <c r="T28" i="1" s="1"/>
  <c r="AH28" i="1"/>
  <c r="CV28" i="1" s="1"/>
  <c r="U28" i="1" s="1"/>
  <c r="AI28" i="1"/>
  <c r="CW28" i="1" s="1"/>
  <c r="AJ28" i="1"/>
  <c r="CS28" i="1"/>
  <c r="R28" i="1" s="1"/>
  <c r="K34" i="5" s="1"/>
  <c r="CX28" i="1"/>
  <c r="W28" i="1" s="1"/>
  <c r="FR28" i="1"/>
  <c r="GL28" i="1"/>
  <c r="GO28" i="1"/>
  <c r="CC37" i="1" s="1"/>
  <c r="CC26" i="1" s="1"/>
  <c r="GP28" i="1"/>
  <c r="CD37" i="1" s="1"/>
  <c r="GV28" i="1"/>
  <c r="HC28" i="1" s="1"/>
  <c r="GX28" i="1"/>
  <c r="C29" i="1"/>
  <c r="D29" i="1"/>
  <c r="K29" i="1"/>
  <c r="AC29" i="1"/>
  <c r="AE29" i="1"/>
  <c r="AF29" i="1"/>
  <c r="AG29" i="1"/>
  <c r="CU29" i="1" s="1"/>
  <c r="AH29" i="1"/>
  <c r="AI29" i="1"/>
  <c r="AJ29" i="1"/>
  <c r="CX29" i="1" s="1"/>
  <c r="W29" i="1" s="1"/>
  <c r="CT29" i="1"/>
  <c r="S29" i="1" s="1"/>
  <c r="K42" i="5" s="1"/>
  <c r="CV29" i="1"/>
  <c r="U29" i="1" s="1"/>
  <c r="CW29" i="1"/>
  <c r="V29" i="1" s="1"/>
  <c r="FR29" i="1"/>
  <c r="GL29" i="1"/>
  <c r="GO29" i="1"/>
  <c r="GP29" i="1"/>
  <c r="GV29" i="1"/>
  <c r="HC29" i="1" s="1"/>
  <c r="GX29" i="1" s="1"/>
  <c r="C30" i="1"/>
  <c r="D30" i="1"/>
  <c r="K30" i="1"/>
  <c r="AC30" i="1"/>
  <c r="AE30" i="1"/>
  <c r="AF30" i="1"/>
  <c r="CT30" i="1" s="1"/>
  <c r="AG30" i="1"/>
  <c r="CU30" i="1" s="1"/>
  <c r="AH30" i="1"/>
  <c r="AI30" i="1"/>
  <c r="CW30" i="1" s="1"/>
  <c r="AJ30" i="1"/>
  <c r="CV30" i="1"/>
  <c r="CX30" i="1"/>
  <c r="FR30" i="1"/>
  <c r="GL30" i="1"/>
  <c r="GO30" i="1"/>
  <c r="GP30" i="1"/>
  <c r="GV30" i="1"/>
  <c r="HC30" i="1" s="1"/>
  <c r="C31" i="1"/>
  <c r="D31" i="1"/>
  <c r="K31" i="1"/>
  <c r="AC31" i="1"/>
  <c r="AE31" i="1"/>
  <c r="AF31" i="1"/>
  <c r="CT31" i="1" s="1"/>
  <c r="S31" i="1" s="1"/>
  <c r="AG31" i="1"/>
  <c r="CU31" i="1" s="1"/>
  <c r="AH31" i="1"/>
  <c r="AI31" i="1"/>
  <c r="CW31" i="1" s="1"/>
  <c r="AJ31" i="1"/>
  <c r="CV31" i="1"/>
  <c r="CX31" i="1"/>
  <c r="FR31" i="1"/>
  <c r="GL31" i="1"/>
  <c r="GO31" i="1"/>
  <c r="GP31" i="1"/>
  <c r="GV31" i="1"/>
  <c r="HC31" i="1" s="1"/>
  <c r="GX31" i="1" s="1"/>
  <c r="C32" i="1"/>
  <c r="D32" i="1"/>
  <c r="K32" i="1"/>
  <c r="AC32" i="1"/>
  <c r="AE32" i="1"/>
  <c r="AD32" i="1" s="1"/>
  <c r="CR32" i="1" s="1"/>
  <c r="Q32" i="1" s="1"/>
  <c r="AF32" i="1"/>
  <c r="CT32" i="1" s="1"/>
  <c r="AG32" i="1"/>
  <c r="CU32" i="1" s="1"/>
  <c r="AH32" i="1"/>
  <c r="CV32" i="1" s="1"/>
  <c r="U32" i="1" s="1"/>
  <c r="AI32" i="1"/>
  <c r="CW32" i="1" s="1"/>
  <c r="V32" i="1" s="1"/>
  <c r="AJ32" i="1"/>
  <c r="CX32" i="1" s="1"/>
  <c r="W32" i="1" s="1"/>
  <c r="CS32" i="1"/>
  <c r="R32" i="1" s="1"/>
  <c r="FR32" i="1"/>
  <c r="GL32" i="1"/>
  <c r="GO32" i="1"/>
  <c r="GP32" i="1"/>
  <c r="GV32" i="1"/>
  <c r="HC32" i="1" s="1"/>
  <c r="C33" i="1"/>
  <c r="D33" i="1"/>
  <c r="W33" i="1"/>
  <c r="K33" i="1"/>
  <c r="AC33" i="1"/>
  <c r="AE33" i="1"/>
  <c r="AF33" i="1"/>
  <c r="AG33" i="1"/>
  <c r="CU33" i="1" s="1"/>
  <c r="AH33" i="1"/>
  <c r="AI33" i="1"/>
  <c r="AJ33" i="1"/>
  <c r="CX33" i="1" s="1"/>
  <c r="CT33" i="1"/>
  <c r="CV33" i="1"/>
  <c r="CW33" i="1"/>
  <c r="FR33" i="1"/>
  <c r="GL33" i="1"/>
  <c r="GO33" i="1"/>
  <c r="GP33" i="1"/>
  <c r="GV33" i="1"/>
  <c r="HC33" i="1" s="1"/>
  <c r="GX33" i="1" s="1"/>
  <c r="AC34" i="1"/>
  <c r="AD34" i="1"/>
  <c r="H48" i="5" s="1"/>
  <c r="W49" i="5" s="1"/>
  <c r="AE34" i="1"/>
  <c r="AF34" i="1"/>
  <c r="AG34" i="1"/>
  <c r="CU34" i="1" s="1"/>
  <c r="T34" i="1" s="1"/>
  <c r="AH34" i="1"/>
  <c r="AI34" i="1"/>
  <c r="AJ34" i="1"/>
  <c r="CX34" i="1" s="1"/>
  <c r="W34" i="1" s="1"/>
  <c r="CR34" i="1"/>
  <c r="Q34" i="1" s="1"/>
  <c r="K48" i="5" s="1"/>
  <c r="J49" i="5" s="1"/>
  <c r="P49" i="5" s="1"/>
  <c r="CS34" i="1"/>
  <c r="R34" i="1" s="1"/>
  <c r="CT34" i="1"/>
  <c r="S34" i="1" s="1"/>
  <c r="CV34" i="1"/>
  <c r="U34" i="1" s="1"/>
  <c r="L49" i="5" s="1"/>
  <c r="Q49" i="5" s="1"/>
  <c r="CW34" i="1"/>
  <c r="V34" i="1" s="1"/>
  <c r="FR34" i="1"/>
  <c r="GL34" i="1"/>
  <c r="GO34" i="1"/>
  <c r="GP34" i="1"/>
  <c r="GV34" i="1"/>
  <c r="HC34" i="1" s="1"/>
  <c r="GX34" i="1" s="1"/>
  <c r="AC35" i="1"/>
  <c r="CQ35" i="1" s="1"/>
  <c r="P35" i="1" s="1"/>
  <c r="AD35" i="1"/>
  <c r="AE35" i="1"/>
  <c r="CS35" i="1" s="1"/>
  <c r="R35" i="1" s="1"/>
  <c r="AF35" i="1"/>
  <c r="AG35" i="1"/>
  <c r="AH35" i="1"/>
  <c r="CV35" i="1" s="1"/>
  <c r="U35" i="1" s="1"/>
  <c r="AI35" i="1"/>
  <c r="CW35" i="1" s="1"/>
  <c r="V35" i="1" s="1"/>
  <c r="AJ35" i="1"/>
  <c r="CX35" i="1" s="1"/>
  <c r="W35" i="1" s="1"/>
  <c r="CU35" i="1"/>
  <c r="T35" i="1" s="1"/>
  <c r="FR35" i="1"/>
  <c r="GL35" i="1"/>
  <c r="GO35" i="1"/>
  <c r="GP35" i="1"/>
  <c r="GV35" i="1"/>
  <c r="HC35" i="1" s="1"/>
  <c r="GX35" i="1" s="1"/>
  <c r="B37" i="1"/>
  <c r="B26" i="1" s="1"/>
  <c r="C37" i="1"/>
  <c r="C26" i="1" s="1"/>
  <c r="D37" i="1"/>
  <c r="D26" i="1" s="1"/>
  <c r="F37" i="1"/>
  <c r="G37" i="1"/>
  <c r="BX37" i="1"/>
  <c r="BX26" i="1" s="1"/>
  <c r="CK37" i="1"/>
  <c r="BB37" i="1" s="1"/>
  <c r="BB26" i="1" s="1"/>
  <c r="CL37" i="1"/>
  <c r="D67" i="1"/>
  <c r="E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D71" i="1"/>
  <c r="E73" i="1"/>
  <c r="F73" i="1"/>
  <c r="Z73" i="1"/>
  <c r="AA73" i="1"/>
  <c r="AM73" i="1"/>
  <c r="AN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C75" i="1"/>
  <c r="D75" i="1"/>
  <c r="K75" i="1"/>
  <c r="AC75" i="1"/>
  <c r="CQ75" i="1" s="1"/>
  <c r="P75" i="1" s="1"/>
  <c r="AE75" i="1"/>
  <c r="AF75" i="1"/>
  <c r="AG75" i="1"/>
  <c r="AH75" i="1"/>
  <c r="CV75" i="1" s="1"/>
  <c r="AI75" i="1"/>
  <c r="CW75" i="1" s="1"/>
  <c r="AJ75" i="1"/>
  <c r="CT75" i="1"/>
  <c r="S75" i="1" s="1"/>
  <c r="K63" i="5" s="1"/>
  <c r="CU75" i="1"/>
  <c r="T75" i="1" s="1"/>
  <c r="CX75" i="1"/>
  <c r="W75" i="1" s="1"/>
  <c r="FR75" i="1"/>
  <c r="GL75" i="1"/>
  <c r="GO75" i="1"/>
  <c r="GP75" i="1"/>
  <c r="GV75" i="1"/>
  <c r="HC75" i="1" s="1"/>
  <c r="GX75" i="1"/>
  <c r="C76" i="1"/>
  <c r="D76" i="1"/>
  <c r="AC76" i="1"/>
  <c r="AE76" i="1"/>
  <c r="H73" i="5" s="1"/>
  <c r="R73" i="5" s="1"/>
  <c r="AF76" i="1"/>
  <c r="AG76" i="1"/>
  <c r="CU76" i="1" s="1"/>
  <c r="T76" i="1" s="1"/>
  <c r="AH76" i="1"/>
  <c r="AI76" i="1"/>
  <c r="CW76" i="1" s="1"/>
  <c r="V76" i="1" s="1"/>
  <c r="AJ76" i="1"/>
  <c r="CX76" i="1" s="1"/>
  <c r="W76" i="1" s="1"/>
  <c r="CT76" i="1"/>
  <c r="S76" i="1" s="1"/>
  <c r="K71" i="5" s="1"/>
  <c r="CV76" i="1"/>
  <c r="U76" i="1" s="1"/>
  <c r="FR76" i="1"/>
  <c r="GL76" i="1"/>
  <c r="GO76" i="1"/>
  <c r="GP76" i="1"/>
  <c r="GV76" i="1"/>
  <c r="HC76" i="1"/>
  <c r="GX76" i="1" s="1"/>
  <c r="I77" i="1"/>
  <c r="E78" i="5" s="1"/>
  <c r="AC77" i="1"/>
  <c r="CQ77" i="1" s="1"/>
  <c r="P77" i="1" s="1"/>
  <c r="AE77" i="1"/>
  <c r="AF77" i="1"/>
  <c r="AG77" i="1"/>
  <c r="AH77" i="1"/>
  <c r="CV77" i="1" s="1"/>
  <c r="U77" i="1" s="1"/>
  <c r="AI77" i="1"/>
  <c r="CW77" i="1" s="1"/>
  <c r="V77" i="1" s="1"/>
  <c r="AJ77" i="1"/>
  <c r="CX77" i="1" s="1"/>
  <c r="W77" i="1" s="1"/>
  <c r="CU77" i="1"/>
  <c r="T77" i="1" s="1"/>
  <c r="FR77" i="1"/>
  <c r="GL77" i="1"/>
  <c r="GO77" i="1"/>
  <c r="GP77" i="1"/>
  <c r="GV77" i="1"/>
  <c r="HC77" i="1" s="1"/>
  <c r="GX77" i="1" s="1"/>
  <c r="I78" i="1"/>
  <c r="E79" i="5" s="1"/>
  <c r="AC78" i="1"/>
  <c r="AE78" i="1"/>
  <c r="CS78" i="1" s="1"/>
  <c r="R78" i="1" s="1"/>
  <c r="AF78" i="1"/>
  <c r="AG78" i="1"/>
  <c r="CU78" i="1" s="1"/>
  <c r="T78" i="1" s="1"/>
  <c r="AH78" i="1"/>
  <c r="CV78" i="1" s="1"/>
  <c r="AI78" i="1"/>
  <c r="CW78" i="1" s="1"/>
  <c r="V78" i="1" s="1"/>
  <c r="AJ78" i="1"/>
  <c r="CX78" i="1"/>
  <c r="W78" i="1" s="1"/>
  <c r="FR78" i="1"/>
  <c r="GL78" i="1"/>
  <c r="GN78" i="1"/>
  <c r="GO78" i="1"/>
  <c r="GV78" i="1"/>
  <c r="HC78" i="1" s="1"/>
  <c r="GX78" i="1" s="1"/>
  <c r="C79" i="1"/>
  <c r="D79" i="1"/>
  <c r="K79" i="1"/>
  <c r="AC79" i="1"/>
  <c r="AE79" i="1"/>
  <c r="CS79" i="1" s="1"/>
  <c r="AF79" i="1"/>
  <c r="AG79" i="1"/>
  <c r="AH79" i="1"/>
  <c r="CV79" i="1" s="1"/>
  <c r="AI79" i="1"/>
  <c r="CW79" i="1" s="1"/>
  <c r="AJ79" i="1"/>
  <c r="CQ79" i="1"/>
  <c r="CT79" i="1"/>
  <c r="CU79" i="1"/>
  <c r="CX79" i="1"/>
  <c r="W79" i="1" s="1"/>
  <c r="FR79" i="1"/>
  <c r="GL79" i="1"/>
  <c r="GO79" i="1"/>
  <c r="GP79" i="1"/>
  <c r="GV79" i="1"/>
  <c r="HC79" i="1" s="1"/>
  <c r="C80" i="1"/>
  <c r="D80" i="1"/>
  <c r="I80" i="1"/>
  <c r="K80" i="1"/>
  <c r="AC80" i="1"/>
  <c r="H92" i="5" s="1"/>
  <c r="AE80" i="1"/>
  <c r="CS80" i="1" s="1"/>
  <c r="R80" i="1" s="1"/>
  <c r="AF80" i="1"/>
  <c r="AG80" i="1"/>
  <c r="CU80" i="1" s="1"/>
  <c r="T80" i="1" s="1"/>
  <c r="AH80" i="1"/>
  <c r="CV80" i="1" s="1"/>
  <c r="U80" i="1" s="1"/>
  <c r="AI80" i="1"/>
  <c r="CW80" i="1" s="1"/>
  <c r="V80" i="1" s="1"/>
  <c r="AJ80" i="1"/>
  <c r="CX80" i="1" s="1"/>
  <c r="W80" i="1" s="1"/>
  <c r="CQ80" i="1"/>
  <c r="FR80" i="1"/>
  <c r="GL80" i="1"/>
  <c r="GO80" i="1"/>
  <c r="GP80" i="1"/>
  <c r="GV80" i="1"/>
  <c r="HC80" i="1" s="1"/>
  <c r="GX80" i="1" s="1"/>
  <c r="C81" i="1"/>
  <c r="D81" i="1"/>
  <c r="I81" i="1"/>
  <c r="R81" i="1" s="1"/>
  <c r="K81" i="1"/>
  <c r="AC81" i="1"/>
  <c r="AD81" i="1"/>
  <c r="AE81" i="1"/>
  <c r="AF81" i="1"/>
  <c r="AG81" i="1"/>
  <c r="AH81" i="1"/>
  <c r="CV81" i="1" s="1"/>
  <c r="AI81" i="1"/>
  <c r="AJ81" i="1"/>
  <c r="CX81" i="1" s="1"/>
  <c r="CQ81" i="1"/>
  <c r="CS81" i="1"/>
  <c r="CU81" i="1"/>
  <c r="CW81" i="1"/>
  <c r="FR81" i="1"/>
  <c r="GL81" i="1"/>
  <c r="GO81" i="1"/>
  <c r="GP81" i="1"/>
  <c r="GV81" i="1"/>
  <c r="HC81" i="1"/>
  <c r="C82" i="1"/>
  <c r="D82" i="1"/>
  <c r="I82" i="1"/>
  <c r="K82" i="1"/>
  <c r="AC82" i="1"/>
  <c r="AE82" i="1"/>
  <c r="AF82" i="1"/>
  <c r="AG82" i="1"/>
  <c r="CU82" i="1" s="1"/>
  <c r="T82" i="1" s="1"/>
  <c r="AH82" i="1"/>
  <c r="CV82" i="1" s="1"/>
  <c r="U82" i="1" s="1"/>
  <c r="AI82" i="1"/>
  <c r="AJ82" i="1"/>
  <c r="CX82" i="1" s="1"/>
  <c r="W82" i="1" s="1"/>
  <c r="CW82" i="1"/>
  <c r="FR82" i="1"/>
  <c r="GL82" i="1"/>
  <c r="GO82" i="1"/>
  <c r="GP82" i="1"/>
  <c r="GV82" i="1"/>
  <c r="HC82" i="1"/>
  <c r="AC83" i="1"/>
  <c r="AE83" i="1"/>
  <c r="AF83" i="1"/>
  <c r="AG83" i="1"/>
  <c r="CU83" i="1" s="1"/>
  <c r="AH83" i="1"/>
  <c r="CV83" i="1" s="1"/>
  <c r="AI83" i="1"/>
  <c r="CW83" i="1" s="1"/>
  <c r="AJ83" i="1"/>
  <c r="CX83" i="1"/>
  <c r="FR83" i="1"/>
  <c r="BY89" i="1" s="1"/>
  <c r="GL83" i="1"/>
  <c r="GO83" i="1"/>
  <c r="GP83" i="1"/>
  <c r="GV83" i="1"/>
  <c r="HC83" i="1" s="1"/>
  <c r="AC84" i="1"/>
  <c r="AD84" i="1"/>
  <c r="CR84" i="1" s="1"/>
  <c r="AE84" i="1"/>
  <c r="CS84" i="1" s="1"/>
  <c r="AF84" i="1"/>
  <c r="AG84" i="1"/>
  <c r="AH84" i="1"/>
  <c r="CV84" i="1" s="1"/>
  <c r="AI84" i="1"/>
  <c r="AJ84" i="1"/>
  <c r="CX84" i="1" s="1"/>
  <c r="CU84" i="1"/>
  <c r="CW84" i="1"/>
  <c r="FR84" i="1"/>
  <c r="GL84" i="1"/>
  <c r="GO84" i="1"/>
  <c r="GP84" i="1"/>
  <c r="GV84" i="1"/>
  <c r="HC84" i="1" s="1"/>
  <c r="I85" i="1"/>
  <c r="E117" i="5" s="1"/>
  <c r="AC85" i="1"/>
  <c r="AE85" i="1"/>
  <c r="AF85" i="1"/>
  <c r="AG85" i="1"/>
  <c r="CU85" i="1" s="1"/>
  <c r="AH85" i="1"/>
  <c r="AI85" i="1"/>
  <c r="AJ85" i="1"/>
  <c r="CX85" i="1" s="1"/>
  <c r="CT85" i="1"/>
  <c r="CV85" i="1"/>
  <c r="CW85" i="1"/>
  <c r="FR85" i="1"/>
  <c r="GL85" i="1"/>
  <c r="GN85" i="1"/>
  <c r="GO85" i="1"/>
  <c r="GV85" i="1"/>
  <c r="HC85" i="1"/>
  <c r="GX85" i="1" s="1"/>
  <c r="AC86" i="1"/>
  <c r="AD86" i="1"/>
  <c r="AB86" i="1" s="1"/>
  <c r="AE86" i="1"/>
  <c r="AF86" i="1"/>
  <c r="AG86" i="1"/>
  <c r="CU86" i="1" s="1"/>
  <c r="AH86" i="1"/>
  <c r="CV86" i="1" s="1"/>
  <c r="AI86" i="1"/>
  <c r="AJ86" i="1"/>
  <c r="CX86" i="1" s="1"/>
  <c r="CQ86" i="1"/>
  <c r="CR86" i="1"/>
  <c r="CS86" i="1"/>
  <c r="CW86" i="1"/>
  <c r="FR86" i="1"/>
  <c r="GL86" i="1"/>
  <c r="GN86" i="1"/>
  <c r="GO86" i="1"/>
  <c r="GV86" i="1"/>
  <c r="HC86" i="1" s="1"/>
  <c r="AC87" i="1"/>
  <c r="AE87" i="1"/>
  <c r="AF87" i="1"/>
  <c r="AG87" i="1"/>
  <c r="AH87" i="1"/>
  <c r="CV87" i="1" s="1"/>
  <c r="AI87" i="1"/>
  <c r="CW87" i="1" s="1"/>
  <c r="AJ87" i="1"/>
  <c r="CT87" i="1"/>
  <c r="CU87" i="1"/>
  <c r="CX87" i="1"/>
  <c r="FR87" i="1"/>
  <c r="GL87" i="1"/>
  <c r="GO87" i="1"/>
  <c r="GP87" i="1"/>
  <c r="GV87" i="1"/>
  <c r="HC87" i="1" s="1"/>
  <c r="B89" i="1"/>
  <c r="B73" i="1" s="1"/>
  <c r="C89" i="1"/>
  <c r="C73" i="1" s="1"/>
  <c r="D89" i="1"/>
  <c r="D73" i="1" s="1"/>
  <c r="F89" i="1"/>
  <c r="G89" i="1"/>
  <c r="BB89" i="1"/>
  <c r="F102" i="1" s="1"/>
  <c r="BD89" i="1"/>
  <c r="BD73" i="1" s="1"/>
  <c r="BX89" i="1"/>
  <c r="CK89" i="1"/>
  <c r="CK73" i="1" s="1"/>
  <c r="CL89" i="1"/>
  <c r="CM89" i="1"/>
  <c r="CM73" i="1" s="1"/>
  <c r="D119" i="1"/>
  <c r="D121" i="1"/>
  <c r="E121" i="1"/>
  <c r="Z121" i="1"/>
  <c r="AA121" i="1"/>
  <c r="AM121" i="1"/>
  <c r="AN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C123" i="1"/>
  <c r="D123" i="1"/>
  <c r="K123" i="1"/>
  <c r="AC123" i="1"/>
  <c r="AE123" i="1"/>
  <c r="AF123" i="1"/>
  <c r="AG123" i="1"/>
  <c r="CU123" i="1" s="1"/>
  <c r="T123" i="1" s="1"/>
  <c r="AH123" i="1"/>
  <c r="CV123" i="1" s="1"/>
  <c r="U123" i="1" s="1"/>
  <c r="AI123" i="1"/>
  <c r="CW123" i="1" s="1"/>
  <c r="V123" i="1" s="1"/>
  <c r="AJ123" i="1"/>
  <c r="CX123" i="1"/>
  <c r="W123" i="1" s="1"/>
  <c r="FR123" i="1"/>
  <c r="GL123" i="1"/>
  <c r="GO123" i="1"/>
  <c r="GP123" i="1"/>
  <c r="GV123" i="1"/>
  <c r="HC123" i="1"/>
  <c r="GX123" i="1" s="1"/>
  <c r="C124" i="1"/>
  <c r="D124" i="1"/>
  <c r="V124" i="1"/>
  <c r="AC124" i="1"/>
  <c r="H140" i="5" s="1"/>
  <c r="AE124" i="1"/>
  <c r="CS124" i="1" s="1"/>
  <c r="R124" i="1" s="1"/>
  <c r="K139" i="5" s="1"/>
  <c r="AF124" i="1"/>
  <c r="AG124" i="1"/>
  <c r="AH124" i="1"/>
  <c r="CV124" i="1" s="1"/>
  <c r="U124" i="1" s="1"/>
  <c r="AI124" i="1"/>
  <c r="CW124" i="1" s="1"/>
  <c r="AJ124" i="1"/>
  <c r="CX124" i="1" s="1"/>
  <c r="W124" i="1" s="1"/>
  <c r="CQ124" i="1"/>
  <c r="P124" i="1" s="1"/>
  <c r="K140" i="5" s="1"/>
  <c r="CU124" i="1"/>
  <c r="T124" i="1" s="1"/>
  <c r="FR124" i="1"/>
  <c r="GL124" i="1"/>
  <c r="GO124" i="1"/>
  <c r="GP124" i="1"/>
  <c r="GV124" i="1"/>
  <c r="HC124" i="1" s="1"/>
  <c r="GX124" i="1" s="1"/>
  <c r="I125" i="1"/>
  <c r="E144" i="5" s="1"/>
  <c r="AC125" i="1"/>
  <c r="AE125" i="1"/>
  <c r="CS125" i="1" s="1"/>
  <c r="R125" i="1" s="1"/>
  <c r="AF125" i="1"/>
  <c r="AG125" i="1"/>
  <c r="AH125" i="1"/>
  <c r="CV125" i="1" s="1"/>
  <c r="U125" i="1" s="1"/>
  <c r="AI125" i="1"/>
  <c r="CW125" i="1" s="1"/>
  <c r="V125" i="1" s="1"/>
  <c r="AJ125" i="1"/>
  <c r="CX125" i="1" s="1"/>
  <c r="W125" i="1" s="1"/>
  <c r="CQ125" i="1"/>
  <c r="P125" i="1" s="1"/>
  <c r="CT125" i="1"/>
  <c r="S125" i="1" s="1"/>
  <c r="CU125" i="1"/>
  <c r="T125" i="1" s="1"/>
  <c r="FR125" i="1"/>
  <c r="GL125" i="1"/>
  <c r="GO125" i="1"/>
  <c r="GP125" i="1"/>
  <c r="GV125" i="1"/>
  <c r="HC125" i="1" s="1"/>
  <c r="GX125" i="1" s="1"/>
  <c r="I126" i="1"/>
  <c r="E145" i="5" s="1"/>
  <c r="AC126" i="1"/>
  <c r="AE126" i="1"/>
  <c r="CS126" i="1" s="1"/>
  <c r="R126" i="1" s="1"/>
  <c r="AF126" i="1"/>
  <c r="AG126" i="1"/>
  <c r="CU126" i="1" s="1"/>
  <c r="T126" i="1" s="1"/>
  <c r="AH126" i="1"/>
  <c r="CV126" i="1" s="1"/>
  <c r="AI126" i="1"/>
  <c r="CW126" i="1" s="1"/>
  <c r="V126" i="1" s="1"/>
  <c r="AJ126" i="1"/>
  <c r="CT126" i="1"/>
  <c r="S126" i="1" s="1"/>
  <c r="CX126" i="1"/>
  <c r="FR126" i="1"/>
  <c r="GL126" i="1"/>
  <c r="GN126" i="1"/>
  <c r="GO126" i="1"/>
  <c r="GV126" i="1"/>
  <c r="HC126" i="1" s="1"/>
  <c r="GX126" i="1" s="1"/>
  <c r="C127" i="1"/>
  <c r="D127" i="1"/>
  <c r="K127" i="1"/>
  <c r="AC127" i="1"/>
  <c r="AE127" i="1"/>
  <c r="AD127" i="1" s="1"/>
  <c r="CR127" i="1" s="1"/>
  <c r="Q127" i="1" s="1"/>
  <c r="AF127" i="1"/>
  <c r="AG127" i="1"/>
  <c r="AH127" i="1"/>
  <c r="CV127" i="1" s="1"/>
  <c r="AI127" i="1"/>
  <c r="AJ127" i="1"/>
  <c r="CX127" i="1" s="1"/>
  <c r="CQ127" i="1"/>
  <c r="P127" i="1" s="1"/>
  <c r="CS127" i="1"/>
  <c r="R127" i="1" s="1"/>
  <c r="CU127" i="1"/>
  <c r="T127" i="1" s="1"/>
  <c r="CW127" i="1"/>
  <c r="V127" i="1" s="1"/>
  <c r="FR127" i="1"/>
  <c r="GL127" i="1"/>
  <c r="GO127" i="1"/>
  <c r="GP127" i="1"/>
  <c r="GV127" i="1"/>
  <c r="HC127" i="1" s="1"/>
  <c r="C128" i="1"/>
  <c r="D128" i="1"/>
  <c r="I128" i="1"/>
  <c r="K128" i="1"/>
  <c r="V128" i="1"/>
  <c r="AC128" i="1"/>
  <c r="H158" i="5" s="1"/>
  <c r="AE128" i="1"/>
  <c r="AF128" i="1"/>
  <c r="AG128" i="1"/>
  <c r="CU128" i="1" s="1"/>
  <c r="T128" i="1" s="1"/>
  <c r="AH128" i="1"/>
  <c r="CV128" i="1" s="1"/>
  <c r="U128" i="1" s="1"/>
  <c r="AI128" i="1"/>
  <c r="AJ128" i="1"/>
  <c r="CX128" i="1" s="1"/>
  <c r="W128" i="1" s="1"/>
  <c r="CW128" i="1"/>
  <c r="FR128" i="1"/>
  <c r="GL128" i="1"/>
  <c r="GO128" i="1"/>
  <c r="GP128" i="1"/>
  <c r="GV128" i="1"/>
  <c r="HC128" i="1" s="1"/>
  <c r="GX128" i="1" s="1"/>
  <c r="C129" i="1"/>
  <c r="D129" i="1"/>
  <c r="I129" i="1"/>
  <c r="K129" i="1"/>
  <c r="AC129" i="1"/>
  <c r="AE129" i="1"/>
  <c r="AD129" i="1" s="1"/>
  <c r="AF129" i="1"/>
  <c r="AG129" i="1"/>
  <c r="AH129" i="1"/>
  <c r="CV129" i="1" s="1"/>
  <c r="AI129" i="1"/>
  <c r="AJ129" i="1"/>
  <c r="CX129" i="1" s="1"/>
  <c r="CU129" i="1"/>
  <c r="CW129" i="1"/>
  <c r="FR129" i="1"/>
  <c r="GL129" i="1"/>
  <c r="GO129" i="1"/>
  <c r="GP129" i="1"/>
  <c r="GV129" i="1"/>
  <c r="HC129" i="1" s="1"/>
  <c r="C130" i="1"/>
  <c r="D130" i="1"/>
  <c r="I130" i="1"/>
  <c r="K130" i="1"/>
  <c r="AC130" i="1"/>
  <c r="AE130" i="1"/>
  <c r="AF130" i="1"/>
  <c r="AG130" i="1"/>
  <c r="CU130" i="1" s="1"/>
  <c r="T130" i="1" s="1"/>
  <c r="AH130" i="1"/>
  <c r="CV130" i="1" s="1"/>
  <c r="U130" i="1" s="1"/>
  <c r="AI130" i="1"/>
  <c r="AJ130" i="1"/>
  <c r="CX130" i="1" s="1"/>
  <c r="W130" i="1" s="1"/>
  <c r="CW130" i="1"/>
  <c r="V130" i="1" s="1"/>
  <c r="FR130" i="1"/>
  <c r="GL130" i="1"/>
  <c r="GO130" i="1"/>
  <c r="GP130" i="1"/>
  <c r="GV130" i="1"/>
  <c r="HC130" i="1" s="1"/>
  <c r="GX130" i="1" s="1"/>
  <c r="AC131" i="1"/>
  <c r="AE131" i="1"/>
  <c r="AF131" i="1"/>
  <c r="AG131" i="1"/>
  <c r="CU131" i="1" s="1"/>
  <c r="AH131" i="1"/>
  <c r="CV131" i="1" s="1"/>
  <c r="AI131" i="1"/>
  <c r="CW131" i="1" s="1"/>
  <c r="AJ131" i="1"/>
  <c r="CX131" i="1"/>
  <c r="FR131" i="1"/>
  <c r="GL131" i="1"/>
  <c r="GO131" i="1"/>
  <c r="GP131" i="1"/>
  <c r="GV131" i="1"/>
  <c r="HC131" i="1" s="1"/>
  <c r="I132" i="1"/>
  <c r="V132" i="1"/>
  <c r="AC132" i="1"/>
  <c r="AE132" i="1"/>
  <c r="AD132" i="1" s="1"/>
  <c r="AF132" i="1"/>
  <c r="AG132" i="1"/>
  <c r="CU132" i="1" s="1"/>
  <c r="AH132" i="1"/>
  <c r="CV132" i="1" s="1"/>
  <c r="AI132" i="1"/>
  <c r="CW132" i="1" s="1"/>
  <c r="AJ132" i="1"/>
  <c r="CX132" i="1" s="1"/>
  <c r="CS132" i="1"/>
  <c r="R132" i="1" s="1"/>
  <c r="FR132" i="1"/>
  <c r="GL132" i="1"/>
  <c r="GO132" i="1"/>
  <c r="GP132" i="1"/>
  <c r="GV132" i="1"/>
  <c r="HC132" i="1"/>
  <c r="GX132" i="1" s="1"/>
  <c r="I133" i="1"/>
  <c r="E183" i="5" s="1"/>
  <c r="AC133" i="1"/>
  <c r="AE133" i="1"/>
  <c r="AF133" i="1"/>
  <c r="AG133" i="1"/>
  <c r="CU133" i="1" s="1"/>
  <c r="AH133" i="1"/>
  <c r="CV133" i="1" s="1"/>
  <c r="AI133" i="1"/>
  <c r="CW133" i="1" s="1"/>
  <c r="AJ133" i="1"/>
  <c r="CT133" i="1"/>
  <c r="CX133" i="1"/>
  <c r="FR133" i="1"/>
  <c r="GL133" i="1"/>
  <c r="GN133" i="1"/>
  <c r="GO133" i="1"/>
  <c r="GV133" i="1"/>
  <c r="HC133" i="1" s="1"/>
  <c r="AC134" i="1"/>
  <c r="AD134" i="1"/>
  <c r="CR134" i="1" s="1"/>
  <c r="AE134" i="1"/>
  <c r="AF134" i="1"/>
  <c r="AG134" i="1"/>
  <c r="AH134" i="1"/>
  <c r="CV134" i="1" s="1"/>
  <c r="AI134" i="1"/>
  <c r="CW134" i="1" s="1"/>
  <c r="AJ134" i="1"/>
  <c r="CX134" i="1" s="1"/>
  <c r="CQ134" i="1"/>
  <c r="CS134" i="1"/>
  <c r="CU134" i="1"/>
  <c r="FR134" i="1"/>
  <c r="GL134" i="1"/>
  <c r="GN134" i="1"/>
  <c r="GO134" i="1"/>
  <c r="GV134" i="1"/>
  <c r="HC134" i="1" s="1"/>
  <c r="AC135" i="1"/>
  <c r="AE135" i="1"/>
  <c r="AF135" i="1"/>
  <c r="AG135" i="1"/>
  <c r="CU135" i="1" s="1"/>
  <c r="AH135" i="1"/>
  <c r="AI135" i="1"/>
  <c r="CW135" i="1" s="1"/>
  <c r="AJ135" i="1"/>
  <c r="CT135" i="1"/>
  <c r="CV135" i="1"/>
  <c r="CX135" i="1"/>
  <c r="FR135" i="1"/>
  <c r="GL135" i="1"/>
  <c r="GO135" i="1"/>
  <c r="GP135" i="1"/>
  <c r="GV135" i="1"/>
  <c r="HC135" i="1" s="1"/>
  <c r="B137" i="1"/>
  <c r="B121" i="1" s="1"/>
  <c r="C137" i="1"/>
  <c r="C121" i="1" s="1"/>
  <c r="D137" i="1"/>
  <c r="F137" i="1"/>
  <c r="F121" i="1" s="1"/>
  <c r="G137" i="1"/>
  <c r="BX137" i="1"/>
  <c r="CK137" i="1"/>
  <c r="CL137" i="1"/>
  <c r="BC137" i="1" s="1"/>
  <c r="CM137" i="1"/>
  <c r="D167" i="1"/>
  <c r="C169" i="1"/>
  <c r="E169" i="1"/>
  <c r="Z169" i="1"/>
  <c r="AA169" i="1"/>
  <c r="AM169" i="1"/>
  <c r="AN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DB169" i="1"/>
  <c r="DC169" i="1"/>
  <c r="DD169" i="1"/>
  <c r="DE169" i="1"/>
  <c r="DF169" i="1"/>
  <c r="DG169" i="1"/>
  <c r="DH169" i="1"/>
  <c r="DI169" i="1"/>
  <c r="DJ169" i="1"/>
  <c r="DK169" i="1"/>
  <c r="DL169" i="1"/>
  <c r="DM169" i="1"/>
  <c r="DN169" i="1"/>
  <c r="DO169" i="1"/>
  <c r="DP169" i="1"/>
  <c r="DQ169" i="1"/>
  <c r="DR169" i="1"/>
  <c r="DS169" i="1"/>
  <c r="DT169" i="1"/>
  <c r="DU169" i="1"/>
  <c r="DV169" i="1"/>
  <c r="DW169" i="1"/>
  <c r="DX169" i="1"/>
  <c r="DY169" i="1"/>
  <c r="DZ169" i="1"/>
  <c r="EA169" i="1"/>
  <c r="EB169" i="1"/>
  <c r="EC169" i="1"/>
  <c r="ED169" i="1"/>
  <c r="EE169" i="1"/>
  <c r="EF169" i="1"/>
  <c r="EG169" i="1"/>
  <c r="EH169" i="1"/>
  <c r="EI169" i="1"/>
  <c r="EJ169" i="1"/>
  <c r="EK169" i="1"/>
  <c r="EL169" i="1"/>
  <c r="EM169" i="1"/>
  <c r="EN169" i="1"/>
  <c r="EO169" i="1"/>
  <c r="EP169" i="1"/>
  <c r="EQ169" i="1"/>
  <c r="ER169" i="1"/>
  <c r="ES169" i="1"/>
  <c r="ET169" i="1"/>
  <c r="EU169" i="1"/>
  <c r="EV169" i="1"/>
  <c r="EW169" i="1"/>
  <c r="EX169" i="1"/>
  <c r="EY169" i="1"/>
  <c r="EZ169" i="1"/>
  <c r="FA169" i="1"/>
  <c r="FB169" i="1"/>
  <c r="FC169" i="1"/>
  <c r="FD169" i="1"/>
  <c r="FE169" i="1"/>
  <c r="FF169" i="1"/>
  <c r="FG169" i="1"/>
  <c r="FH169" i="1"/>
  <c r="FI169" i="1"/>
  <c r="FJ169" i="1"/>
  <c r="FK169" i="1"/>
  <c r="FL169" i="1"/>
  <c r="FM169" i="1"/>
  <c r="FN169" i="1"/>
  <c r="FO169" i="1"/>
  <c r="FP169" i="1"/>
  <c r="FQ169" i="1"/>
  <c r="FR169" i="1"/>
  <c r="FS169" i="1"/>
  <c r="FT169" i="1"/>
  <c r="FU169" i="1"/>
  <c r="FV169" i="1"/>
  <c r="FW169" i="1"/>
  <c r="FX169" i="1"/>
  <c r="FY169" i="1"/>
  <c r="FZ169" i="1"/>
  <c r="GA169" i="1"/>
  <c r="GB169" i="1"/>
  <c r="GC169" i="1"/>
  <c r="GD169" i="1"/>
  <c r="GE169" i="1"/>
  <c r="GF169" i="1"/>
  <c r="GG169" i="1"/>
  <c r="GH169" i="1"/>
  <c r="GI169" i="1"/>
  <c r="GJ169" i="1"/>
  <c r="GK169" i="1"/>
  <c r="GL169" i="1"/>
  <c r="GM169" i="1"/>
  <c r="GN169" i="1"/>
  <c r="GO169" i="1"/>
  <c r="GP169" i="1"/>
  <c r="GQ169" i="1"/>
  <c r="GR169" i="1"/>
  <c r="GS169" i="1"/>
  <c r="GT169" i="1"/>
  <c r="GU169" i="1"/>
  <c r="GV169" i="1"/>
  <c r="GW169" i="1"/>
  <c r="GX169" i="1"/>
  <c r="C171" i="1"/>
  <c r="D171" i="1"/>
  <c r="I171" i="1"/>
  <c r="K171" i="1"/>
  <c r="AC171" i="1"/>
  <c r="AE171" i="1"/>
  <c r="H197" i="5" s="1"/>
  <c r="R197" i="5" s="1"/>
  <c r="AF171" i="1"/>
  <c r="AG171" i="1"/>
  <c r="AH171" i="1"/>
  <c r="CV171" i="1" s="1"/>
  <c r="U171" i="1" s="1"/>
  <c r="AI171" i="1"/>
  <c r="CW171" i="1" s="1"/>
  <c r="V171" i="1" s="1"/>
  <c r="AJ171" i="1"/>
  <c r="CX171" i="1" s="1"/>
  <c r="W171" i="1" s="1"/>
  <c r="CQ171" i="1"/>
  <c r="P171" i="1" s="1"/>
  <c r="CU171" i="1"/>
  <c r="T171" i="1" s="1"/>
  <c r="FR171" i="1"/>
  <c r="GL171" i="1"/>
  <c r="GO171" i="1"/>
  <c r="GP171" i="1"/>
  <c r="GV171" i="1"/>
  <c r="HC171" i="1" s="1"/>
  <c r="GX171" i="1" s="1"/>
  <c r="C172" i="1"/>
  <c r="D172" i="1"/>
  <c r="V172" i="1"/>
  <c r="AC172" i="1"/>
  <c r="AE172" i="1"/>
  <c r="AD172" i="1" s="1"/>
  <c r="AF172" i="1"/>
  <c r="AG172" i="1"/>
  <c r="AH172" i="1"/>
  <c r="CV172" i="1" s="1"/>
  <c r="U172" i="1" s="1"/>
  <c r="AI172" i="1"/>
  <c r="AJ172" i="1"/>
  <c r="CX172" i="1" s="1"/>
  <c r="W172" i="1" s="1"/>
  <c r="CU172" i="1"/>
  <c r="T172" i="1" s="1"/>
  <c r="CW172" i="1"/>
  <c r="FR172" i="1"/>
  <c r="GL172" i="1"/>
  <c r="GO172" i="1"/>
  <c r="GP172" i="1"/>
  <c r="GV172" i="1"/>
  <c r="HC172" i="1" s="1"/>
  <c r="GX172" i="1" s="1"/>
  <c r="I173" i="1"/>
  <c r="E210" i="5" s="1"/>
  <c r="AC173" i="1"/>
  <c r="AE173" i="1"/>
  <c r="AF173" i="1"/>
  <c r="AG173" i="1"/>
  <c r="CU173" i="1" s="1"/>
  <c r="AH173" i="1"/>
  <c r="AI173" i="1"/>
  <c r="CW173" i="1" s="1"/>
  <c r="AJ173" i="1"/>
  <c r="CX173" i="1" s="1"/>
  <c r="CT173" i="1"/>
  <c r="CV173" i="1"/>
  <c r="FR173" i="1"/>
  <c r="GL173" i="1"/>
  <c r="GO173" i="1"/>
  <c r="GP173" i="1"/>
  <c r="GV173" i="1"/>
  <c r="HC173" i="1" s="1"/>
  <c r="I174" i="1"/>
  <c r="E211" i="5" s="1"/>
  <c r="AC174" i="1"/>
  <c r="AE174" i="1"/>
  <c r="AD174" i="1" s="1"/>
  <c r="CR174" i="1" s="1"/>
  <c r="AF174" i="1"/>
  <c r="AG174" i="1"/>
  <c r="AH174" i="1"/>
  <c r="CV174" i="1" s="1"/>
  <c r="AI174" i="1"/>
  <c r="AJ174" i="1"/>
  <c r="CX174" i="1" s="1"/>
  <c r="CQ174" i="1"/>
  <c r="CS174" i="1"/>
  <c r="CU174" i="1"/>
  <c r="T174" i="1" s="1"/>
  <c r="CW174" i="1"/>
  <c r="V174" i="1" s="1"/>
  <c r="FR174" i="1"/>
  <c r="GL174" i="1"/>
  <c r="GN174" i="1"/>
  <c r="GO174" i="1"/>
  <c r="GV174" i="1"/>
  <c r="HC174" i="1" s="1"/>
  <c r="C175" i="1"/>
  <c r="D175" i="1"/>
  <c r="K175" i="1"/>
  <c r="V175" i="1"/>
  <c r="AC175" i="1"/>
  <c r="AE175" i="1"/>
  <c r="CS175" i="1" s="1"/>
  <c r="R175" i="1" s="1"/>
  <c r="AF175" i="1"/>
  <c r="AG175" i="1"/>
  <c r="AH175" i="1"/>
  <c r="CV175" i="1" s="1"/>
  <c r="U175" i="1" s="1"/>
  <c r="AI175" i="1"/>
  <c r="AJ175" i="1"/>
  <c r="CX175" i="1" s="1"/>
  <c r="W175" i="1" s="1"/>
  <c r="CU175" i="1"/>
  <c r="T175" i="1" s="1"/>
  <c r="CW175" i="1"/>
  <c r="FR175" i="1"/>
  <c r="GL175" i="1"/>
  <c r="GO175" i="1"/>
  <c r="GP175" i="1"/>
  <c r="GV175" i="1"/>
  <c r="HC175" i="1" s="1"/>
  <c r="GX175" i="1" s="1"/>
  <c r="C176" i="1"/>
  <c r="D176" i="1"/>
  <c r="I179" i="1"/>
  <c r="K176" i="1"/>
  <c r="R176" i="1"/>
  <c r="K226" i="5" s="1"/>
  <c r="AC176" i="1"/>
  <c r="AE176" i="1"/>
  <c r="AF176" i="1"/>
  <c r="AG176" i="1"/>
  <c r="AH176" i="1"/>
  <c r="CV176" i="1" s="1"/>
  <c r="AI176" i="1"/>
  <c r="AJ176" i="1"/>
  <c r="CX176" i="1" s="1"/>
  <c r="CQ176" i="1"/>
  <c r="CS176" i="1"/>
  <c r="CU176" i="1"/>
  <c r="CW176" i="1"/>
  <c r="FR176" i="1"/>
  <c r="GL176" i="1"/>
  <c r="GO176" i="1"/>
  <c r="GP176" i="1"/>
  <c r="GV176" i="1"/>
  <c r="HC176" i="1" s="1"/>
  <c r="AC177" i="1"/>
  <c r="AE177" i="1"/>
  <c r="AF177" i="1"/>
  <c r="AG177" i="1"/>
  <c r="CU177" i="1" s="1"/>
  <c r="AH177" i="1"/>
  <c r="AI177" i="1"/>
  <c r="CW177" i="1" s="1"/>
  <c r="AJ177" i="1"/>
  <c r="CX177" i="1" s="1"/>
  <c r="CT177" i="1"/>
  <c r="CV177" i="1"/>
  <c r="FR177" i="1"/>
  <c r="GL177" i="1"/>
  <c r="GO177" i="1"/>
  <c r="GP177" i="1"/>
  <c r="GV177" i="1"/>
  <c r="HC177" i="1" s="1"/>
  <c r="AC178" i="1"/>
  <c r="AD178" i="1"/>
  <c r="AE178" i="1"/>
  <c r="CS178" i="1" s="1"/>
  <c r="AF178" i="1"/>
  <c r="AG178" i="1"/>
  <c r="CU178" i="1" s="1"/>
  <c r="AH178" i="1"/>
  <c r="CV178" i="1" s="1"/>
  <c r="AI178" i="1"/>
  <c r="CW178" i="1" s="1"/>
  <c r="AJ178" i="1"/>
  <c r="CX178" i="1" s="1"/>
  <c r="FR178" i="1"/>
  <c r="GL178" i="1"/>
  <c r="GO178" i="1"/>
  <c r="GP178" i="1"/>
  <c r="GV178" i="1"/>
  <c r="HC178" i="1"/>
  <c r="AC179" i="1"/>
  <c r="AE179" i="1"/>
  <c r="AF179" i="1"/>
  <c r="AG179" i="1"/>
  <c r="CU179" i="1" s="1"/>
  <c r="AH179" i="1"/>
  <c r="AI179" i="1"/>
  <c r="CW179" i="1" s="1"/>
  <c r="AJ179" i="1"/>
  <c r="CX179" i="1" s="1"/>
  <c r="CT179" i="1"/>
  <c r="CV179" i="1"/>
  <c r="FR179" i="1"/>
  <c r="GL179" i="1"/>
  <c r="GN179" i="1"/>
  <c r="GO179" i="1"/>
  <c r="GV179" i="1"/>
  <c r="HC179" i="1" s="1"/>
  <c r="I180" i="1"/>
  <c r="V180" i="1"/>
  <c r="AC180" i="1"/>
  <c r="AD180" i="1"/>
  <c r="AE180" i="1"/>
  <c r="AF180" i="1"/>
  <c r="AG180" i="1"/>
  <c r="CU180" i="1" s="1"/>
  <c r="T180" i="1" s="1"/>
  <c r="AH180" i="1"/>
  <c r="CV180" i="1" s="1"/>
  <c r="AI180" i="1"/>
  <c r="AJ180" i="1"/>
  <c r="CX180" i="1" s="1"/>
  <c r="CQ180" i="1"/>
  <c r="CS180" i="1"/>
  <c r="CW180" i="1"/>
  <c r="FR180" i="1"/>
  <c r="GL180" i="1"/>
  <c r="GN180" i="1"/>
  <c r="GO180" i="1"/>
  <c r="GV180" i="1"/>
  <c r="HC180" i="1"/>
  <c r="AC181" i="1"/>
  <c r="AE181" i="1"/>
  <c r="AF181" i="1"/>
  <c r="AG181" i="1"/>
  <c r="CU181" i="1" s="1"/>
  <c r="AH181" i="1"/>
  <c r="AI181" i="1"/>
  <c r="CW181" i="1" s="1"/>
  <c r="AJ181" i="1"/>
  <c r="CX181" i="1" s="1"/>
  <c r="CT181" i="1"/>
  <c r="CV181" i="1"/>
  <c r="FR181" i="1"/>
  <c r="GL181" i="1"/>
  <c r="GO181" i="1"/>
  <c r="GP181" i="1"/>
  <c r="GV181" i="1"/>
  <c r="HC181" i="1" s="1"/>
  <c r="B183" i="1"/>
  <c r="B169" i="1" s="1"/>
  <c r="C183" i="1"/>
  <c r="D183" i="1"/>
  <c r="D169" i="1" s="1"/>
  <c r="F183" i="1"/>
  <c r="F169" i="1" s="1"/>
  <c r="G183" i="1"/>
  <c r="BD183" i="1"/>
  <c r="BX183" i="1"/>
  <c r="CK183" i="1"/>
  <c r="CL183" i="1"/>
  <c r="BC183" i="1" s="1"/>
  <c r="CM183" i="1"/>
  <c r="CM169" i="1" s="1"/>
  <c r="B213" i="1"/>
  <c r="B69" i="1" s="1"/>
  <c r="C213" i="1"/>
  <c r="C69" i="1" s="1"/>
  <c r="D213" i="1"/>
  <c r="D69" i="1" s="1"/>
  <c r="F213" i="1"/>
  <c r="F69" i="1" s="1"/>
  <c r="G213" i="1"/>
  <c r="D243" i="1"/>
  <c r="E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CX245" i="1"/>
  <c r="CY245" i="1"/>
  <c r="CZ245" i="1"/>
  <c r="DA245" i="1"/>
  <c r="DB245" i="1"/>
  <c r="DC245" i="1"/>
  <c r="DD245" i="1"/>
  <c r="DE245" i="1"/>
  <c r="DF245" i="1"/>
  <c r="DG245" i="1"/>
  <c r="DH245" i="1"/>
  <c r="DI245" i="1"/>
  <c r="DJ245" i="1"/>
  <c r="DK245" i="1"/>
  <c r="DL245" i="1"/>
  <c r="DM245" i="1"/>
  <c r="DN245" i="1"/>
  <c r="DO245" i="1"/>
  <c r="DP245" i="1"/>
  <c r="DQ245" i="1"/>
  <c r="DR245" i="1"/>
  <c r="DS245" i="1"/>
  <c r="DT245" i="1"/>
  <c r="DU245" i="1"/>
  <c r="DV245" i="1"/>
  <c r="DW245" i="1"/>
  <c r="DX245" i="1"/>
  <c r="DY245" i="1"/>
  <c r="DZ245" i="1"/>
  <c r="EA245" i="1"/>
  <c r="EB245" i="1"/>
  <c r="EC245" i="1"/>
  <c r="ED245" i="1"/>
  <c r="EE245" i="1"/>
  <c r="EF245" i="1"/>
  <c r="EG245" i="1"/>
  <c r="EH245" i="1"/>
  <c r="EI245" i="1"/>
  <c r="EJ245" i="1"/>
  <c r="EK245" i="1"/>
  <c r="EL245" i="1"/>
  <c r="EM245" i="1"/>
  <c r="EN245" i="1"/>
  <c r="EO245" i="1"/>
  <c r="EP245" i="1"/>
  <c r="EQ245" i="1"/>
  <c r="ER245" i="1"/>
  <c r="ES245" i="1"/>
  <c r="ET245" i="1"/>
  <c r="EU245" i="1"/>
  <c r="EV245" i="1"/>
  <c r="EW245" i="1"/>
  <c r="EX245" i="1"/>
  <c r="EY245" i="1"/>
  <c r="EZ245" i="1"/>
  <c r="FA245" i="1"/>
  <c r="FB245" i="1"/>
  <c r="FC245" i="1"/>
  <c r="FD245" i="1"/>
  <c r="FE245" i="1"/>
  <c r="FF245" i="1"/>
  <c r="FG245" i="1"/>
  <c r="FH245" i="1"/>
  <c r="FI245" i="1"/>
  <c r="FJ245" i="1"/>
  <c r="FK245" i="1"/>
  <c r="FL245" i="1"/>
  <c r="FM245" i="1"/>
  <c r="FN245" i="1"/>
  <c r="FO245" i="1"/>
  <c r="FP245" i="1"/>
  <c r="FQ245" i="1"/>
  <c r="FR245" i="1"/>
  <c r="FS245" i="1"/>
  <c r="FT245" i="1"/>
  <c r="FU245" i="1"/>
  <c r="FV245" i="1"/>
  <c r="FW245" i="1"/>
  <c r="FX245" i="1"/>
  <c r="FY245" i="1"/>
  <c r="FZ245" i="1"/>
  <c r="GA245" i="1"/>
  <c r="GB245" i="1"/>
  <c r="GC245" i="1"/>
  <c r="GD245" i="1"/>
  <c r="GE245" i="1"/>
  <c r="GF245" i="1"/>
  <c r="GG245" i="1"/>
  <c r="GH245" i="1"/>
  <c r="GI245" i="1"/>
  <c r="GJ245" i="1"/>
  <c r="GK245" i="1"/>
  <c r="GL245" i="1"/>
  <c r="GM245" i="1"/>
  <c r="GN245" i="1"/>
  <c r="GO245" i="1"/>
  <c r="GP245" i="1"/>
  <c r="GQ245" i="1"/>
  <c r="GR245" i="1"/>
  <c r="GS245" i="1"/>
  <c r="GT245" i="1"/>
  <c r="GU245" i="1"/>
  <c r="GV245" i="1"/>
  <c r="GW245" i="1"/>
  <c r="GX245" i="1"/>
  <c r="D247" i="1"/>
  <c r="E249" i="1"/>
  <c r="Z249" i="1"/>
  <c r="AA249" i="1"/>
  <c r="AM249" i="1"/>
  <c r="AN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CL249" i="1"/>
  <c r="CN249" i="1"/>
  <c r="CO249" i="1"/>
  <c r="CP249" i="1"/>
  <c r="CQ249" i="1"/>
  <c r="CR249" i="1"/>
  <c r="CS249" i="1"/>
  <c r="CT249" i="1"/>
  <c r="CU249" i="1"/>
  <c r="CV249" i="1"/>
  <c r="CW249" i="1"/>
  <c r="CX249" i="1"/>
  <c r="CY249" i="1"/>
  <c r="CZ249" i="1"/>
  <c r="DA249" i="1"/>
  <c r="DB249" i="1"/>
  <c r="DC249" i="1"/>
  <c r="DD249" i="1"/>
  <c r="DE249" i="1"/>
  <c r="DF249" i="1"/>
  <c r="DG249" i="1"/>
  <c r="DH249" i="1"/>
  <c r="DI249" i="1"/>
  <c r="DJ249" i="1"/>
  <c r="DK249" i="1"/>
  <c r="DL249" i="1"/>
  <c r="DM249" i="1"/>
  <c r="DN249" i="1"/>
  <c r="DO249" i="1"/>
  <c r="DP249" i="1"/>
  <c r="DQ249" i="1"/>
  <c r="DR249" i="1"/>
  <c r="DS249" i="1"/>
  <c r="DT249" i="1"/>
  <c r="DU249" i="1"/>
  <c r="DV249" i="1"/>
  <c r="DW249" i="1"/>
  <c r="DX249" i="1"/>
  <c r="DY249" i="1"/>
  <c r="DZ249" i="1"/>
  <c r="EA249" i="1"/>
  <c r="EB249" i="1"/>
  <c r="EC249" i="1"/>
  <c r="ED249" i="1"/>
  <c r="EE249" i="1"/>
  <c r="EF249" i="1"/>
  <c r="EG249" i="1"/>
  <c r="EH249" i="1"/>
  <c r="EI249" i="1"/>
  <c r="EJ249" i="1"/>
  <c r="EK249" i="1"/>
  <c r="EL249" i="1"/>
  <c r="EM249" i="1"/>
  <c r="EN249" i="1"/>
  <c r="EO249" i="1"/>
  <c r="EP249" i="1"/>
  <c r="EQ249" i="1"/>
  <c r="ER249" i="1"/>
  <c r="ES249" i="1"/>
  <c r="ET249" i="1"/>
  <c r="EU249" i="1"/>
  <c r="EV249" i="1"/>
  <c r="EW249" i="1"/>
  <c r="EX249" i="1"/>
  <c r="EY249" i="1"/>
  <c r="EZ249" i="1"/>
  <c r="FA249" i="1"/>
  <c r="FB249" i="1"/>
  <c r="FC249" i="1"/>
  <c r="FD249" i="1"/>
  <c r="FE249" i="1"/>
  <c r="FF249" i="1"/>
  <c r="FG249" i="1"/>
  <c r="FH249" i="1"/>
  <c r="FI249" i="1"/>
  <c r="FJ249" i="1"/>
  <c r="FK249" i="1"/>
  <c r="FL249" i="1"/>
  <c r="FM249" i="1"/>
  <c r="FN249" i="1"/>
  <c r="FO249" i="1"/>
  <c r="FP249" i="1"/>
  <c r="FQ249" i="1"/>
  <c r="FR249" i="1"/>
  <c r="FS249" i="1"/>
  <c r="FT249" i="1"/>
  <c r="FU249" i="1"/>
  <c r="FV249" i="1"/>
  <c r="FW249" i="1"/>
  <c r="FX249" i="1"/>
  <c r="FY249" i="1"/>
  <c r="FZ249" i="1"/>
  <c r="GA249" i="1"/>
  <c r="GB249" i="1"/>
  <c r="GC249" i="1"/>
  <c r="GD249" i="1"/>
  <c r="GE249" i="1"/>
  <c r="GF249" i="1"/>
  <c r="GG249" i="1"/>
  <c r="GH249" i="1"/>
  <c r="GI249" i="1"/>
  <c r="GJ249" i="1"/>
  <c r="GK249" i="1"/>
  <c r="GL249" i="1"/>
  <c r="GM249" i="1"/>
  <c r="GN249" i="1"/>
  <c r="GO249" i="1"/>
  <c r="GP249" i="1"/>
  <c r="GQ249" i="1"/>
  <c r="GR249" i="1"/>
  <c r="GS249" i="1"/>
  <c r="GT249" i="1"/>
  <c r="GU249" i="1"/>
  <c r="GV249" i="1"/>
  <c r="GW249" i="1"/>
  <c r="GX249" i="1"/>
  <c r="C251" i="1"/>
  <c r="D251" i="1"/>
  <c r="I251" i="1"/>
  <c r="K251" i="1"/>
  <c r="S251" i="1"/>
  <c r="K251" i="5" s="1"/>
  <c r="AC251" i="1"/>
  <c r="AE251" i="1"/>
  <c r="H253" i="5" s="1"/>
  <c r="R253" i="5" s="1"/>
  <c r="AF251" i="1"/>
  <c r="AG251" i="1"/>
  <c r="CU251" i="1" s="1"/>
  <c r="T251" i="1" s="1"/>
  <c r="AH251" i="1"/>
  <c r="CV251" i="1" s="1"/>
  <c r="U251" i="1" s="1"/>
  <c r="AI251" i="1"/>
  <c r="CW251" i="1" s="1"/>
  <c r="V251" i="1" s="1"/>
  <c r="AJ251" i="1"/>
  <c r="CX251" i="1" s="1"/>
  <c r="W251" i="1" s="1"/>
  <c r="CS251" i="1"/>
  <c r="R251" i="1" s="1"/>
  <c r="K253" i="5" s="1"/>
  <c r="CT251" i="1"/>
  <c r="FR251" i="1"/>
  <c r="GL251" i="1"/>
  <c r="GO251" i="1"/>
  <c r="GP251" i="1"/>
  <c r="GV251" i="1"/>
  <c r="HC251" i="1" s="1"/>
  <c r="GX251" i="1" s="1"/>
  <c r="C252" i="1"/>
  <c r="D252" i="1"/>
  <c r="I252" i="1"/>
  <c r="K252" i="1"/>
  <c r="S252" i="1"/>
  <c r="K260" i="5" s="1"/>
  <c r="V252" i="1"/>
  <c r="AC252" i="1"/>
  <c r="AE252" i="1"/>
  <c r="AF252" i="1"/>
  <c r="AG252" i="1"/>
  <c r="CU252" i="1" s="1"/>
  <c r="AH252" i="1"/>
  <c r="CV252" i="1" s="1"/>
  <c r="AI252" i="1"/>
  <c r="CW252" i="1" s="1"/>
  <c r="AJ252" i="1"/>
  <c r="CX252" i="1" s="1"/>
  <c r="CT252" i="1"/>
  <c r="FR252" i="1"/>
  <c r="GL252" i="1"/>
  <c r="BZ258" i="1" s="1"/>
  <c r="GO252" i="1"/>
  <c r="GP252" i="1"/>
  <c r="GV252" i="1"/>
  <c r="HC252" i="1" s="1"/>
  <c r="GX252" i="1" s="1"/>
  <c r="C253" i="1"/>
  <c r="D253" i="1"/>
  <c r="I253" i="1"/>
  <c r="K253" i="1"/>
  <c r="P253" i="1"/>
  <c r="AC253" i="1"/>
  <c r="AD253" i="1"/>
  <c r="H270" i="5" s="1"/>
  <c r="AE253" i="1"/>
  <c r="AF253" i="1"/>
  <c r="AG253" i="1"/>
  <c r="CU253" i="1" s="1"/>
  <c r="T253" i="1" s="1"/>
  <c r="AH253" i="1"/>
  <c r="CV253" i="1" s="1"/>
  <c r="U253" i="1" s="1"/>
  <c r="AI253" i="1"/>
  <c r="CW253" i="1" s="1"/>
  <c r="V253" i="1" s="1"/>
  <c r="AJ253" i="1"/>
  <c r="CX253" i="1" s="1"/>
  <c r="W253" i="1" s="1"/>
  <c r="CQ253" i="1"/>
  <c r="CS253" i="1"/>
  <c r="R253" i="1" s="1"/>
  <c r="FR253" i="1"/>
  <c r="GL253" i="1"/>
  <c r="GO253" i="1"/>
  <c r="GP253" i="1"/>
  <c r="GV253" i="1"/>
  <c r="HC253" i="1" s="1"/>
  <c r="C254" i="1"/>
  <c r="D254" i="1"/>
  <c r="I254" i="1"/>
  <c r="K254" i="1"/>
  <c r="T254" i="1"/>
  <c r="AC254" i="1"/>
  <c r="AE254" i="1"/>
  <c r="AF254" i="1"/>
  <c r="AG254" i="1"/>
  <c r="AH254" i="1"/>
  <c r="CV254" i="1" s="1"/>
  <c r="AI254" i="1"/>
  <c r="CW254" i="1" s="1"/>
  <c r="V254" i="1" s="1"/>
  <c r="AJ254" i="1"/>
  <c r="CX254" i="1" s="1"/>
  <c r="W254" i="1" s="1"/>
  <c r="CU254" i="1"/>
  <c r="FR254" i="1"/>
  <c r="GL254" i="1"/>
  <c r="GO254" i="1"/>
  <c r="GP254" i="1"/>
  <c r="GV254" i="1"/>
  <c r="HC254" i="1"/>
  <c r="GX254" i="1" s="1"/>
  <c r="C255" i="1"/>
  <c r="D255" i="1"/>
  <c r="I255" i="1"/>
  <c r="K255" i="1"/>
  <c r="P255" i="1"/>
  <c r="AC255" i="1"/>
  <c r="AD255" i="1"/>
  <c r="AE255" i="1"/>
  <c r="AF255" i="1"/>
  <c r="AG255" i="1"/>
  <c r="CU255" i="1" s="1"/>
  <c r="T255" i="1" s="1"/>
  <c r="AH255" i="1"/>
  <c r="CV255" i="1" s="1"/>
  <c r="U255" i="1" s="1"/>
  <c r="AI255" i="1"/>
  <c r="CW255" i="1" s="1"/>
  <c r="V255" i="1" s="1"/>
  <c r="AJ255" i="1"/>
  <c r="CX255" i="1" s="1"/>
  <c r="W255" i="1" s="1"/>
  <c r="CQ255" i="1"/>
  <c r="CS255" i="1"/>
  <c r="R255" i="1" s="1"/>
  <c r="FR255" i="1"/>
  <c r="GL255" i="1"/>
  <c r="GO255" i="1"/>
  <c r="GP255" i="1"/>
  <c r="GV255" i="1"/>
  <c r="HC255" i="1" s="1"/>
  <c r="GX255" i="1" s="1"/>
  <c r="AC256" i="1"/>
  <c r="CQ256" i="1" s="1"/>
  <c r="P256" i="1" s="1"/>
  <c r="AD256" i="1"/>
  <c r="AE256" i="1"/>
  <c r="CS256" i="1" s="1"/>
  <c r="R256" i="1" s="1"/>
  <c r="AF256" i="1"/>
  <c r="AG256" i="1"/>
  <c r="CU256" i="1" s="1"/>
  <c r="T256" i="1" s="1"/>
  <c r="AH256" i="1"/>
  <c r="CV256" i="1" s="1"/>
  <c r="U256" i="1" s="1"/>
  <c r="L295" i="5" s="1"/>
  <c r="Q295" i="5" s="1"/>
  <c r="AI256" i="1"/>
  <c r="CW256" i="1" s="1"/>
  <c r="V256" i="1" s="1"/>
  <c r="AJ256" i="1"/>
  <c r="CX256" i="1" s="1"/>
  <c r="W256" i="1" s="1"/>
  <c r="FR256" i="1"/>
  <c r="GL256" i="1"/>
  <c r="GO256" i="1"/>
  <c r="GP256" i="1"/>
  <c r="GV256" i="1"/>
  <c r="HC256" i="1" s="1"/>
  <c r="GX256" i="1" s="1"/>
  <c r="B258" i="1"/>
  <c r="B249" i="1" s="1"/>
  <c r="C258" i="1"/>
  <c r="C249" i="1" s="1"/>
  <c r="D258" i="1"/>
  <c r="D249" i="1" s="1"/>
  <c r="F258" i="1"/>
  <c r="F249" i="1" s="1"/>
  <c r="G258" i="1"/>
  <c r="BX258" i="1"/>
  <c r="AO258" i="1" s="1"/>
  <c r="CC258" i="1"/>
  <c r="CK258" i="1"/>
  <c r="CL258" i="1"/>
  <c r="BC258" i="1" s="1"/>
  <c r="D288" i="1"/>
  <c r="C290" i="1"/>
  <c r="E290" i="1"/>
  <c r="Z290" i="1"/>
  <c r="AA290" i="1"/>
  <c r="AM290" i="1"/>
  <c r="AN290" i="1"/>
  <c r="BE290" i="1"/>
  <c r="BF290" i="1"/>
  <c r="BG290" i="1"/>
  <c r="BH290" i="1"/>
  <c r="BI290" i="1"/>
  <c r="BJ290" i="1"/>
  <c r="BK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CN290" i="1"/>
  <c r="CO290" i="1"/>
  <c r="CP290" i="1"/>
  <c r="CQ290" i="1"/>
  <c r="CR290" i="1"/>
  <c r="CS290" i="1"/>
  <c r="CT290" i="1"/>
  <c r="CU290" i="1"/>
  <c r="CV290" i="1"/>
  <c r="CW290" i="1"/>
  <c r="CX290" i="1"/>
  <c r="CY290" i="1"/>
  <c r="CZ290" i="1"/>
  <c r="DA290" i="1"/>
  <c r="DB290" i="1"/>
  <c r="DC290" i="1"/>
  <c r="DD290" i="1"/>
  <c r="DE290" i="1"/>
  <c r="DF290" i="1"/>
  <c r="DG290" i="1"/>
  <c r="DH290" i="1"/>
  <c r="DI290" i="1"/>
  <c r="DJ290" i="1"/>
  <c r="DK290" i="1"/>
  <c r="DL290" i="1"/>
  <c r="DM290" i="1"/>
  <c r="DN290" i="1"/>
  <c r="DO290" i="1"/>
  <c r="DP290" i="1"/>
  <c r="DQ290" i="1"/>
  <c r="DR290" i="1"/>
  <c r="DS290" i="1"/>
  <c r="DT290" i="1"/>
  <c r="DU290" i="1"/>
  <c r="DV290" i="1"/>
  <c r="DW290" i="1"/>
  <c r="DX290" i="1"/>
  <c r="DY290" i="1"/>
  <c r="DZ290" i="1"/>
  <c r="EA290" i="1"/>
  <c r="EB290" i="1"/>
  <c r="EC290" i="1"/>
  <c r="ED290" i="1"/>
  <c r="EE290" i="1"/>
  <c r="EF290" i="1"/>
  <c r="EG290" i="1"/>
  <c r="EH290" i="1"/>
  <c r="EI290" i="1"/>
  <c r="EJ290" i="1"/>
  <c r="EK290" i="1"/>
  <c r="EL290" i="1"/>
  <c r="EM290" i="1"/>
  <c r="EN290" i="1"/>
  <c r="EO290" i="1"/>
  <c r="EP290" i="1"/>
  <c r="EQ290" i="1"/>
  <c r="ER290" i="1"/>
  <c r="ES290" i="1"/>
  <c r="ET290" i="1"/>
  <c r="EU290" i="1"/>
  <c r="EV290" i="1"/>
  <c r="EW290" i="1"/>
  <c r="EX290" i="1"/>
  <c r="EY290" i="1"/>
  <c r="EZ290" i="1"/>
  <c r="FA290" i="1"/>
  <c r="FB290" i="1"/>
  <c r="FC290" i="1"/>
  <c r="FD290" i="1"/>
  <c r="FE290" i="1"/>
  <c r="FF290" i="1"/>
  <c r="FG290" i="1"/>
  <c r="FH290" i="1"/>
  <c r="FI290" i="1"/>
  <c r="FJ290" i="1"/>
  <c r="FK290" i="1"/>
  <c r="FL290" i="1"/>
  <c r="FM290" i="1"/>
  <c r="FN290" i="1"/>
  <c r="FO290" i="1"/>
  <c r="FP290" i="1"/>
  <c r="FQ290" i="1"/>
  <c r="FR290" i="1"/>
  <c r="FS290" i="1"/>
  <c r="FT290" i="1"/>
  <c r="FU290" i="1"/>
  <c r="FV290" i="1"/>
  <c r="FW290" i="1"/>
  <c r="FX290" i="1"/>
  <c r="FY290" i="1"/>
  <c r="FZ290" i="1"/>
  <c r="GA290" i="1"/>
  <c r="GB290" i="1"/>
  <c r="GC290" i="1"/>
  <c r="GD290" i="1"/>
  <c r="GE290" i="1"/>
  <c r="GF290" i="1"/>
  <c r="GG290" i="1"/>
  <c r="GH290" i="1"/>
  <c r="GI290" i="1"/>
  <c r="GJ290" i="1"/>
  <c r="GK290" i="1"/>
  <c r="GL290" i="1"/>
  <c r="GM290" i="1"/>
  <c r="GN290" i="1"/>
  <c r="GO290" i="1"/>
  <c r="GP290" i="1"/>
  <c r="GQ290" i="1"/>
  <c r="GR290" i="1"/>
  <c r="GS290" i="1"/>
  <c r="GT290" i="1"/>
  <c r="GU290" i="1"/>
  <c r="GV290" i="1"/>
  <c r="GW290" i="1"/>
  <c r="GX290" i="1"/>
  <c r="C292" i="1"/>
  <c r="D292" i="1"/>
  <c r="I292" i="1"/>
  <c r="T292" i="1" s="1"/>
  <c r="K292" i="1"/>
  <c r="AC292" i="1"/>
  <c r="CQ292" i="1" s="1"/>
  <c r="P292" i="1" s="1"/>
  <c r="AE292" i="1"/>
  <c r="AF292" i="1"/>
  <c r="AG292" i="1"/>
  <c r="AH292" i="1"/>
  <c r="CV292" i="1" s="1"/>
  <c r="AI292" i="1"/>
  <c r="CW292" i="1" s="1"/>
  <c r="V292" i="1" s="1"/>
  <c r="AJ292" i="1"/>
  <c r="CX292" i="1" s="1"/>
  <c r="W292" i="1" s="1"/>
  <c r="CU292" i="1"/>
  <c r="FR292" i="1"/>
  <c r="BY299" i="1" s="1"/>
  <c r="GL292" i="1"/>
  <c r="GO292" i="1"/>
  <c r="CC299" i="1" s="1"/>
  <c r="GP292" i="1"/>
  <c r="GV292" i="1"/>
  <c r="HC292" i="1" s="1"/>
  <c r="GX292" i="1" s="1"/>
  <c r="C293" i="1"/>
  <c r="D293" i="1"/>
  <c r="AC293" i="1"/>
  <c r="H315" i="5" s="1"/>
  <c r="AD293" i="1"/>
  <c r="H313" i="5" s="1"/>
  <c r="AE293" i="1"/>
  <c r="H314" i="5" s="1"/>
  <c r="R314" i="5" s="1"/>
  <c r="AF293" i="1"/>
  <c r="AG293" i="1"/>
  <c r="AH293" i="1"/>
  <c r="CV293" i="1" s="1"/>
  <c r="U293" i="1" s="1"/>
  <c r="AI293" i="1"/>
  <c r="CW293" i="1" s="1"/>
  <c r="V293" i="1" s="1"/>
  <c r="AJ293" i="1"/>
  <c r="CX293" i="1" s="1"/>
  <c r="W293" i="1" s="1"/>
  <c r="CQ293" i="1"/>
  <c r="P293" i="1" s="1"/>
  <c r="K315" i="5" s="1"/>
  <c r="CS293" i="1"/>
  <c r="R293" i="1" s="1"/>
  <c r="K314" i="5" s="1"/>
  <c r="CU293" i="1"/>
  <c r="T293" i="1" s="1"/>
  <c r="FR293" i="1"/>
  <c r="GL293" i="1"/>
  <c r="GO293" i="1"/>
  <c r="GP293" i="1"/>
  <c r="GV293" i="1"/>
  <c r="HC293" i="1" s="1"/>
  <c r="GX293" i="1" s="1"/>
  <c r="I294" i="1"/>
  <c r="E319" i="5" s="1"/>
  <c r="AC294" i="1"/>
  <c r="AE294" i="1"/>
  <c r="AF294" i="1"/>
  <c r="AG294" i="1"/>
  <c r="CU294" i="1" s="1"/>
  <c r="T294" i="1" s="1"/>
  <c r="AH294" i="1"/>
  <c r="CV294" i="1" s="1"/>
  <c r="U294" i="1" s="1"/>
  <c r="AI294" i="1"/>
  <c r="CW294" i="1" s="1"/>
  <c r="V294" i="1" s="1"/>
  <c r="AJ294" i="1"/>
  <c r="CX294" i="1" s="1"/>
  <c r="W294" i="1" s="1"/>
  <c r="CT294" i="1"/>
  <c r="S294" i="1" s="1"/>
  <c r="FR294" i="1"/>
  <c r="GL294" i="1"/>
  <c r="GO294" i="1"/>
  <c r="GP294" i="1"/>
  <c r="GV294" i="1"/>
  <c r="HC294" i="1" s="1"/>
  <c r="GX294" i="1" s="1"/>
  <c r="I295" i="1"/>
  <c r="E320" i="5" s="1"/>
  <c r="AC295" i="1"/>
  <c r="AE295" i="1"/>
  <c r="CS295" i="1" s="1"/>
  <c r="R295" i="1" s="1"/>
  <c r="AF295" i="1"/>
  <c r="AG295" i="1"/>
  <c r="AH295" i="1"/>
  <c r="CV295" i="1" s="1"/>
  <c r="U295" i="1" s="1"/>
  <c r="AI295" i="1"/>
  <c r="AJ295" i="1"/>
  <c r="CX295" i="1" s="1"/>
  <c r="CU295" i="1"/>
  <c r="T295" i="1" s="1"/>
  <c r="CW295" i="1"/>
  <c r="FR295" i="1"/>
  <c r="GL295" i="1"/>
  <c r="GN295" i="1"/>
  <c r="GO295" i="1"/>
  <c r="GV295" i="1"/>
  <c r="HC295" i="1" s="1"/>
  <c r="GX295" i="1" s="1"/>
  <c r="C296" i="1"/>
  <c r="D296" i="1"/>
  <c r="T296" i="1"/>
  <c r="K296" i="1"/>
  <c r="AC296" i="1"/>
  <c r="AE296" i="1"/>
  <c r="AF296" i="1"/>
  <c r="AG296" i="1"/>
  <c r="AH296" i="1"/>
  <c r="CV296" i="1" s="1"/>
  <c r="AI296" i="1"/>
  <c r="AJ296" i="1"/>
  <c r="CX296" i="1" s="1"/>
  <c r="CQ296" i="1"/>
  <c r="P296" i="1" s="1"/>
  <c r="K327" i="5" s="1"/>
  <c r="CS296" i="1"/>
  <c r="CU296" i="1"/>
  <c r="CW296" i="1"/>
  <c r="FR296" i="1"/>
  <c r="GL296" i="1"/>
  <c r="GO296" i="1"/>
  <c r="GP296" i="1"/>
  <c r="GV296" i="1"/>
  <c r="HC296" i="1"/>
  <c r="I297" i="1"/>
  <c r="E331" i="5" s="1"/>
  <c r="AC297" i="1"/>
  <c r="AE297" i="1"/>
  <c r="AF297" i="1"/>
  <c r="AG297" i="1"/>
  <c r="CU297" i="1" s="1"/>
  <c r="AH297" i="1"/>
  <c r="CV297" i="1" s="1"/>
  <c r="AI297" i="1"/>
  <c r="CW297" i="1" s="1"/>
  <c r="AJ297" i="1"/>
  <c r="CT297" i="1"/>
  <c r="CX297" i="1"/>
  <c r="FR297" i="1"/>
  <c r="GL297" i="1"/>
  <c r="GO297" i="1"/>
  <c r="GP297" i="1"/>
  <c r="GV297" i="1"/>
  <c r="HC297" i="1" s="1"/>
  <c r="GX297" i="1" s="1"/>
  <c r="B299" i="1"/>
  <c r="B290" i="1" s="1"/>
  <c r="C299" i="1"/>
  <c r="D299" i="1"/>
  <c r="D290" i="1" s="1"/>
  <c r="F299" i="1"/>
  <c r="F290" i="1" s="1"/>
  <c r="G299" i="1"/>
  <c r="BX299" i="1"/>
  <c r="CK299" i="1"/>
  <c r="CK290" i="1" s="1"/>
  <c r="CL299" i="1"/>
  <c r="CM299" i="1"/>
  <c r="D329" i="1"/>
  <c r="E331" i="1"/>
  <c r="G331" i="1"/>
  <c r="Z331" i="1"/>
  <c r="AA331" i="1"/>
  <c r="AM331" i="1"/>
  <c r="AN331" i="1"/>
  <c r="BE331" i="1"/>
  <c r="BF331" i="1"/>
  <c r="BG331" i="1"/>
  <c r="BH331" i="1"/>
  <c r="BI331" i="1"/>
  <c r="BJ331" i="1"/>
  <c r="BK331" i="1"/>
  <c r="BL331" i="1"/>
  <c r="BM331" i="1"/>
  <c r="BN331" i="1"/>
  <c r="BO331" i="1"/>
  <c r="BP331" i="1"/>
  <c r="BQ331" i="1"/>
  <c r="BR331" i="1"/>
  <c r="BS331" i="1"/>
  <c r="BT331" i="1"/>
  <c r="BU331" i="1"/>
  <c r="BV331" i="1"/>
  <c r="BW331" i="1"/>
  <c r="BX331" i="1"/>
  <c r="CL331" i="1"/>
  <c r="CN331" i="1"/>
  <c r="CO331" i="1"/>
  <c r="CP331" i="1"/>
  <c r="CQ331" i="1"/>
  <c r="CR331" i="1"/>
  <c r="CS331" i="1"/>
  <c r="CT331" i="1"/>
  <c r="CU331" i="1"/>
  <c r="CV331" i="1"/>
  <c r="CW331" i="1"/>
  <c r="CX331" i="1"/>
  <c r="CY331" i="1"/>
  <c r="CZ331" i="1"/>
  <c r="DA331" i="1"/>
  <c r="DB331" i="1"/>
  <c r="DC331" i="1"/>
  <c r="DD331" i="1"/>
  <c r="DE331" i="1"/>
  <c r="DF331" i="1"/>
  <c r="DG331" i="1"/>
  <c r="DH331" i="1"/>
  <c r="DI331" i="1"/>
  <c r="DJ331" i="1"/>
  <c r="DK331" i="1"/>
  <c r="DL331" i="1"/>
  <c r="DM331" i="1"/>
  <c r="DN331" i="1"/>
  <c r="DO331" i="1"/>
  <c r="DP331" i="1"/>
  <c r="DQ331" i="1"/>
  <c r="DR331" i="1"/>
  <c r="DS331" i="1"/>
  <c r="DT331" i="1"/>
  <c r="DU331" i="1"/>
  <c r="DV331" i="1"/>
  <c r="DW331" i="1"/>
  <c r="DX331" i="1"/>
  <c r="DY331" i="1"/>
  <c r="DZ331" i="1"/>
  <c r="EA331" i="1"/>
  <c r="EB331" i="1"/>
  <c r="EC331" i="1"/>
  <c r="ED331" i="1"/>
  <c r="EE331" i="1"/>
  <c r="EF331" i="1"/>
  <c r="EG331" i="1"/>
  <c r="EH331" i="1"/>
  <c r="EI331" i="1"/>
  <c r="EJ331" i="1"/>
  <c r="EK331" i="1"/>
  <c r="EL331" i="1"/>
  <c r="EM331" i="1"/>
  <c r="EN331" i="1"/>
  <c r="EO331" i="1"/>
  <c r="EP331" i="1"/>
  <c r="EQ331" i="1"/>
  <c r="ER331" i="1"/>
  <c r="ES331" i="1"/>
  <c r="ET331" i="1"/>
  <c r="EU331" i="1"/>
  <c r="EV331" i="1"/>
  <c r="EW331" i="1"/>
  <c r="EX331" i="1"/>
  <c r="EY331" i="1"/>
  <c r="EZ331" i="1"/>
  <c r="FA331" i="1"/>
  <c r="FB331" i="1"/>
  <c r="FC331" i="1"/>
  <c r="FD331" i="1"/>
  <c r="FE331" i="1"/>
  <c r="FF331" i="1"/>
  <c r="FG331" i="1"/>
  <c r="FH331" i="1"/>
  <c r="FI331" i="1"/>
  <c r="FJ331" i="1"/>
  <c r="FK331" i="1"/>
  <c r="FL331" i="1"/>
  <c r="FM331" i="1"/>
  <c r="FN331" i="1"/>
  <c r="FO331" i="1"/>
  <c r="FP331" i="1"/>
  <c r="FQ331" i="1"/>
  <c r="FR331" i="1"/>
  <c r="FS331" i="1"/>
  <c r="FT331" i="1"/>
  <c r="FU331" i="1"/>
  <c r="FV331" i="1"/>
  <c r="FW331" i="1"/>
  <c r="FX331" i="1"/>
  <c r="FY331" i="1"/>
  <c r="FZ331" i="1"/>
  <c r="GA331" i="1"/>
  <c r="GB331" i="1"/>
  <c r="GC331" i="1"/>
  <c r="GD331" i="1"/>
  <c r="GE331" i="1"/>
  <c r="GF331" i="1"/>
  <c r="GG331" i="1"/>
  <c r="GH331" i="1"/>
  <c r="GI331" i="1"/>
  <c r="GJ331" i="1"/>
  <c r="GK331" i="1"/>
  <c r="GL331" i="1"/>
  <c r="GM331" i="1"/>
  <c r="GN331" i="1"/>
  <c r="GO331" i="1"/>
  <c r="GP331" i="1"/>
  <c r="GQ331" i="1"/>
  <c r="GR331" i="1"/>
  <c r="GS331" i="1"/>
  <c r="GT331" i="1"/>
  <c r="GU331" i="1"/>
  <c r="GV331" i="1"/>
  <c r="GW331" i="1"/>
  <c r="GX331" i="1"/>
  <c r="C333" i="1"/>
  <c r="D333" i="1"/>
  <c r="I333" i="1"/>
  <c r="K333" i="1"/>
  <c r="AC333" i="1"/>
  <c r="AE333" i="1"/>
  <c r="AF333" i="1"/>
  <c r="AG333" i="1"/>
  <c r="CU333" i="1" s="1"/>
  <c r="T333" i="1" s="1"/>
  <c r="AH333" i="1"/>
  <c r="CV333" i="1" s="1"/>
  <c r="U333" i="1" s="1"/>
  <c r="AI333" i="1"/>
  <c r="CW333" i="1" s="1"/>
  <c r="V333" i="1" s="1"/>
  <c r="AJ333" i="1"/>
  <c r="CX333" i="1" s="1"/>
  <c r="CQ333" i="1"/>
  <c r="P333" i="1" s="1"/>
  <c r="FR333" i="1"/>
  <c r="GL333" i="1"/>
  <c r="GO333" i="1"/>
  <c r="GP333" i="1"/>
  <c r="GV333" i="1"/>
  <c r="HC333" i="1" s="1"/>
  <c r="GX333" i="1" s="1"/>
  <c r="C334" i="1"/>
  <c r="D334" i="1"/>
  <c r="I334" i="1"/>
  <c r="T334" i="1" s="1"/>
  <c r="K334" i="1"/>
  <c r="AC334" i="1"/>
  <c r="AD334" i="1"/>
  <c r="H351" i="5" s="1"/>
  <c r="AE334" i="1"/>
  <c r="AF334" i="1"/>
  <c r="AG334" i="1"/>
  <c r="AH334" i="1"/>
  <c r="CV334" i="1" s="1"/>
  <c r="AI334" i="1"/>
  <c r="CW334" i="1" s="1"/>
  <c r="V334" i="1" s="1"/>
  <c r="AJ334" i="1"/>
  <c r="CX334" i="1" s="1"/>
  <c r="CS334" i="1"/>
  <c r="CU334" i="1"/>
  <c r="FR334" i="1"/>
  <c r="GL334" i="1"/>
  <c r="GO334" i="1"/>
  <c r="GP334" i="1"/>
  <c r="GV334" i="1"/>
  <c r="HC334" i="1" s="1"/>
  <c r="GX334" i="1" s="1"/>
  <c r="C335" i="1"/>
  <c r="D335" i="1"/>
  <c r="K335" i="1"/>
  <c r="AC335" i="1"/>
  <c r="H362" i="5" s="1"/>
  <c r="CR335" i="1"/>
  <c r="CT335" i="1"/>
  <c r="S335" i="1" s="1"/>
  <c r="K359" i="5" s="1"/>
  <c r="AG335" i="1"/>
  <c r="CU335" i="1" s="1"/>
  <c r="T335" i="1" s="1"/>
  <c r="AH335" i="1"/>
  <c r="CV335" i="1" s="1"/>
  <c r="U335" i="1" s="1"/>
  <c r="AI335" i="1"/>
  <c r="CW335" i="1" s="1"/>
  <c r="V335" i="1" s="1"/>
  <c r="AJ335" i="1"/>
  <c r="CX335" i="1" s="1"/>
  <c r="W335" i="1" s="1"/>
  <c r="CS335" i="1"/>
  <c r="R335" i="1" s="1"/>
  <c r="K361" i="5" s="1"/>
  <c r="FR335" i="1"/>
  <c r="GL335" i="1"/>
  <c r="GO335" i="1"/>
  <c r="GP335" i="1"/>
  <c r="GV335" i="1"/>
  <c r="HC335" i="1" s="1"/>
  <c r="AC336" i="1"/>
  <c r="AE336" i="1"/>
  <c r="AF336" i="1"/>
  <c r="AG336" i="1"/>
  <c r="CU336" i="1" s="1"/>
  <c r="AH336" i="1"/>
  <c r="CV336" i="1" s="1"/>
  <c r="AI336" i="1"/>
  <c r="CW336" i="1" s="1"/>
  <c r="AJ336" i="1"/>
  <c r="CX336" i="1" s="1"/>
  <c r="FR336" i="1"/>
  <c r="GL336" i="1"/>
  <c r="GN336" i="1"/>
  <c r="GO336" i="1"/>
  <c r="GV336" i="1"/>
  <c r="HC336" i="1" s="1"/>
  <c r="I337" i="1"/>
  <c r="E367" i="5" s="1"/>
  <c r="V337" i="1"/>
  <c r="AC337" i="1"/>
  <c r="AD337" i="1"/>
  <c r="AE337" i="1"/>
  <c r="CS337" i="1" s="1"/>
  <c r="R337" i="1" s="1"/>
  <c r="AF337" i="1"/>
  <c r="AG337" i="1"/>
  <c r="AH337" i="1"/>
  <c r="CV337" i="1" s="1"/>
  <c r="AI337" i="1"/>
  <c r="AJ337" i="1"/>
  <c r="CX337" i="1" s="1"/>
  <c r="CU337" i="1"/>
  <c r="CW337" i="1"/>
  <c r="FR337" i="1"/>
  <c r="GL337" i="1"/>
  <c r="GN337" i="1"/>
  <c r="GO337" i="1"/>
  <c r="GV337" i="1"/>
  <c r="HC337" i="1" s="1"/>
  <c r="GX337" i="1" s="1"/>
  <c r="B339" i="1"/>
  <c r="B331" i="1" s="1"/>
  <c r="C339" i="1"/>
  <c r="C331" i="1" s="1"/>
  <c r="D339" i="1"/>
  <c r="D331" i="1" s="1"/>
  <c r="F339" i="1"/>
  <c r="F331" i="1" s="1"/>
  <c r="G339" i="1"/>
  <c r="BX339" i="1"/>
  <c r="CK339" i="1"/>
  <c r="CK331" i="1" s="1"/>
  <c r="CL339" i="1"/>
  <c r="BC339" i="1" s="1"/>
  <c r="BC331" i="1" s="1"/>
  <c r="CM339" i="1"/>
  <c r="CM331" i="1" s="1"/>
  <c r="D369" i="1"/>
  <c r="B371" i="1"/>
  <c r="E371" i="1"/>
  <c r="F371" i="1"/>
  <c r="Z371" i="1"/>
  <c r="AA371" i="1"/>
  <c r="AM371" i="1"/>
  <c r="AN371" i="1"/>
  <c r="BE371" i="1"/>
  <c r="BF371" i="1"/>
  <c r="BG371" i="1"/>
  <c r="BH371" i="1"/>
  <c r="BI371" i="1"/>
  <c r="BJ371" i="1"/>
  <c r="BK371" i="1"/>
  <c r="BL371" i="1"/>
  <c r="BM371" i="1"/>
  <c r="BN371" i="1"/>
  <c r="BO371" i="1"/>
  <c r="BP371" i="1"/>
  <c r="BQ371" i="1"/>
  <c r="BR371" i="1"/>
  <c r="BS371" i="1"/>
  <c r="BT371" i="1"/>
  <c r="BU371" i="1"/>
  <c r="BV371" i="1"/>
  <c r="BW371" i="1"/>
  <c r="CN371" i="1"/>
  <c r="CO371" i="1"/>
  <c r="CP371" i="1"/>
  <c r="CQ371" i="1"/>
  <c r="CR371" i="1"/>
  <c r="CS371" i="1"/>
  <c r="CT371" i="1"/>
  <c r="CU371" i="1"/>
  <c r="CV371" i="1"/>
  <c r="CW371" i="1"/>
  <c r="CX371" i="1"/>
  <c r="CY371" i="1"/>
  <c r="CZ371" i="1"/>
  <c r="DA371" i="1"/>
  <c r="DB371" i="1"/>
  <c r="DC371" i="1"/>
  <c r="DD371" i="1"/>
  <c r="DE371" i="1"/>
  <c r="DF371" i="1"/>
  <c r="DG371" i="1"/>
  <c r="DH371" i="1"/>
  <c r="DI371" i="1"/>
  <c r="DJ371" i="1"/>
  <c r="DK371" i="1"/>
  <c r="DL371" i="1"/>
  <c r="DM371" i="1"/>
  <c r="DN371" i="1"/>
  <c r="DO371" i="1"/>
  <c r="DP371" i="1"/>
  <c r="DQ371" i="1"/>
  <c r="DR371" i="1"/>
  <c r="DS371" i="1"/>
  <c r="DT371" i="1"/>
  <c r="DU371" i="1"/>
  <c r="DV371" i="1"/>
  <c r="DW371" i="1"/>
  <c r="DX371" i="1"/>
  <c r="DY371" i="1"/>
  <c r="DZ371" i="1"/>
  <c r="EA371" i="1"/>
  <c r="EB371" i="1"/>
  <c r="EC371" i="1"/>
  <c r="ED371" i="1"/>
  <c r="EE371" i="1"/>
  <c r="EF371" i="1"/>
  <c r="EG371" i="1"/>
  <c r="EH371" i="1"/>
  <c r="EI371" i="1"/>
  <c r="EJ371" i="1"/>
  <c r="EK371" i="1"/>
  <c r="EL371" i="1"/>
  <c r="EM371" i="1"/>
  <c r="EN371" i="1"/>
  <c r="EO371" i="1"/>
  <c r="EP371" i="1"/>
  <c r="EQ371" i="1"/>
  <c r="ER371" i="1"/>
  <c r="ES371" i="1"/>
  <c r="ET371" i="1"/>
  <c r="EU371" i="1"/>
  <c r="EV371" i="1"/>
  <c r="EW371" i="1"/>
  <c r="EX371" i="1"/>
  <c r="EY371" i="1"/>
  <c r="EZ371" i="1"/>
  <c r="FA371" i="1"/>
  <c r="FB371" i="1"/>
  <c r="FC371" i="1"/>
  <c r="FD371" i="1"/>
  <c r="FE371" i="1"/>
  <c r="FF371" i="1"/>
  <c r="FG371" i="1"/>
  <c r="FH371" i="1"/>
  <c r="FI371" i="1"/>
  <c r="FJ371" i="1"/>
  <c r="FK371" i="1"/>
  <c r="FL371" i="1"/>
  <c r="FM371" i="1"/>
  <c r="FN371" i="1"/>
  <c r="FO371" i="1"/>
  <c r="FP371" i="1"/>
  <c r="FQ371" i="1"/>
  <c r="FR371" i="1"/>
  <c r="FS371" i="1"/>
  <c r="FT371" i="1"/>
  <c r="FU371" i="1"/>
  <c r="FV371" i="1"/>
  <c r="FW371" i="1"/>
  <c r="FX371" i="1"/>
  <c r="FY371" i="1"/>
  <c r="FZ371" i="1"/>
  <c r="GA371" i="1"/>
  <c r="GB371" i="1"/>
  <c r="GC371" i="1"/>
  <c r="GD371" i="1"/>
  <c r="GE371" i="1"/>
  <c r="GF371" i="1"/>
  <c r="GG371" i="1"/>
  <c r="GH371" i="1"/>
  <c r="GI371" i="1"/>
  <c r="GJ371" i="1"/>
  <c r="GK371" i="1"/>
  <c r="GL371" i="1"/>
  <c r="GM371" i="1"/>
  <c r="GN371" i="1"/>
  <c r="GO371" i="1"/>
  <c r="GP371" i="1"/>
  <c r="GQ371" i="1"/>
  <c r="GR371" i="1"/>
  <c r="GS371" i="1"/>
  <c r="GT371" i="1"/>
  <c r="GU371" i="1"/>
  <c r="GV371" i="1"/>
  <c r="GW371" i="1"/>
  <c r="GX371" i="1"/>
  <c r="C373" i="1"/>
  <c r="D373" i="1"/>
  <c r="I373" i="1"/>
  <c r="K373" i="1"/>
  <c r="AC373" i="1"/>
  <c r="CQ373" i="1" s="1"/>
  <c r="AE373" i="1"/>
  <c r="AF373" i="1"/>
  <c r="AG373" i="1"/>
  <c r="CU373" i="1" s="1"/>
  <c r="AH373" i="1"/>
  <c r="CV373" i="1" s="1"/>
  <c r="U373" i="1" s="1"/>
  <c r="L381" i="5" s="1"/>
  <c r="Q381" i="5" s="1"/>
  <c r="AI373" i="1"/>
  <c r="CW373" i="1" s="1"/>
  <c r="AJ373" i="1"/>
  <c r="CX373" i="1" s="1"/>
  <c r="CS373" i="1"/>
  <c r="R373" i="1" s="1"/>
  <c r="K378" i="5" s="1"/>
  <c r="FR373" i="1"/>
  <c r="GL373" i="1"/>
  <c r="GO373" i="1"/>
  <c r="GP373" i="1"/>
  <c r="GV373" i="1"/>
  <c r="HC373" i="1"/>
  <c r="GX373" i="1" s="1"/>
  <c r="AC374" i="1"/>
  <c r="CQ374" i="1" s="1"/>
  <c r="P374" i="1" s="1"/>
  <c r="AD374" i="1"/>
  <c r="AE374" i="1"/>
  <c r="CS374" i="1" s="1"/>
  <c r="R374" i="1" s="1"/>
  <c r="AF374" i="1"/>
  <c r="AG374" i="1"/>
  <c r="CU374" i="1" s="1"/>
  <c r="T374" i="1" s="1"/>
  <c r="AH374" i="1"/>
  <c r="CV374" i="1" s="1"/>
  <c r="U374" i="1" s="1"/>
  <c r="L384" i="5" s="1"/>
  <c r="Q384" i="5" s="1"/>
  <c r="AI374" i="1"/>
  <c r="CW374" i="1" s="1"/>
  <c r="V374" i="1" s="1"/>
  <c r="AJ374" i="1"/>
  <c r="CT374" i="1"/>
  <c r="S374" i="1" s="1"/>
  <c r="CX374" i="1"/>
  <c r="W374" i="1" s="1"/>
  <c r="FR374" i="1"/>
  <c r="GL374" i="1"/>
  <c r="GO374" i="1"/>
  <c r="GP374" i="1"/>
  <c r="GV374" i="1"/>
  <c r="HC374" i="1" s="1"/>
  <c r="GX374" i="1"/>
  <c r="C375" i="1"/>
  <c r="D375" i="1"/>
  <c r="S385" i="5"/>
  <c r="K375" i="1"/>
  <c r="AC375" i="1"/>
  <c r="AB375" i="1"/>
  <c r="CT375" i="1"/>
  <c r="AG375" i="1"/>
  <c r="CU375" i="1" s="1"/>
  <c r="AH375" i="1"/>
  <c r="CV375" i="1" s="1"/>
  <c r="U375" i="1" s="1"/>
  <c r="AI375" i="1"/>
  <c r="CW375" i="1" s="1"/>
  <c r="V375" i="1" s="1"/>
  <c r="AJ375" i="1"/>
  <c r="CX375" i="1" s="1"/>
  <c r="CQ375" i="1"/>
  <c r="P375" i="1" s="1"/>
  <c r="K390" i="5" s="1"/>
  <c r="CS375" i="1"/>
  <c r="FR375" i="1"/>
  <c r="GL375" i="1"/>
  <c r="GO375" i="1"/>
  <c r="GP375" i="1"/>
  <c r="GV375" i="1"/>
  <c r="HC375" i="1"/>
  <c r="AC376" i="1"/>
  <c r="AE376" i="1"/>
  <c r="AF376" i="1"/>
  <c r="AG376" i="1"/>
  <c r="CU376" i="1" s="1"/>
  <c r="AH376" i="1"/>
  <c r="CV376" i="1" s="1"/>
  <c r="AI376" i="1"/>
  <c r="CW376" i="1" s="1"/>
  <c r="AJ376" i="1"/>
  <c r="CQ376" i="1"/>
  <c r="CX376" i="1"/>
  <c r="FR376" i="1"/>
  <c r="GL376" i="1"/>
  <c r="GN376" i="1"/>
  <c r="GO376" i="1"/>
  <c r="GV376" i="1"/>
  <c r="HC376" i="1" s="1"/>
  <c r="C377" i="1"/>
  <c r="D377" i="1"/>
  <c r="K377" i="1"/>
  <c r="U377" i="1"/>
  <c r="AC377" i="1"/>
  <c r="CR377" i="1"/>
  <c r="Q377" i="1" s="1"/>
  <c r="K399" i="5" s="1"/>
  <c r="CS377" i="1"/>
  <c r="AG377" i="1"/>
  <c r="CU377" i="1" s="1"/>
  <c r="AH377" i="1"/>
  <c r="AI377" i="1"/>
  <c r="CW377" i="1" s="1"/>
  <c r="AJ377" i="1"/>
  <c r="CX377" i="1" s="1"/>
  <c r="CT377" i="1"/>
  <c r="CV377" i="1"/>
  <c r="FR377" i="1"/>
  <c r="GL377" i="1"/>
  <c r="GO377" i="1"/>
  <c r="GP377" i="1"/>
  <c r="GV377" i="1"/>
  <c r="HC377" i="1" s="1"/>
  <c r="I378" i="1"/>
  <c r="AC378" i="1"/>
  <c r="AD378" i="1"/>
  <c r="CR378" i="1" s="1"/>
  <c r="AE378" i="1"/>
  <c r="AF378" i="1"/>
  <c r="CT378" i="1" s="1"/>
  <c r="AG378" i="1"/>
  <c r="AH378" i="1"/>
  <c r="CV378" i="1" s="1"/>
  <c r="AI378" i="1"/>
  <c r="CW378" i="1" s="1"/>
  <c r="AJ378" i="1"/>
  <c r="CS378" i="1"/>
  <c r="CU378" i="1"/>
  <c r="CX378" i="1"/>
  <c r="FR378" i="1"/>
  <c r="GL378" i="1"/>
  <c r="GN378" i="1"/>
  <c r="GO378" i="1"/>
  <c r="GV378" i="1"/>
  <c r="HC378" i="1" s="1"/>
  <c r="C379" i="1"/>
  <c r="D379" i="1"/>
  <c r="AC379" i="1"/>
  <c r="H410" i="5" s="1"/>
  <c r="AE379" i="1"/>
  <c r="AF379" i="1"/>
  <c r="AG379" i="1"/>
  <c r="CU379" i="1" s="1"/>
  <c r="T379" i="1" s="1"/>
  <c r="AH379" i="1"/>
  <c r="CV379" i="1" s="1"/>
  <c r="U379" i="1" s="1"/>
  <c r="L413" i="5" s="1"/>
  <c r="Q413" i="5" s="1"/>
  <c r="AI379" i="1"/>
  <c r="CW379" i="1" s="1"/>
  <c r="V379" i="1" s="1"/>
  <c r="AJ379" i="1"/>
  <c r="CX379" i="1" s="1"/>
  <c r="W379" i="1" s="1"/>
  <c r="CQ379" i="1"/>
  <c r="P379" i="1" s="1"/>
  <c r="FR379" i="1"/>
  <c r="GL379" i="1"/>
  <c r="GO379" i="1"/>
  <c r="GP379" i="1"/>
  <c r="GV379" i="1"/>
  <c r="HC379" i="1" s="1"/>
  <c r="GX379" i="1"/>
  <c r="C380" i="1"/>
  <c r="D380" i="1"/>
  <c r="K380" i="1"/>
  <c r="AC380" i="1"/>
  <c r="AE380" i="1"/>
  <c r="H418" i="5" s="1"/>
  <c r="R418" i="5" s="1"/>
  <c r="AF380" i="1"/>
  <c r="AG380" i="1"/>
  <c r="CU380" i="1" s="1"/>
  <c r="T380" i="1" s="1"/>
  <c r="AH380" i="1"/>
  <c r="CV380" i="1" s="1"/>
  <c r="U380" i="1" s="1"/>
  <c r="AI380" i="1"/>
  <c r="AJ380" i="1"/>
  <c r="CX380" i="1" s="1"/>
  <c r="CS380" i="1"/>
  <c r="R380" i="1" s="1"/>
  <c r="K418" i="5" s="1"/>
  <c r="CW380" i="1"/>
  <c r="FR380" i="1"/>
  <c r="GL380" i="1"/>
  <c r="GO380" i="1"/>
  <c r="GP380" i="1"/>
  <c r="GV380" i="1"/>
  <c r="HC380" i="1"/>
  <c r="GX380" i="1" s="1"/>
  <c r="AC381" i="1"/>
  <c r="AE381" i="1"/>
  <c r="AF381" i="1"/>
  <c r="AG381" i="1"/>
  <c r="AH381" i="1"/>
  <c r="AI381" i="1"/>
  <c r="CW381" i="1" s="1"/>
  <c r="AJ381" i="1"/>
  <c r="CX381" i="1" s="1"/>
  <c r="CQ381" i="1"/>
  <c r="CU381" i="1"/>
  <c r="CV381" i="1"/>
  <c r="FR381" i="1"/>
  <c r="GL381" i="1"/>
  <c r="GO381" i="1"/>
  <c r="GP381" i="1"/>
  <c r="GV381" i="1"/>
  <c r="HC381" i="1" s="1"/>
  <c r="AC382" i="1"/>
  <c r="AD382" i="1"/>
  <c r="CR382" i="1" s="1"/>
  <c r="AE382" i="1"/>
  <c r="AF382" i="1"/>
  <c r="AG382" i="1"/>
  <c r="AH382" i="1"/>
  <c r="CV382" i="1" s="1"/>
  <c r="AI382" i="1"/>
  <c r="CW382" i="1" s="1"/>
  <c r="AJ382" i="1"/>
  <c r="CX382" i="1" s="1"/>
  <c r="CS382" i="1"/>
  <c r="CU382" i="1"/>
  <c r="FR382" i="1"/>
  <c r="GL382" i="1"/>
  <c r="GN382" i="1"/>
  <c r="GO382" i="1"/>
  <c r="GV382" i="1"/>
  <c r="HC382" i="1" s="1"/>
  <c r="C383" i="1"/>
  <c r="D383" i="1"/>
  <c r="I384" i="1"/>
  <c r="E435" i="5" s="1"/>
  <c r="K383" i="1"/>
  <c r="AC383" i="1"/>
  <c r="H430" i="5"/>
  <c r="R430" i="5" s="1"/>
  <c r="AG383" i="1"/>
  <c r="CU383" i="1" s="1"/>
  <c r="T383" i="1" s="1"/>
  <c r="AH383" i="1"/>
  <c r="CV383" i="1" s="1"/>
  <c r="U383" i="1" s="1"/>
  <c r="AI383" i="1"/>
  <c r="CW383" i="1" s="1"/>
  <c r="V383" i="1" s="1"/>
  <c r="AJ383" i="1"/>
  <c r="CX383" i="1" s="1"/>
  <c r="W383" i="1" s="1"/>
  <c r="CQ383" i="1"/>
  <c r="P383" i="1" s="1"/>
  <c r="CT383" i="1"/>
  <c r="S383" i="1" s="1"/>
  <c r="FR383" i="1"/>
  <c r="GL383" i="1"/>
  <c r="GO383" i="1"/>
  <c r="GP383" i="1"/>
  <c r="GV383" i="1"/>
  <c r="HC383" i="1"/>
  <c r="GX383" i="1" s="1"/>
  <c r="AC384" i="1"/>
  <c r="AE384" i="1"/>
  <c r="AD384" i="1" s="1"/>
  <c r="CR384" i="1" s="1"/>
  <c r="Q384" i="1" s="1"/>
  <c r="AF384" i="1"/>
  <c r="AG384" i="1"/>
  <c r="CU384" i="1" s="1"/>
  <c r="AH384" i="1"/>
  <c r="CV384" i="1" s="1"/>
  <c r="U384" i="1" s="1"/>
  <c r="AI384" i="1"/>
  <c r="CW384" i="1" s="1"/>
  <c r="V384" i="1" s="1"/>
  <c r="AJ384" i="1"/>
  <c r="CX384" i="1"/>
  <c r="FR384" i="1"/>
  <c r="GL384" i="1"/>
  <c r="GO384" i="1"/>
  <c r="GP384" i="1"/>
  <c r="GV384" i="1"/>
  <c r="HC384" i="1"/>
  <c r="I385" i="1"/>
  <c r="E436" i="5" s="1"/>
  <c r="AC385" i="1"/>
  <c r="AD385" i="1"/>
  <c r="AE385" i="1"/>
  <c r="AF385" i="1"/>
  <c r="AG385" i="1"/>
  <c r="AH385" i="1"/>
  <c r="AI385" i="1"/>
  <c r="CW385" i="1" s="1"/>
  <c r="V385" i="1" s="1"/>
  <c r="AJ385" i="1"/>
  <c r="CX385" i="1" s="1"/>
  <c r="CS385" i="1"/>
  <c r="CU385" i="1"/>
  <c r="CV385" i="1"/>
  <c r="FR385" i="1"/>
  <c r="GL385" i="1"/>
  <c r="GN385" i="1"/>
  <c r="GO385" i="1"/>
  <c r="GV385" i="1"/>
  <c r="HC385" i="1" s="1"/>
  <c r="C386" i="1"/>
  <c r="D386" i="1"/>
  <c r="AC386" i="1"/>
  <c r="H441" i="5" s="1"/>
  <c r="AD386" i="1"/>
  <c r="AE386" i="1"/>
  <c r="H440" i="5" s="1"/>
  <c r="R440" i="5" s="1"/>
  <c r="AF386" i="1"/>
  <c r="CT386" i="1" s="1"/>
  <c r="S386" i="1" s="1"/>
  <c r="AG386" i="1"/>
  <c r="AH386" i="1"/>
  <c r="CV386" i="1" s="1"/>
  <c r="U386" i="1" s="1"/>
  <c r="L444" i="5" s="1"/>
  <c r="Q444" i="5" s="1"/>
  <c r="AI386" i="1"/>
  <c r="CW386" i="1" s="1"/>
  <c r="V386" i="1" s="1"/>
  <c r="AJ386" i="1"/>
  <c r="CX386" i="1" s="1"/>
  <c r="W386" i="1" s="1"/>
  <c r="CS386" i="1"/>
  <c r="R386" i="1" s="1"/>
  <c r="K440" i="5" s="1"/>
  <c r="CU386" i="1"/>
  <c r="T386" i="1" s="1"/>
  <c r="FR386" i="1"/>
  <c r="GL386" i="1"/>
  <c r="GO386" i="1"/>
  <c r="GP386" i="1"/>
  <c r="GV386" i="1"/>
  <c r="HC386" i="1" s="1"/>
  <c r="GX386" i="1" s="1"/>
  <c r="C387" i="1"/>
  <c r="D387" i="1"/>
  <c r="I389" i="1"/>
  <c r="K387" i="1"/>
  <c r="AC387" i="1"/>
  <c r="AE387" i="1"/>
  <c r="AF387" i="1"/>
  <c r="AG387" i="1"/>
  <c r="CU387" i="1" s="1"/>
  <c r="T387" i="1" s="1"/>
  <c r="AH387" i="1"/>
  <c r="AI387" i="1"/>
  <c r="CW387" i="1" s="1"/>
  <c r="AJ387" i="1"/>
  <c r="CT387" i="1"/>
  <c r="CV387" i="1"/>
  <c r="CX387" i="1"/>
  <c r="FR387" i="1"/>
  <c r="GL387" i="1"/>
  <c r="GO387" i="1"/>
  <c r="GP387" i="1"/>
  <c r="GV387" i="1"/>
  <c r="HC387" i="1" s="1"/>
  <c r="AC388" i="1"/>
  <c r="AE388" i="1"/>
  <c r="AF388" i="1"/>
  <c r="AG388" i="1"/>
  <c r="AH388" i="1"/>
  <c r="CV388" i="1" s="1"/>
  <c r="AI388" i="1"/>
  <c r="CW388" i="1" s="1"/>
  <c r="AJ388" i="1"/>
  <c r="CT388" i="1"/>
  <c r="CU388" i="1"/>
  <c r="CX388" i="1"/>
  <c r="FR388" i="1"/>
  <c r="GL388" i="1"/>
  <c r="GO388" i="1"/>
  <c r="GP388" i="1"/>
  <c r="GV388" i="1"/>
  <c r="HC388" i="1" s="1"/>
  <c r="AC389" i="1"/>
  <c r="AE389" i="1"/>
  <c r="AD389" i="1" s="1"/>
  <c r="CR389" i="1" s="1"/>
  <c r="AF389" i="1"/>
  <c r="AG389" i="1"/>
  <c r="CU389" i="1" s="1"/>
  <c r="AH389" i="1"/>
  <c r="AI389" i="1"/>
  <c r="AJ389" i="1"/>
  <c r="CS389" i="1"/>
  <c r="CT389" i="1"/>
  <c r="CV389" i="1"/>
  <c r="CW389" i="1"/>
  <c r="CX389" i="1"/>
  <c r="FR389" i="1"/>
  <c r="GL389" i="1"/>
  <c r="GN389" i="1"/>
  <c r="GO389" i="1"/>
  <c r="GV389" i="1"/>
  <c r="HC389" i="1" s="1"/>
  <c r="C390" i="1"/>
  <c r="D390" i="1"/>
  <c r="K390" i="1"/>
  <c r="AC390" i="1"/>
  <c r="AF390" i="1"/>
  <c r="AG390" i="1"/>
  <c r="CU390" i="1" s="1"/>
  <c r="T390" i="1" s="1"/>
  <c r="AH390" i="1"/>
  <c r="CV390" i="1" s="1"/>
  <c r="U390" i="1" s="1"/>
  <c r="AI390" i="1"/>
  <c r="AJ390" i="1"/>
  <c r="CX390" i="1" s="1"/>
  <c r="W390" i="1" s="1"/>
  <c r="CW390" i="1"/>
  <c r="V390" i="1" s="1"/>
  <c r="FR390" i="1"/>
  <c r="GL390" i="1"/>
  <c r="GO390" i="1"/>
  <c r="GP390" i="1"/>
  <c r="GV390" i="1"/>
  <c r="HC390" i="1"/>
  <c r="GX390" i="1" s="1"/>
  <c r="I391" i="1"/>
  <c r="E466" i="5" s="1"/>
  <c r="AC391" i="1"/>
  <c r="AE391" i="1"/>
  <c r="AD391" i="1" s="1"/>
  <c r="CR391" i="1" s="1"/>
  <c r="Q391" i="1" s="1"/>
  <c r="AF391" i="1"/>
  <c r="AG391" i="1"/>
  <c r="AH391" i="1"/>
  <c r="CV391" i="1" s="1"/>
  <c r="AI391" i="1"/>
  <c r="CW391" i="1" s="1"/>
  <c r="AJ391" i="1"/>
  <c r="CX391" i="1" s="1"/>
  <c r="CU391" i="1"/>
  <c r="FR391" i="1"/>
  <c r="GL391" i="1"/>
  <c r="GO391" i="1"/>
  <c r="GP391" i="1"/>
  <c r="GV391" i="1"/>
  <c r="HC391" i="1" s="1"/>
  <c r="AC392" i="1"/>
  <c r="AD392" i="1"/>
  <c r="CR392" i="1" s="1"/>
  <c r="AE392" i="1"/>
  <c r="CS392" i="1" s="1"/>
  <c r="AF392" i="1"/>
  <c r="AG392" i="1"/>
  <c r="AH392" i="1"/>
  <c r="CV392" i="1" s="1"/>
  <c r="AI392" i="1"/>
  <c r="CW392" i="1" s="1"/>
  <c r="AJ392" i="1"/>
  <c r="CX392" i="1" s="1"/>
  <c r="CQ392" i="1"/>
  <c r="CU392" i="1"/>
  <c r="FR392" i="1"/>
  <c r="GL392" i="1"/>
  <c r="GN392" i="1"/>
  <c r="GO392" i="1"/>
  <c r="GV392" i="1"/>
  <c r="HC392" i="1" s="1"/>
  <c r="B394" i="1"/>
  <c r="C394" i="1"/>
  <c r="C371" i="1" s="1"/>
  <c r="D394" i="1"/>
  <c r="D371" i="1" s="1"/>
  <c r="F394" i="1"/>
  <c r="G394" i="1"/>
  <c r="BX394" i="1"/>
  <c r="BX371" i="1" s="1"/>
  <c r="CK394" i="1"/>
  <c r="CK371" i="1" s="1"/>
  <c r="CL394" i="1"/>
  <c r="CL371" i="1" s="1"/>
  <c r="B424" i="1"/>
  <c r="B245" i="1" s="1"/>
  <c r="C424" i="1"/>
  <c r="C245" i="1" s="1"/>
  <c r="D424" i="1"/>
  <c r="D245" i="1" s="1"/>
  <c r="F424" i="1"/>
  <c r="F245" i="1" s="1"/>
  <c r="G424" i="1"/>
  <c r="B454" i="1"/>
  <c r="B22" i="1" s="1"/>
  <c r="C454" i="1"/>
  <c r="C22" i="1" s="1"/>
  <c r="D454" i="1"/>
  <c r="D22" i="1" s="1"/>
  <c r="F454" i="1"/>
  <c r="F22" i="1" s="1"/>
  <c r="G454" i="1"/>
  <c r="G22" i="1" s="1"/>
  <c r="B484" i="1"/>
  <c r="B18" i="1" s="1"/>
  <c r="C484" i="1"/>
  <c r="C18" i="1" s="1"/>
  <c r="D484" i="1"/>
  <c r="D18" i="1" s="1"/>
  <c r="F484" i="1"/>
  <c r="F18" i="1" s="1"/>
  <c r="G484" i="1"/>
  <c r="GX391" i="1" l="1"/>
  <c r="U391" i="1"/>
  <c r="BZ394" i="1"/>
  <c r="GX384" i="1"/>
  <c r="BZ339" i="1"/>
  <c r="BZ331" i="1" s="1"/>
  <c r="T297" i="1"/>
  <c r="P174" i="1"/>
  <c r="Q174" i="1"/>
  <c r="BY183" i="1"/>
  <c r="R174" i="1"/>
  <c r="GX173" i="1"/>
  <c r="R389" i="1"/>
  <c r="E455" i="5"/>
  <c r="CR172" i="1"/>
  <c r="Q172" i="1" s="1"/>
  <c r="K204" i="5" s="1"/>
  <c r="H204" i="5"/>
  <c r="L143" i="5"/>
  <c r="L146" i="5"/>
  <c r="Q146" i="5" s="1"/>
  <c r="E233" i="5"/>
  <c r="W179" i="1"/>
  <c r="S179" i="1"/>
  <c r="GX133" i="1"/>
  <c r="CT392" i="1"/>
  <c r="G245" i="1"/>
  <c r="AF474" i="5"/>
  <c r="A474" i="5"/>
  <c r="GX387" i="1"/>
  <c r="K428" i="5"/>
  <c r="L395" i="5"/>
  <c r="Q395" i="5" s="1"/>
  <c r="L393" i="5"/>
  <c r="AO299" i="1"/>
  <c r="BX290" i="1"/>
  <c r="U297" i="1"/>
  <c r="L291" i="5"/>
  <c r="L292" i="5"/>
  <c r="Q292" i="5" s="1"/>
  <c r="H262" i="5"/>
  <c r="R262" i="5" s="1"/>
  <c r="CS252" i="1"/>
  <c r="R252" i="1" s="1"/>
  <c r="K262" i="5" s="1"/>
  <c r="AD252" i="1"/>
  <c r="CT174" i="1"/>
  <c r="S174" i="1" s="1"/>
  <c r="CP174" i="1" s="1"/>
  <c r="O174" i="1" s="1"/>
  <c r="K211" i="5" s="1"/>
  <c r="U211" i="5"/>
  <c r="S211" i="5"/>
  <c r="W133" i="1"/>
  <c r="H182" i="5"/>
  <c r="W182" i="5" s="1"/>
  <c r="CQ132" i="1"/>
  <c r="P132" i="1" s="1"/>
  <c r="H167" i="5"/>
  <c r="CQ129" i="1"/>
  <c r="P129" i="1" s="1"/>
  <c r="CT128" i="1"/>
  <c r="S128" i="1" s="1"/>
  <c r="H156" i="5"/>
  <c r="S154" i="5"/>
  <c r="H159" i="5" s="1"/>
  <c r="U154" i="5"/>
  <c r="H160" i="5" s="1"/>
  <c r="CT336" i="1"/>
  <c r="CS391" i="1"/>
  <c r="R391" i="1" s="1"/>
  <c r="W389" i="1"/>
  <c r="L434" i="5"/>
  <c r="L437" i="5"/>
  <c r="Q437" i="5" s="1"/>
  <c r="W377" i="1"/>
  <c r="S396" i="5"/>
  <c r="H402" i="5" s="1"/>
  <c r="H399" i="5"/>
  <c r="E396" i="5"/>
  <c r="H398" i="5"/>
  <c r="R398" i="5" s="1"/>
  <c r="C397" i="5"/>
  <c r="H400" i="5"/>
  <c r="R400" i="5" s="1"/>
  <c r="U396" i="5"/>
  <c r="CT178" i="1"/>
  <c r="U173" i="1"/>
  <c r="H206" i="5"/>
  <c r="CQ172" i="1"/>
  <c r="P172" i="1" s="1"/>
  <c r="V81" i="1"/>
  <c r="CT80" i="1"/>
  <c r="S80" i="1" s="1"/>
  <c r="K90" i="5" s="1"/>
  <c r="S88" i="5"/>
  <c r="H93" i="5" s="1"/>
  <c r="H90" i="5"/>
  <c r="U88" i="5"/>
  <c r="H94" i="5" s="1"/>
  <c r="L80" i="5"/>
  <c r="Q80" i="5" s="1"/>
  <c r="L77" i="5"/>
  <c r="L404" i="5"/>
  <c r="L406" i="5"/>
  <c r="Q406" i="5" s="1"/>
  <c r="G249" i="1"/>
  <c r="A297" i="5"/>
  <c r="CT256" i="1"/>
  <c r="S256" i="1" s="1"/>
  <c r="U293" i="5"/>
  <c r="S293" i="5"/>
  <c r="V389" i="1"/>
  <c r="AB385" i="1"/>
  <c r="CR385" i="1"/>
  <c r="Q385" i="1" s="1"/>
  <c r="U375" i="5"/>
  <c r="H380" i="5" s="1"/>
  <c r="S375" i="5"/>
  <c r="H379" i="5" s="1"/>
  <c r="CT373" i="1"/>
  <c r="S373" i="1" s="1"/>
  <c r="Z367" i="5"/>
  <c r="L346" i="5"/>
  <c r="L347" i="5"/>
  <c r="Q347" i="5" s="1"/>
  <c r="CT296" i="1"/>
  <c r="S296" i="1" s="1"/>
  <c r="H324" i="5"/>
  <c r="R324" i="5" s="1"/>
  <c r="U322" i="5"/>
  <c r="S322" i="5"/>
  <c r="CR256" i="1"/>
  <c r="Q256" i="1" s="1"/>
  <c r="K294" i="5" s="1"/>
  <c r="J295" i="5" s="1"/>
  <c r="P295" i="5" s="1"/>
  <c r="H294" i="5"/>
  <c r="K271" i="5"/>
  <c r="C259" i="5"/>
  <c r="E258" i="5"/>
  <c r="AD30" i="1"/>
  <c r="CR30" i="1" s="1"/>
  <c r="CS30" i="1"/>
  <c r="L201" i="5"/>
  <c r="Q201" i="5" s="1"/>
  <c r="L200" i="5"/>
  <c r="CT376" i="1"/>
  <c r="CT337" i="1"/>
  <c r="U367" i="5"/>
  <c r="S367" i="5"/>
  <c r="C164" i="5"/>
  <c r="E163" i="5"/>
  <c r="P86" i="1"/>
  <c r="E97" i="5"/>
  <c r="C98" i="5"/>
  <c r="CX45" i="3"/>
  <c r="H459" i="5"/>
  <c r="R459" i="5" s="1"/>
  <c r="U457" i="5"/>
  <c r="S457" i="5"/>
  <c r="CT390" i="1"/>
  <c r="S390" i="1" s="1"/>
  <c r="K459" i="5" s="1"/>
  <c r="R385" i="1"/>
  <c r="CQ384" i="1"/>
  <c r="H435" i="5"/>
  <c r="W435" i="5" s="1"/>
  <c r="CT380" i="1"/>
  <c r="S380" i="1" s="1"/>
  <c r="K416" i="5" s="1"/>
  <c r="U414" i="5"/>
  <c r="S414" i="5"/>
  <c r="H416" i="5"/>
  <c r="R416" i="5" s="1"/>
  <c r="AB373" i="1"/>
  <c r="H343" i="5"/>
  <c r="R343" i="5" s="1"/>
  <c r="CS333" i="1"/>
  <c r="R333" i="1" s="1"/>
  <c r="K343" i="5" s="1"/>
  <c r="AD333" i="1"/>
  <c r="CT295" i="1"/>
  <c r="S295" i="1" s="1"/>
  <c r="U320" i="5"/>
  <c r="S320" i="5"/>
  <c r="U319" i="5"/>
  <c r="S319" i="5"/>
  <c r="H280" i="5"/>
  <c r="R280" i="5" s="1"/>
  <c r="CS254" i="1"/>
  <c r="R254" i="1" s="1"/>
  <c r="K280" i="5" s="1"/>
  <c r="AD254" i="1"/>
  <c r="BZ249" i="1"/>
  <c r="CG258" i="1"/>
  <c r="GX179" i="1"/>
  <c r="P134" i="1"/>
  <c r="S133" i="1"/>
  <c r="V129" i="1"/>
  <c r="CL121" i="1"/>
  <c r="AO89" i="1"/>
  <c r="BX73" i="1"/>
  <c r="CQ84" i="1"/>
  <c r="AH37" i="1"/>
  <c r="AH26" i="1" s="1"/>
  <c r="L52" i="5"/>
  <c r="Q52" i="5" s="1"/>
  <c r="L39" i="5"/>
  <c r="Q39" i="5" s="1"/>
  <c r="L38" i="5"/>
  <c r="CD258" i="1"/>
  <c r="CT175" i="1"/>
  <c r="S175" i="1" s="1"/>
  <c r="K215" i="5" s="1"/>
  <c r="U213" i="5"/>
  <c r="H219" i="5" s="1"/>
  <c r="S213" i="5"/>
  <c r="H218" i="5" s="1"/>
  <c r="H215" i="5"/>
  <c r="CM121" i="1"/>
  <c r="BD137" i="1"/>
  <c r="L186" i="5"/>
  <c r="Q186" i="5" s="1"/>
  <c r="L180" i="5"/>
  <c r="W85" i="1"/>
  <c r="L120" i="5"/>
  <c r="Q120" i="5" s="1"/>
  <c r="L114" i="5"/>
  <c r="T81" i="1"/>
  <c r="U81" i="5"/>
  <c r="H85" i="5" s="1"/>
  <c r="S81" i="5"/>
  <c r="H84" i="5" s="1"/>
  <c r="H83" i="5"/>
  <c r="C349" i="5"/>
  <c r="E348" i="5"/>
  <c r="C323" i="5"/>
  <c r="E322" i="5"/>
  <c r="AD295" i="1"/>
  <c r="CR295" i="1" s="1"/>
  <c r="Q295" i="1" s="1"/>
  <c r="H306" i="5"/>
  <c r="R306" i="5" s="1"/>
  <c r="CS292" i="1"/>
  <c r="R292" i="1" s="1"/>
  <c r="K306" i="5" s="1"/>
  <c r="AD292" i="1"/>
  <c r="H305" i="5" s="1"/>
  <c r="CY175" i="1"/>
  <c r="X175" i="1" s="1"/>
  <c r="T213" i="5" s="1"/>
  <c r="K218" i="5" s="1"/>
  <c r="CC183" i="1"/>
  <c r="CC169" i="1" s="1"/>
  <c r="AD126" i="1"/>
  <c r="CR126" i="1" s="1"/>
  <c r="S79" i="5"/>
  <c r="U79" i="5"/>
  <c r="CT78" i="1"/>
  <c r="S78" i="1" s="1"/>
  <c r="CT35" i="1"/>
  <c r="S35" i="1" s="1"/>
  <c r="CY35" i="1" s="1"/>
  <c r="X35" i="1" s="1"/>
  <c r="T50" i="5" s="1"/>
  <c r="S50" i="5"/>
  <c r="U50" i="5"/>
  <c r="U31" i="5"/>
  <c r="H37" i="5" s="1"/>
  <c r="H32" i="5"/>
  <c r="S31" i="5"/>
  <c r="H36" i="5" s="1"/>
  <c r="CT28" i="1"/>
  <c r="S28" i="1" s="1"/>
  <c r="K32" i="5" s="1"/>
  <c r="S378" i="1"/>
  <c r="CZ378" i="1" s="1"/>
  <c r="Y378" i="1" s="1"/>
  <c r="V405" i="5" s="1"/>
  <c r="E405" i="5"/>
  <c r="CT127" i="1"/>
  <c r="S127" i="1" s="1"/>
  <c r="U147" i="5"/>
  <c r="H151" i="5" s="1"/>
  <c r="S147" i="5"/>
  <c r="H150" i="5" s="1"/>
  <c r="H149" i="5"/>
  <c r="H419" i="5"/>
  <c r="CQ380" i="1"/>
  <c r="E375" i="5"/>
  <c r="C376" i="5"/>
  <c r="H320" i="5"/>
  <c r="Z320" i="5" s="1"/>
  <c r="CQ295" i="1"/>
  <c r="P295" i="1" s="1"/>
  <c r="CT253" i="1"/>
  <c r="S253" i="1" s="1"/>
  <c r="K269" i="5" s="1"/>
  <c r="H269" i="5"/>
  <c r="U267" i="5"/>
  <c r="H273" i="5" s="1"/>
  <c r="S267" i="5"/>
  <c r="H272" i="5" s="1"/>
  <c r="W252" i="1"/>
  <c r="E222" i="5"/>
  <c r="C223" i="5"/>
  <c r="CX157" i="3"/>
  <c r="I181" i="1"/>
  <c r="H235" i="5" s="1"/>
  <c r="W235" i="5" s="1"/>
  <c r="I177" i="1"/>
  <c r="GX177" i="1" s="1"/>
  <c r="I178" i="1"/>
  <c r="H232" i="5" s="1"/>
  <c r="W232" i="5" s="1"/>
  <c r="AD175" i="1"/>
  <c r="CK121" i="1"/>
  <c r="BB137" i="1"/>
  <c r="F150" i="1" s="1"/>
  <c r="U133" i="1"/>
  <c r="CT130" i="1"/>
  <c r="S130" i="1" s="1"/>
  <c r="U172" i="5"/>
  <c r="H174" i="5"/>
  <c r="R174" i="5" s="1"/>
  <c r="S172" i="5"/>
  <c r="H145" i="5"/>
  <c r="Z145" i="5" s="1"/>
  <c r="T86" i="1"/>
  <c r="CT82" i="1"/>
  <c r="S82" i="1" s="1"/>
  <c r="K108" i="5" s="1"/>
  <c r="S106" i="5"/>
  <c r="H108" i="5"/>
  <c r="R108" i="5" s="1"/>
  <c r="U106" i="5"/>
  <c r="G26" i="1"/>
  <c r="A54" i="5"/>
  <c r="W31" i="1"/>
  <c r="G290" i="1"/>
  <c r="AF334" i="5"/>
  <c r="A334" i="5"/>
  <c r="L257" i="5"/>
  <c r="Q257" i="5" s="1"/>
  <c r="L256" i="5"/>
  <c r="H205" i="5"/>
  <c r="R205" i="5" s="1"/>
  <c r="CS172" i="1"/>
  <c r="R172" i="1" s="1"/>
  <c r="K205" i="5" s="1"/>
  <c r="L96" i="5"/>
  <c r="Q96" i="5" s="1"/>
  <c r="L95" i="5"/>
  <c r="L468" i="5"/>
  <c r="Q468" i="5" s="1"/>
  <c r="L465" i="5"/>
  <c r="CT176" i="1"/>
  <c r="S176" i="1" s="1"/>
  <c r="S222" i="5"/>
  <c r="U222" i="5"/>
  <c r="H224" i="5"/>
  <c r="R224" i="5" s="1"/>
  <c r="W378" i="1"/>
  <c r="L221" i="5"/>
  <c r="Q221" i="5" s="1"/>
  <c r="L220" i="5"/>
  <c r="CT391" i="1"/>
  <c r="U466" i="5"/>
  <c r="S466" i="5"/>
  <c r="CT381" i="1"/>
  <c r="CQ390" i="1"/>
  <c r="P390" i="1" s="1"/>
  <c r="K462" i="5" s="1"/>
  <c r="H462" i="5"/>
  <c r="AB390" i="1"/>
  <c r="U385" i="1"/>
  <c r="W297" i="1"/>
  <c r="CY255" i="1"/>
  <c r="X255" i="1" s="1"/>
  <c r="T286" i="5" s="1"/>
  <c r="K289" i="5" s="1"/>
  <c r="R180" i="1"/>
  <c r="H217" i="5"/>
  <c r="CQ175" i="1"/>
  <c r="P175" i="1" s="1"/>
  <c r="AO137" i="1"/>
  <c r="BX121" i="1"/>
  <c r="H176" i="5"/>
  <c r="R176" i="5" s="1"/>
  <c r="CS130" i="1"/>
  <c r="R130" i="1" s="1"/>
  <c r="K176" i="5" s="1"/>
  <c r="AD130" i="1"/>
  <c r="AB130" i="1" s="1"/>
  <c r="U129" i="1"/>
  <c r="H110" i="5"/>
  <c r="R110" i="5" s="1"/>
  <c r="CS82" i="1"/>
  <c r="R82" i="1" s="1"/>
  <c r="K110" i="5" s="1"/>
  <c r="AD82" i="1"/>
  <c r="AD78" i="1"/>
  <c r="CR78" i="1" s="1"/>
  <c r="Q78" i="1" s="1"/>
  <c r="CQ76" i="1"/>
  <c r="P76" i="1" s="1"/>
  <c r="K74" i="5" s="1"/>
  <c r="H74" i="5"/>
  <c r="H51" i="5"/>
  <c r="CR35" i="1"/>
  <c r="Q35" i="1" s="1"/>
  <c r="K51" i="5" s="1"/>
  <c r="J52" i="5" s="1"/>
  <c r="P52" i="5" s="1"/>
  <c r="U31" i="1"/>
  <c r="E445" i="5"/>
  <c r="C446" i="5"/>
  <c r="CT172" i="1"/>
  <c r="S172" i="1" s="1"/>
  <c r="S202" i="5"/>
  <c r="H203" i="5"/>
  <c r="U202" i="5"/>
  <c r="CS128" i="1"/>
  <c r="R128" i="1" s="1"/>
  <c r="AD128" i="1"/>
  <c r="CT255" i="1"/>
  <c r="S255" i="1" s="1"/>
  <c r="K288" i="5" s="1"/>
  <c r="H288" i="5"/>
  <c r="S286" i="5"/>
  <c r="H289" i="5" s="1"/>
  <c r="U286" i="5"/>
  <c r="H290" i="5" s="1"/>
  <c r="K410" i="5"/>
  <c r="CT333" i="1"/>
  <c r="S333" i="1" s="1"/>
  <c r="K341" i="5" s="1"/>
  <c r="S339" i="5"/>
  <c r="H344" i="5" s="1"/>
  <c r="U339" i="5"/>
  <c r="H345" i="5" s="1"/>
  <c r="H341" i="5"/>
  <c r="H461" i="5"/>
  <c r="R461" i="5" s="1"/>
  <c r="CS390" i="1"/>
  <c r="R390" i="1" s="1"/>
  <c r="K461" i="5" s="1"/>
  <c r="T378" i="1"/>
  <c r="H281" i="5"/>
  <c r="CQ254" i="1"/>
  <c r="P254" i="1" s="1"/>
  <c r="CS387" i="1"/>
  <c r="H449" i="5"/>
  <c r="R449" i="5" s="1"/>
  <c r="T385" i="1"/>
  <c r="CQ337" i="1"/>
  <c r="P337" i="1" s="1"/>
  <c r="L365" i="5"/>
  <c r="L368" i="5"/>
  <c r="Q368" i="5" s="1"/>
  <c r="S297" i="1"/>
  <c r="V296" i="1"/>
  <c r="AI299" i="1" s="1"/>
  <c r="E276" i="5"/>
  <c r="C277" i="5"/>
  <c r="AO183" i="1"/>
  <c r="BX169" i="1"/>
  <c r="W173" i="1"/>
  <c r="CT131" i="1"/>
  <c r="S127" i="5"/>
  <c r="H132" i="5" s="1"/>
  <c r="H129" i="5"/>
  <c r="U127" i="5"/>
  <c r="H133" i="5" s="1"/>
  <c r="CT123" i="1"/>
  <c r="S123" i="1" s="1"/>
  <c r="K129" i="5" s="1"/>
  <c r="CT84" i="1"/>
  <c r="CT83" i="1"/>
  <c r="L45" i="5"/>
  <c r="L46" i="5"/>
  <c r="Q46" i="5" s="1"/>
  <c r="U435" i="5"/>
  <c r="S435" i="5"/>
  <c r="CT384" i="1"/>
  <c r="S384" i="1" s="1"/>
  <c r="CY384" i="1" s="1"/>
  <c r="X384" i="1" s="1"/>
  <c r="T435" i="5" s="1"/>
  <c r="L422" i="5"/>
  <c r="L425" i="5"/>
  <c r="Q425" i="5" s="1"/>
  <c r="S389" i="1"/>
  <c r="H383" i="5"/>
  <c r="W384" i="5" s="1"/>
  <c r="CR374" i="1"/>
  <c r="Q374" i="1" s="1"/>
  <c r="K383" i="5" s="1"/>
  <c r="J384" i="5" s="1"/>
  <c r="P384" i="5" s="1"/>
  <c r="L275" i="5"/>
  <c r="Q275" i="5" s="1"/>
  <c r="L274" i="5"/>
  <c r="AD380" i="1"/>
  <c r="H450" i="5"/>
  <c r="CQ387" i="1"/>
  <c r="P387" i="1" s="1"/>
  <c r="K450" i="5" s="1"/>
  <c r="BC299" i="1"/>
  <c r="CL290" i="1"/>
  <c r="BD169" i="1"/>
  <c r="F208" i="1"/>
  <c r="V176" i="1"/>
  <c r="CL169" i="1"/>
  <c r="L161" i="5"/>
  <c r="L162" i="5"/>
  <c r="Q162" i="5" s="1"/>
  <c r="H131" i="5"/>
  <c r="R131" i="5" s="1"/>
  <c r="CS123" i="1"/>
  <c r="R123" i="1" s="1"/>
  <c r="K131" i="5" s="1"/>
  <c r="AD85" i="1"/>
  <c r="CR85" i="1" s="1"/>
  <c r="Q85" i="1" s="1"/>
  <c r="CS85" i="1"/>
  <c r="R85" i="1" s="1"/>
  <c r="K431" i="5"/>
  <c r="P180" i="1"/>
  <c r="E234" i="5"/>
  <c r="H466" i="5"/>
  <c r="W466" i="5" s="1"/>
  <c r="CQ391" i="1"/>
  <c r="CQ386" i="1"/>
  <c r="P386" i="1" s="1"/>
  <c r="K441" i="5" s="1"/>
  <c r="CS388" i="1"/>
  <c r="AD388" i="1"/>
  <c r="CR388" i="1" s="1"/>
  <c r="Q388" i="1" s="1"/>
  <c r="V297" i="1"/>
  <c r="R296" i="1"/>
  <c r="K326" i="5" s="1"/>
  <c r="E302" i="5"/>
  <c r="C303" i="5"/>
  <c r="A238" i="5"/>
  <c r="G169" i="1"/>
  <c r="T176" i="1"/>
  <c r="L212" i="5"/>
  <c r="Q212" i="5" s="1"/>
  <c r="L209" i="5"/>
  <c r="H181" i="5"/>
  <c r="W181" i="5" s="1"/>
  <c r="CR129" i="1"/>
  <c r="Q129" i="1" s="1"/>
  <c r="K166" i="5" s="1"/>
  <c r="H166" i="5"/>
  <c r="AD123" i="1"/>
  <c r="GX86" i="1"/>
  <c r="CX61" i="3"/>
  <c r="E106" i="5"/>
  <c r="C107" i="5"/>
  <c r="I86" i="1"/>
  <c r="E118" i="5" s="1"/>
  <c r="I84" i="1"/>
  <c r="U84" i="1" s="1"/>
  <c r="U445" i="5"/>
  <c r="S445" i="5"/>
  <c r="H447" i="5"/>
  <c r="R447" i="5" s="1"/>
  <c r="H436" i="5"/>
  <c r="Z436" i="5" s="1"/>
  <c r="CS383" i="1"/>
  <c r="R383" i="1" s="1"/>
  <c r="K430" i="5" s="1"/>
  <c r="CQ382" i="1"/>
  <c r="H405" i="5"/>
  <c r="Z405" i="5" s="1"/>
  <c r="AB377" i="1"/>
  <c r="H401" i="5"/>
  <c r="AD373" i="1"/>
  <c r="H378" i="5"/>
  <c r="R378" i="5" s="1"/>
  <c r="CQ335" i="1"/>
  <c r="P335" i="1" s="1"/>
  <c r="K362" i="5" s="1"/>
  <c r="H352" i="5"/>
  <c r="W333" i="1"/>
  <c r="H233" i="5"/>
  <c r="Z233" i="5" s="1"/>
  <c r="CS171" i="1"/>
  <c r="R171" i="1" s="1"/>
  <c r="K197" i="5" s="1"/>
  <c r="CT132" i="1"/>
  <c r="U182" i="5"/>
  <c r="S182" i="5"/>
  <c r="CX86" i="3"/>
  <c r="E147" i="5"/>
  <c r="C148" i="5"/>
  <c r="U145" i="5"/>
  <c r="S145" i="5"/>
  <c r="CZ125" i="1"/>
  <c r="Y125" i="1" s="1"/>
  <c r="V144" i="5" s="1"/>
  <c r="L134" i="5"/>
  <c r="L135" i="5"/>
  <c r="Q135" i="5" s="1"/>
  <c r="H117" i="5"/>
  <c r="Z117" i="5" s="1"/>
  <c r="E81" i="5"/>
  <c r="C82" i="5"/>
  <c r="U78" i="1"/>
  <c r="E61" i="5"/>
  <c r="C62" i="5"/>
  <c r="AD28" i="1"/>
  <c r="H34" i="5"/>
  <c r="R34" i="5" s="1"/>
  <c r="P176" i="1"/>
  <c r="T129" i="1"/>
  <c r="G73" i="1"/>
  <c r="A122" i="5"/>
  <c r="V85" i="1"/>
  <c r="GX82" i="1"/>
  <c r="H79" i="5"/>
  <c r="Z79" i="5" s="1"/>
  <c r="CT77" i="1"/>
  <c r="S77" i="1" s="1"/>
  <c r="CZ77" i="1" s="1"/>
  <c r="Y77" i="1" s="1"/>
  <c r="V78" i="5" s="1"/>
  <c r="U78" i="5"/>
  <c r="S78" i="5"/>
  <c r="T132" i="1"/>
  <c r="E182" i="5"/>
  <c r="AB383" i="1"/>
  <c r="S426" i="5"/>
  <c r="H428" i="5"/>
  <c r="R428" i="5" s="1"/>
  <c r="U426" i="5"/>
  <c r="CT379" i="1"/>
  <c r="S379" i="1" s="1"/>
  <c r="S407" i="5"/>
  <c r="H411" i="5" s="1"/>
  <c r="U407" i="5"/>
  <c r="H412" i="5" s="1"/>
  <c r="F355" i="1"/>
  <c r="Q335" i="1"/>
  <c r="K360" i="5" s="1"/>
  <c r="S331" i="5"/>
  <c r="U331" i="5"/>
  <c r="W296" i="1"/>
  <c r="L321" i="5"/>
  <c r="Q321" i="5" s="1"/>
  <c r="L318" i="5"/>
  <c r="H271" i="5"/>
  <c r="R271" i="5" s="1"/>
  <c r="H251" i="5"/>
  <c r="S249" i="5"/>
  <c r="H254" i="5" s="1"/>
  <c r="U249" i="5"/>
  <c r="H255" i="5" s="1"/>
  <c r="W176" i="1"/>
  <c r="W174" i="1"/>
  <c r="CT171" i="1"/>
  <c r="S171" i="1" s="1"/>
  <c r="U193" i="5"/>
  <c r="H199" i="5" s="1"/>
  <c r="S193" i="5"/>
  <c r="H198" i="5" s="1"/>
  <c r="H195" i="5"/>
  <c r="H177" i="5"/>
  <c r="CS129" i="1"/>
  <c r="R129" i="1" s="1"/>
  <c r="W127" i="1"/>
  <c r="U144" i="5"/>
  <c r="S144" i="5"/>
  <c r="U86" i="1"/>
  <c r="U85" i="1"/>
  <c r="H111" i="5"/>
  <c r="P81" i="1"/>
  <c r="AD80" i="1"/>
  <c r="Q30" i="1"/>
  <c r="U438" i="5"/>
  <c r="H443" i="5" s="1"/>
  <c r="S438" i="5"/>
  <c r="H442" i="5" s="1"/>
  <c r="C415" i="5"/>
  <c r="E414" i="5"/>
  <c r="R334" i="1"/>
  <c r="S235" i="5"/>
  <c r="U235" i="5"/>
  <c r="S231" i="5"/>
  <c r="G121" i="1"/>
  <c r="A188" i="5"/>
  <c r="S85" i="1"/>
  <c r="W81" i="1"/>
  <c r="V33" i="1"/>
  <c r="V31" i="1"/>
  <c r="H389" i="5"/>
  <c r="R389" i="5" s="1"/>
  <c r="AD379" i="1"/>
  <c r="H409" i="5"/>
  <c r="R409" i="5" s="1"/>
  <c r="U387" i="1"/>
  <c r="CQ385" i="1"/>
  <c r="P385" i="1" s="1"/>
  <c r="V380" i="1"/>
  <c r="CQ378" i="1"/>
  <c r="H390" i="5"/>
  <c r="T337" i="1"/>
  <c r="GX335" i="1"/>
  <c r="CQ334" i="1"/>
  <c r="P334" i="1" s="1"/>
  <c r="K352" i="5" s="1"/>
  <c r="U296" i="1"/>
  <c r="AH299" i="1" s="1"/>
  <c r="CT293" i="1"/>
  <c r="S293" i="1" s="1"/>
  <c r="H312" i="5"/>
  <c r="R312" i="5" s="1"/>
  <c r="U311" i="5"/>
  <c r="H317" i="5" s="1"/>
  <c r="S311" i="5"/>
  <c r="GX253" i="1"/>
  <c r="AD251" i="1"/>
  <c r="G69" i="1"/>
  <c r="A242" i="5"/>
  <c r="U179" i="1"/>
  <c r="U176" i="1"/>
  <c r="U174" i="1"/>
  <c r="AD171" i="1"/>
  <c r="CT134" i="1"/>
  <c r="U184" i="5"/>
  <c r="S184" i="5"/>
  <c r="W129" i="1"/>
  <c r="U127" i="1"/>
  <c r="W126" i="1"/>
  <c r="AD125" i="1"/>
  <c r="CR125" i="1" s="1"/>
  <c r="Q125" i="1" s="1"/>
  <c r="CT86" i="1"/>
  <c r="S86" i="1" s="1"/>
  <c r="S118" i="5"/>
  <c r="U118" i="5"/>
  <c r="T84" i="1"/>
  <c r="S70" i="5"/>
  <c r="H75" i="5" s="1"/>
  <c r="H71" i="5"/>
  <c r="R71" i="5" s="1"/>
  <c r="U70" i="5"/>
  <c r="V75" i="1"/>
  <c r="S47" i="5"/>
  <c r="U47" i="5"/>
  <c r="U33" i="1"/>
  <c r="U40" i="5"/>
  <c r="H44" i="5" s="1"/>
  <c r="H42" i="5"/>
  <c r="S40" i="5"/>
  <c r="H43" i="5" s="1"/>
  <c r="R378" i="1"/>
  <c r="CY378" i="1" s="1"/>
  <c r="X378" i="1" s="1"/>
  <c r="T405" i="5" s="1"/>
  <c r="G18" i="1"/>
  <c r="AF477" i="5"/>
  <c r="A477" i="5"/>
  <c r="C458" i="5"/>
  <c r="E457" i="5"/>
  <c r="CR386" i="1"/>
  <c r="Q386" i="1" s="1"/>
  <c r="K439" i="5" s="1"/>
  <c r="H439" i="5"/>
  <c r="W444" i="5" s="1"/>
  <c r="W385" i="1"/>
  <c r="H431" i="5"/>
  <c r="S377" i="1"/>
  <c r="K398" i="5" s="1"/>
  <c r="W334" i="1"/>
  <c r="V295" i="1"/>
  <c r="U180" i="1"/>
  <c r="C214" i="5"/>
  <c r="E213" i="5"/>
  <c r="S173" i="1"/>
  <c r="V133" i="1"/>
  <c r="C155" i="5"/>
  <c r="E154" i="5"/>
  <c r="H144" i="5"/>
  <c r="W144" i="5" s="1"/>
  <c r="E127" i="5"/>
  <c r="C128" i="5"/>
  <c r="U81" i="1"/>
  <c r="C89" i="5"/>
  <c r="E88" i="5"/>
  <c r="U75" i="1"/>
  <c r="F50" i="1"/>
  <c r="S33" i="1"/>
  <c r="CK26" i="1"/>
  <c r="H388" i="5"/>
  <c r="W384" i="1"/>
  <c r="W373" i="1"/>
  <c r="E366" i="5"/>
  <c r="E357" i="5"/>
  <c r="H360" i="5"/>
  <c r="H359" i="5"/>
  <c r="R359" i="5" s="1"/>
  <c r="C358" i="5"/>
  <c r="S357" i="5"/>
  <c r="GX134" i="1"/>
  <c r="H184" i="5"/>
  <c r="Z184" i="5" s="1"/>
  <c r="T133" i="1"/>
  <c r="CX117" i="3"/>
  <c r="C173" i="5"/>
  <c r="E172" i="5"/>
  <c r="H118" i="5"/>
  <c r="Z118" i="5" s="1"/>
  <c r="V82" i="1"/>
  <c r="CT81" i="1"/>
  <c r="S81" i="1" s="1"/>
  <c r="K99" i="5" s="1"/>
  <c r="U97" i="5"/>
  <c r="H103" i="5" s="1"/>
  <c r="H99" i="5"/>
  <c r="S97" i="5"/>
  <c r="H102" i="5" s="1"/>
  <c r="U61" i="5"/>
  <c r="H67" i="5" s="1"/>
  <c r="S61" i="5"/>
  <c r="H66" i="5" s="1"/>
  <c r="H63" i="5"/>
  <c r="H361" i="5"/>
  <c r="R361" i="5" s="1"/>
  <c r="C340" i="5"/>
  <c r="E339" i="5"/>
  <c r="GX296" i="1"/>
  <c r="H326" i="5"/>
  <c r="R326" i="5" s="1"/>
  <c r="CT180" i="1"/>
  <c r="S180" i="1" s="1"/>
  <c r="U234" i="5"/>
  <c r="S234" i="5"/>
  <c r="H226" i="5"/>
  <c r="R226" i="5" s="1"/>
  <c r="V173" i="1"/>
  <c r="G371" i="1"/>
  <c r="A470" i="5"/>
  <c r="AF470" i="5"/>
  <c r="Q389" i="1"/>
  <c r="V373" i="1"/>
  <c r="AD296" i="1"/>
  <c r="H325" i="5" s="1"/>
  <c r="U292" i="1"/>
  <c r="CX186" i="3"/>
  <c r="C287" i="5"/>
  <c r="E286" i="5"/>
  <c r="U254" i="1"/>
  <c r="U252" i="1"/>
  <c r="GX176" i="1"/>
  <c r="AD176" i="1"/>
  <c r="GX174" i="1"/>
  <c r="U183" i="5"/>
  <c r="S183" i="5"/>
  <c r="CT129" i="1"/>
  <c r="S129" i="1" s="1"/>
  <c r="H165" i="5"/>
  <c r="S163" i="5"/>
  <c r="H168" i="5" s="1"/>
  <c r="U163" i="5"/>
  <c r="H169" i="5" s="1"/>
  <c r="GX127" i="1"/>
  <c r="CY125" i="1"/>
  <c r="X125" i="1" s="1"/>
  <c r="T144" i="5" s="1"/>
  <c r="CT124" i="1"/>
  <c r="S124" i="1" s="1"/>
  <c r="K137" i="5" s="1"/>
  <c r="H137" i="5"/>
  <c r="R137" i="5" s="1"/>
  <c r="U136" i="5"/>
  <c r="S136" i="5"/>
  <c r="H141" i="5" s="1"/>
  <c r="AD79" i="1"/>
  <c r="CR79" i="1" s="1"/>
  <c r="H65" i="5"/>
  <c r="R65" i="5" s="1"/>
  <c r="U455" i="5"/>
  <c r="S455" i="5"/>
  <c r="H387" i="5"/>
  <c r="R387" i="5" s="1"/>
  <c r="C386" i="5"/>
  <c r="E385" i="5"/>
  <c r="U334" i="1"/>
  <c r="E426" i="5"/>
  <c r="C427" i="5"/>
  <c r="S405" i="5"/>
  <c r="U405" i="5"/>
  <c r="AB374" i="1"/>
  <c r="U382" i="5"/>
  <c r="S382" i="5"/>
  <c r="U337" i="1"/>
  <c r="CT334" i="1"/>
  <c r="S334" i="1" s="1"/>
  <c r="S348" i="5"/>
  <c r="H353" i="5" s="1"/>
  <c r="H350" i="5"/>
  <c r="U348" i="5"/>
  <c r="H354" i="5" s="1"/>
  <c r="H327" i="5"/>
  <c r="W295" i="1"/>
  <c r="AJ299" i="1" s="1"/>
  <c r="E267" i="5"/>
  <c r="C268" i="5"/>
  <c r="T252" i="1"/>
  <c r="AG258" i="1" s="1"/>
  <c r="E249" i="5"/>
  <c r="C250" i="5"/>
  <c r="GX180" i="1"/>
  <c r="T179" i="1"/>
  <c r="CQ178" i="1"/>
  <c r="P178" i="1" s="1"/>
  <c r="H227" i="5"/>
  <c r="H211" i="5"/>
  <c r="Z211" i="5" s="1"/>
  <c r="T173" i="1"/>
  <c r="I134" i="1"/>
  <c r="E184" i="5" s="1"/>
  <c r="AD124" i="1"/>
  <c r="H138" i="5" s="1"/>
  <c r="H139" i="5"/>
  <c r="R139" i="5" s="1"/>
  <c r="T85" i="1"/>
  <c r="GX81" i="1"/>
  <c r="CR81" i="1"/>
  <c r="Q81" i="1" s="1"/>
  <c r="K100" i="5" s="1"/>
  <c r="H100" i="5"/>
  <c r="CQ78" i="1"/>
  <c r="P78" i="1" s="1"/>
  <c r="CX8" i="3"/>
  <c r="E40" i="5"/>
  <c r="C41" i="5"/>
  <c r="U385" i="5"/>
  <c r="V179" i="1"/>
  <c r="CQ389" i="1"/>
  <c r="P389" i="1" s="1"/>
  <c r="H455" i="5"/>
  <c r="Z455" i="5" s="1"/>
  <c r="CT385" i="1"/>
  <c r="S385" i="1" s="1"/>
  <c r="CY385" i="1" s="1"/>
  <c r="X385" i="1" s="1"/>
  <c r="T436" i="5" s="1"/>
  <c r="U436" i="5"/>
  <c r="S436" i="5"/>
  <c r="CT382" i="1"/>
  <c r="U424" i="5"/>
  <c r="S424" i="5"/>
  <c r="T377" i="1"/>
  <c r="AF370" i="5"/>
  <c r="A370" i="5"/>
  <c r="V391" i="1"/>
  <c r="GX385" i="1"/>
  <c r="T373" i="1"/>
  <c r="CT292" i="1"/>
  <c r="S292" i="1" s="1"/>
  <c r="H304" i="5"/>
  <c r="U302" i="5"/>
  <c r="H308" i="5" s="1"/>
  <c r="S302" i="5"/>
  <c r="H307" i="5" s="1"/>
  <c r="CT254" i="1"/>
  <c r="S254" i="1" s="1"/>
  <c r="S276" i="5"/>
  <c r="H282" i="5" s="1"/>
  <c r="H278" i="5"/>
  <c r="U276" i="5"/>
  <c r="H283" i="5" s="1"/>
  <c r="S258" i="5"/>
  <c r="H263" i="5" s="1"/>
  <c r="H260" i="5"/>
  <c r="U258" i="5"/>
  <c r="H264" i="5" s="1"/>
  <c r="H234" i="5"/>
  <c r="Z234" i="5" s="1"/>
  <c r="U233" i="5"/>
  <c r="S233" i="5"/>
  <c r="U210" i="5"/>
  <c r="S210" i="5"/>
  <c r="C194" i="5"/>
  <c r="E193" i="5"/>
  <c r="U132" i="1"/>
  <c r="CQ130" i="1"/>
  <c r="P130" i="1" s="1"/>
  <c r="GX129" i="1"/>
  <c r="CQ128" i="1"/>
  <c r="P128" i="1" s="1"/>
  <c r="U117" i="5"/>
  <c r="S117" i="5"/>
  <c r="CQ82" i="1"/>
  <c r="P82" i="1" s="1"/>
  <c r="K111" i="5" s="1"/>
  <c r="H101" i="5"/>
  <c r="BY37" i="1"/>
  <c r="U357" i="5"/>
  <c r="CR375" i="1"/>
  <c r="Q375" i="1" s="1"/>
  <c r="K388" i="5" s="1"/>
  <c r="O120" i="5"/>
  <c r="CY373" i="1"/>
  <c r="X373" i="1" s="1"/>
  <c r="T375" i="5" s="1"/>
  <c r="K379" i="5" s="1"/>
  <c r="CZ373" i="1"/>
  <c r="Y373" i="1" s="1"/>
  <c r="V375" i="5" s="1"/>
  <c r="K380" i="5" s="1"/>
  <c r="BY290" i="1"/>
  <c r="AP299" i="1"/>
  <c r="CY374" i="1"/>
  <c r="X374" i="1" s="1"/>
  <c r="T382" i="5" s="1"/>
  <c r="CZ374" i="1"/>
  <c r="Y374" i="1" s="1"/>
  <c r="V382" i="5" s="1"/>
  <c r="P391" i="1"/>
  <c r="AB391" i="1"/>
  <c r="GX389" i="1"/>
  <c r="T389" i="1"/>
  <c r="AB389" i="1"/>
  <c r="S387" i="1"/>
  <c r="K447" i="5" s="1"/>
  <c r="V387" i="1"/>
  <c r="R387" i="1"/>
  <c r="K449" i="5" s="1"/>
  <c r="CZ386" i="1"/>
  <c r="Y386" i="1" s="1"/>
  <c r="V438" i="5" s="1"/>
  <c r="K443" i="5" s="1"/>
  <c r="CY386" i="1"/>
  <c r="X386" i="1" s="1"/>
  <c r="T438" i="5" s="1"/>
  <c r="K442" i="5" s="1"/>
  <c r="CS384" i="1"/>
  <c r="R384" i="1" s="1"/>
  <c r="AB382" i="1"/>
  <c r="U378" i="1"/>
  <c r="Q378" i="1"/>
  <c r="CS376" i="1"/>
  <c r="AD376" i="1"/>
  <c r="CR376" i="1" s="1"/>
  <c r="CX233" i="3"/>
  <c r="CX237" i="3"/>
  <c r="CX232" i="3"/>
  <c r="CX236" i="3"/>
  <c r="CX231" i="3"/>
  <c r="CX235" i="3"/>
  <c r="CX234" i="3"/>
  <c r="CX238" i="3"/>
  <c r="I376" i="1"/>
  <c r="H394" i="5" s="1"/>
  <c r="Z394" i="5" s="1"/>
  <c r="CP374" i="1"/>
  <c r="O374" i="1" s="1"/>
  <c r="CR337" i="1"/>
  <c r="Q337" i="1" s="1"/>
  <c r="AB337" i="1"/>
  <c r="CQ336" i="1"/>
  <c r="AB336" i="1"/>
  <c r="AO290" i="1"/>
  <c r="F303" i="1"/>
  <c r="CZ295" i="1"/>
  <c r="Y295" i="1" s="1"/>
  <c r="V320" i="5" s="1"/>
  <c r="CY295" i="1"/>
  <c r="X295" i="1" s="1"/>
  <c r="T320" i="5" s="1"/>
  <c r="AB295" i="1"/>
  <c r="CR292" i="1"/>
  <c r="Q292" i="1" s="1"/>
  <c r="K305" i="5" s="1"/>
  <c r="AB292" i="1"/>
  <c r="CZ256" i="1"/>
  <c r="Y256" i="1" s="1"/>
  <c r="V293" i="5" s="1"/>
  <c r="AB256" i="1"/>
  <c r="CZ251" i="1"/>
  <c r="Y251" i="1" s="1"/>
  <c r="V249" i="5" s="1"/>
  <c r="K255" i="5" s="1"/>
  <c r="CY251" i="1"/>
  <c r="X251" i="1" s="1"/>
  <c r="CS177" i="1"/>
  <c r="AD177" i="1"/>
  <c r="CR177" i="1" s="1"/>
  <c r="Q177" i="1" s="1"/>
  <c r="AD173" i="1"/>
  <c r="CR173" i="1" s="1"/>
  <c r="Q173" i="1" s="1"/>
  <c r="CS173" i="1"/>
  <c r="R173" i="1" s="1"/>
  <c r="CY173" i="1" s="1"/>
  <c r="X173" i="1" s="1"/>
  <c r="T210" i="5" s="1"/>
  <c r="BB121" i="1"/>
  <c r="CC137" i="1"/>
  <c r="AD76" i="1"/>
  <c r="H72" i="5" s="1"/>
  <c r="CS76" i="1"/>
  <c r="R76" i="1" s="1"/>
  <c r="BC394" i="1"/>
  <c r="BC424" i="1" s="1"/>
  <c r="T391" i="1"/>
  <c r="W391" i="1"/>
  <c r="S391" i="1"/>
  <c r="U389" i="1"/>
  <c r="W387" i="1"/>
  <c r="AD387" i="1"/>
  <c r="CP386" i="1"/>
  <c r="O386" i="1" s="1"/>
  <c r="AB386" i="1"/>
  <c r="P380" i="1"/>
  <c r="K419" i="5" s="1"/>
  <c r="CS379" i="1"/>
  <c r="R379" i="1" s="1"/>
  <c r="K409" i="5" s="1"/>
  <c r="GX378" i="1"/>
  <c r="V378" i="1"/>
  <c r="P378" i="1"/>
  <c r="AB378" i="1"/>
  <c r="R375" i="1"/>
  <c r="K389" i="5" s="1"/>
  <c r="CC394" i="1"/>
  <c r="AQ339" i="1"/>
  <c r="CR296" i="1"/>
  <c r="Q296" i="1" s="1"/>
  <c r="K325" i="5" s="1"/>
  <c r="AB296" i="1"/>
  <c r="CR293" i="1"/>
  <c r="Q293" i="1" s="1"/>
  <c r="K313" i="5" s="1"/>
  <c r="AB293" i="1"/>
  <c r="AO249" i="1"/>
  <c r="F262" i="1"/>
  <c r="AH258" i="1"/>
  <c r="CR253" i="1"/>
  <c r="Q253" i="1" s="1"/>
  <c r="K270" i="5" s="1"/>
  <c r="AB253" i="1"/>
  <c r="CQ252" i="1"/>
  <c r="P252" i="1" s="1"/>
  <c r="AB252" i="1"/>
  <c r="CK169" i="1"/>
  <c r="BB183" i="1"/>
  <c r="CR180" i="1"/>
  <c r="Q180" i="1" s="1"/>
  <c r="AB180" i="1"/>
  <c r="BY137" i="1"/>
  <c r="BZ371" i="1"/>
  <c r="CG394" i="1"/>
  <c r="AB387" i="1"/>
  <c r="CX293" i="3"/>
  <c r="CX297" i="3"/>
  <c r="CX301" i="3"/>
  <c r="CX305" i="3"/>
  <c r="CX309" i="3"/>
  <c r="CX313" i="3"/>
  <c r="CX292" i="3"/>
  <c r="CX294" i="3"/>
  <c r="CX300" i="3"/>
  <c r="CX302" i="3"/>
  <c r="CX308" i="3"/>
  <c r="CX310" i="3"/>
  <c r="CX291" i="3"/>
  <c r="CX299" i="3"/>
  <c r="CX307" i="3"/>
  <c r="CX315" i="3"/>
  <c r="CX304" i="3"/>
  <c r="CX306" i="3"/>
  <c r="CX311" i="3"/>
  <c r="CX295" i="3"/>
  <c r="CX312" i="3"/>
  <c r="CX314" i="3"/>
  <c r="I388" i="1"/>
  <c r="H454" i="5" s="1"/>
  <c r="W454" i="5" s="1"/>
  <c r="CX296" i="3"/>
  <c r="CX298" i="3"/>
  <c r="CX303" i="3"/>
  <c r="CX241" i="3"/>
  <c r="CX245" i="3"/>
  <c r="CX240" i="3"/>
  <c r="CX244" i="3"/>
  <c r="CX239" i="3"/>
  <c r="CX243" i="3"/>
  <c r="CX247" i="3"/>
  <c r="CX242" i="3"/>
  <c r="CX246" i="3"/>
  <c r="CZ335" i="1"/>
  <c r="Y335" i="1" s="1"/>
  <c r="V357" i="5" s="1"/>
  <c r="CY335" i="1"/>
  <c r="X335" i="1" s="1"/>
  <c r="T357" i="5" s="1"/>
  <c r="AB335" i="1"/>
  <c r="CZ333" i="1"/>
  <c r="Y333" i="1" s="1"/>
  <c r="V339" i="5" s="1"/>
  <c r="K345" i="5" s="1"/>
  <c r="CY333" i="1"/>
  <c r="X333" i="1" s="1"/>
  <c r="T339" i="5" s="1"/>
  <c r="K344" i="5" s="1"/>
  <c r="AB333" i="1"/>
  <c r="CM290" i="1"/>
  <c r="BD299" i="1"/>
  <c r="CS297" i="1"/>
  <c r="R297" i="1" s="1"/>
  <c r="CY297" i="1" s="1"/>
  <c r="X297" i="1" s="1"/>
  <c r="T331" i="5" s="1"/>
  <c r="AD297" i="1"/>
  <c r="CR297" i="1" s="1"/>
  <c r="Q297" i="1" s="1"/>
  <c r="AD294" i="1"/>
  <c r="CR294" i="1" s="1"/>
  <c r="Q294" i="1" s="1"/>
  <c r="CS294" i="1"/>
  <c r="R294" i="1" s="1"/>
  <c r="CZ294" i="1" s="1"/>
  <c r="Y294" i="1" s="1"/>
  <c r="V319" i="5" s="1"/>
  <c r="CC290" i="1"/>
  <c r="AT299" i="1"/>
  <c r="CC249" i="1"/>
  <c r="AT258" i="1"/>
  <c r="CR255" i="1"/>
  <c r="Q255" i="1" s="1"/>
  <c r="CP255" i="1" s="1"/>
  <c r="O255" i="1" s="1"/>
  <c r="AB255" i="1"/>
  <c r="BY258" i="1"/>
  <c r="AE258" i="1"/>
  <c r="BY169" i="1"/>
  <c r="AP183" i="1"/>
  <c r="F153" i="1"/>
  <c r="BC121" i="1"/>
  <c r="CR132" i="1"/>
  <c r="Q132" i="1" s="1"/>
  <c r="AB132" i="1"/>
  <c r="AQ394" i="1"/>
  <c r="AB392" i="1"/>
  <c r="CQ388" i="1"/>
  <c r="V381" i="1"/>
  <c r="CS381" i="1"/>
  <c r="AD381" i="1"/>
  <c r="CR381" i="1" s="1"/>
  <c r="CX253" i="3"/>
  <c r="CX257" i="3"/>
  <c r="CX261" i="3"/>
  <c r="CX265" i="3"/>
  <c r="CX269" i="3"/>
  <c r="CX273" i="3"/>
  <c r="CX252" i="3"/>
  <c r="CX256" i="3"/>
  <c r="CX260" i="3"/>
  <c r="CX264" i="3"/>
  <c r="CX268" i="3"/>
  <c r="CX272" i="3"/>
  <c r="CX254" i="3"/>
  <c r="CX258" i="3"/>
  <c r="CX262" i="3"/>
  <c r="CX266" i="3"/>
  <c r="CX270" i="3"/>
  <c r="CX274" i="3"/>
  <c r="CX255" i="3"/>
  <c r="CX271" i="3"/>
  <c r="CX263" i="3"/>
  <c r="CX251" i="3"/>
  <c r="CX267" i="3"/>
  <c r="CX275" i="3"/>
  <c r="I381" i="1"/>
  <c r="W381" i="1" s="1"/>
  <c r="I382" i="1"/>
  <c r="H424" i="5" s="1"/>
  <c r="Z424" i="5" s="1"/>
  <c r="GX377" i="1"/>
  <c r="CQ377" i="1"/>
  <c r="P377" i="1" s="1"/>
  <c r="GX375" i="1"/>
  <c r="T375" i="1"/>
  <c r="BY394" i="1"/>
  <c r="AD336" i="1"/>
  <c r="CR336" i="1" s="1"/>
  <c r="CS336" i="1"/>
  <c r="CR334" i="1"/>
  <c r="Q334" i="1" s="1"/>
  <c r="AB334" i="1"/>
  <c r="BC290" i="1"/>
  <c r="F315" i="1"/>
  <c r="CP295" i="1"/>
  <c r="O295" i="1" s="1"/>
  <c r="K320" i="5" s="1"/>
  <c r="AG299" i="1"/>
  <c r="CK249" i="1"/>
  <c r="BB258" i="1"/>
  <c r="AF258" i="1"/>
  <c r="CY256" i="1"/>
  <c r="X256" i="1" s="1"/>
  <c r="T293" i="5" s="1"/>
  <c r="CP256" i="1"/>
  <c r="O256" i="1" s="1"/>
  <c r="AB254" i="1"/>
  <c r="CZ252" i="1"/>
  <c r="Y252" i="1" s="1"/>
  <c r="V258" i="5" s="1"/>
  <c r="K264" i="5" s="1"/>
  <c r="CY252" i="1"/>
  <c r="X252" i="1" s="1"/>
  <c r="T258" i="5" s="1"/>
  <c r="K263" i="5" s="1"/>
  <c r="AJ258" i="1"/>
  <c r="AI258" i="1"/>
  <c r="CR178" i="1"/>
  <c r="Q178" i="1" s="1"/>
  <c r="AB178" i="1"/>
  <c r="CY85" i="1"/>
  <c r="X85" i="1" s="1"/>
  <c r="T117" i="5" s="1"/>
  <c r="CZ85" i="1"/>
  <c r="Y85" i="1" s="1"/>
  <c r="V117" i="5" s="1"/>
  <c r="CQ126" i="1"/>
  <c r="P126" i="1" s="1"/>
  <c r="AB126" i="1"/>
  <c r="CL73" i="1"/>
  <c r="BC89" i="1"/>
  <c r="BY73" i="1"/>
  <c r="AP89" i="1"/>
  <c r="CS75" i="1"/>
  <c r="R75" i="1" s="1"/>
  <c r="K65" i="5" s="1"/>
  <c r="AD75" i="1"/>
  <c r="U37" i="1"/>
  <c r="BB394" i="1"/>
  <c r="CX317" i="3"/>
  <c r="CX321" i="3"/>
  <c r="CX325" i="3"/>
  <c r="CX316" i="3"/>
  <c r="CX318" i="3"/>
  <c r="CX324" i="3"/>
  <c r="CX326" i="3"/>
  <c r="CX323" i="3"/>
  <c r="CX320" i="3"/>
  <c r="CX322" i="3"/>
  <c r="CX327" i="3"/>
  <c r="CX319" i="3"/>
  <c r="P384" i="1"/>
  <c r="CP384" i="1" s="1"/>
  <c r="O384" i="1" s="1"/>
  <c r="K435" i="5" s="1"/>
  <c r="W380" i="1"/>
  <c r="W375" i="1"/>
  <c r="S375" i="1"/>
  <c r="K387" i="5" s="1"/>
  <c r="CX229" i="3"/>
  <c r="CX230" i="3"/>
  <c r="CG339" i="1"/>
  <c r="AO339" i="1"/>
  <c r="CZ334" i="1"/>
  <c r="Y334" i="1" s="1"/>
  <c r="V348" i="5" s="1"/>
  <c r="K354" i="5" s="1"/>
  <c r="BY339" i="1"/>
  <c r="CQ297" i="1"/>
  <c r="P297" i="1" s="1"/>
  <c r="CZ296" i="1"/>
  <c r="Y296" i="1" s="1"/>
  <c r="V322" i="5" s="1"/>
  <c r="CQ294" i="1"/>
  <c r="P294" i="1" s="1"/>
  <c r="CP294" i="1" s="1"/>
  <c r="O294" i="1" s="1"/>
  <c r="K319" i="5" s="1"/>
  <c r="CZ293" i="1"/>
  <c r="Y293" i="1" s="1"/>
  <c r="V311" i="5" s="1"/>
  <c r="CJ299" i="1"/>
  <c r="CJ258" i="1"/>
  <c r="CQ251" i="1"/>
  <c r="P251" i="1" s="1"/>
  <c r="AB251" i="1"/>
  <c r="AO121" i="1"/>
  <c r="F141" i="1"/>
  <c r="CQ135" i="1"/>
  <c r="BZ137" i="1"/>
  <c r="AD83" i="1"/>
  <c r="CR83" i="1" s="1"/>
  <c r="CS83" i="1"/>
  <c r="AO394" i="1"/>
  <c r="I392" i="1"/>
  <c r="H467" i="5" s="1"/>
  <c r="Z467" i="5" s="1"/>
  <c r="T384" i="1"/>
  <c r="AB384" i="1"/>
  <c r="AB381" i="1"/>
  <c r="V377" i="1"/>
  <c r="R377" i="1"/>
  <c r="AB376" i="1"/>
  <c r="P373" i="1"/>
  <c r="W337" i="1"/>
  <c r="S337" i="1"/>
  <c r="CC339" i="1"/>
  <c r="BB299" i="1"/>
  <c r="BZ299" i="1"/>
  <c r="CI299" i="1" s="1"/>
  <c r="BC249" i="1"/>
  <c r="F274" i="1"/>
  <c r="CZ255" i="1"/>
  <c r="Y255" i="1" s="1"/>
  <c r="V286" i="5" s="1"/>
  <c r="K290" i="5" s="1"/>
  <c r="CZ253" i="1"/>
  <c r="Y253" i="1" s="1"/>
  <c r="V267" i="5" s="1"/>
  <c r="K273" i="5" s="1"/>
  <c r="CQ181" i="1"/>
  <c r="W180" i="1"/>
  <c r="CQ179" i="1"/>
  <c r="P179" i="1" s="1"/>
  <c r="CQ133" i="1"/>
  <c r="P133" i="1" s="1"/>
  <c r="W132" i="1"/>
  <c r="S132" i="1"/>
  <c r="CQ131" i="1"/>
  <c r="CZ124" i="1"/>
  <c r="Y124" i="1" s="1"/>
  <c r="V136" i="5" s="1"/>
  <c r="K142" i="5" s="1"/>
  <c r="CY124" i="1"/>
  <c r="X124" i="1" s="1"/>
  <c r="T136" i="5" s="1"/>
  <c r="F114" i="1"/>
  <c r="BD213" i="1"/>
  <c r="AB87" i="1"/>
  <c r="CQ87" i="1"/>
  <c r="CZ80" i="1"/>
  <c r="Y80" i="1" s="1"/>
  <c r="V88" i="5" s="1"/>
  <c r="K94" i="5" s="1"/>
  <c r="CY80" i="1"/>
  <c r="X80" i="1" s="1"/>
  <c r="T88" i="5" s="1"/>
  <c r="K93" i="5" s="1"/>
  <c r="CX277" i="3"/>
  <c r="CX281" i="3"/>
  <c r="CX285" i="3"/>
  <c r="CX276" i="3"/>
  <c r="CX280" i="3"/>
  <c r="CX284" i="3"/>
  <c r="CX278" i="3"/>
  <c r="CX282" i="3"/>
  <c r="CX286" i="3"/>
  <c r="CX287" i="3"/>
  <c r="CX279" i="3"/>
  <c r="CX283" i="3"/>
  <c r="BD339" i="1"/>
  <c r="CX201" i="3"/>
  <c r="CX205" i="3"/>
  <c r="CX200" i="3"/>
  <c r="CX204" i="3"/>
  <c r="CX199" i="3"/>
  <c r="CX203" i="3"/>
  <c r="CX207" i="3"/>
  <c r="CX202" i="3"/>
  <c r="CX206" i="3"/>
  <c r="CX189" i="3"/>
  <c r="CX188" i="3"/>
  <c r="CX187" i="3"/>
  <c r="CX190" i="3"/>
  <c r="BC169" i="1"/>
  <c r="F199" i="1"/>
  <c r="AO169" i="1"/>
  <c r="F187" i="1"/>
  <c r="CS181" i="1"/>
  <c r="AD181" i="1"/>
  <c r="CR181" i="1" s="1"/>
  <c r="CZ175" i="1"/>
  <c r="Y175" i="1" s="1"/>
  <c r="CQ173" i="1"/>
  <c r="P173" i="1" s="1"/>
  <c r="CZ172" i="1"/>
  <c r="Y172" i="1" s="1"/>
  <c r="AB172" i="1"/>
  <c r="CZ171" i="1"/>
  <c r="Y171" i="1" s="1"/>
  <c r="V193" i="5" s="1"/>
  <c r="K199" i="5" s="1"/>
  <c r="AB171" i="1"/>
  <c r="AD135" i="1"/>
  <c r="CR135" i="1" s="1"/>
  <c r="Q135" i="1" s="1"/>
  <c r="CS135" i="1"/>
  <c r="W134" i="1"/>
  <c r="S134" i="1"/>
  <c r="AB134" i="1"/>
  <c r="AD131" i="1"/>
  <c r="CR131" i="1" s="1"/>
  <c r="CS131" i="1"/>
  <c r="CZ130" i="1"/>
  <c r="Y130" i="1" s="1"/>
  <c r="CZ128" i="1"/>
  <c r="Y128" i="1" s="1"/>
  <c r="AB128" i="1"/>
  <c r="CP125" i="1"/>
  <c r="O125" i="1" s="1"/>
  <c r="K144" i="5" s="1"/>
  <c r="AB124" i="1"/>
  <c r="CR124" i="1"/>
  <c r="Q124" i="1" s="1"/>
  <c r="K138" i="5" s="1"/>
  <c r="CQ123" i="1"/>
  <c r="P123" i="1" s="1"/>
  <c r="AB123" i="1"/>
  <c r="BB73" i="1"/>
  <c r="CQ85" i="1"/>
  <c r="P85" i="1" s="1"/>
  <c r="CP85" i="1" s="1"/>
  <c r="O85" i="1" s="1"/>
  <c r="K117" i="5" s="1"/>
  <c r="AB85" i="1"/>
  <c r="CC89" i="1"/>
  <c r="AB81" i="1"/>
  <c r="AD77" i="1"/>
  <c r="H78" i="5" s="1"/>
  <c r="W78" i="5" s="1"/>
  <c r="CS77" i="1"/>
  <c r="R77" i="1" s="1"/>
  <c r="CY77" i="1" s="1"/>
  <c r="X77" i="1" s="1"/>
  <c r="T78" i="5" s="1"/>
  <c r="BB339" i="1"/>
  <c r="CX217" i="3"/>
  <c r="CX221" i="3"/>
  <c r="CX225" i="3"/>
  <c r="CX216" i="3"/>
  <c r="CX220" i="3"/>
  <c r="CX224" i="3"/>
  <c r="CX228" i="3"/>
  <c r="CX219" i="3"/>
  <c r="CX223" i="3"/>
  <c r="CX227" i="3"/>
  <c r="CX218" i="3"/>
  <c r="CX222" i="3"/>
  <c r="CX226" i="3"/>
  <c r="CX213" i="3"/>
  <c r="CX212" i="3"/>
  <c r="CX215" i="3"/>
  <c r="CX214" i="3"/>
  <c r="CX209" i="3"/>
  <c r="CX208" i="3"/>
  <c r="CX211" i="3"/>
  <c r="CX210" i="3"/>
  <c r="AQ258" i="1"/>
  <c r="CX184" i="3"/>
  <c r="CX183" i="3"/>
  <c r="CX185" i="3"/>
  <c r="CX182" i="3"/>
  <c r="CX181" i="3"/>
  <c r="CX180" i="3"/>
  <c r="CX179" i="3"/>
  <c r="CX178" i="3"/>
  <c r="CX177" i="3"/>
  <c r="AD179" i="1"/>
  <c r="CR179" i="1" s="1"/>
  <c r="Q179" i="1" s="1"/>
  <c r="CS179" i="1"/>
  <c r="R179" i="1" s="1"/>
  <c r="CQ177" i="1"/>
  <c r="AB176" i="1"/>
  <c r="AB174" i="1"/>
  <c r="BZ183" i="1"/>
  <c r="CS133" i="1"/>
  <c r="R133" i="1" s="1"/>
  <c r="CZ133" i="1" s="1"/>
  <c r="Y133" i="1" s="1"/>
  <c r="V183" i="5" s="1"/>
  <c r="AD133" i="1"/>
  <c r="CR133" i="1" s="1"/>
  <c r="Q133" i="1" s="1"/>
  <c r="AB129" i="1"/>
  <c r="AB127" i="1"/>
  <c r="CZ126" i="1"/>
  <c r="Y126" i="1" s="1"/>
  <c r="V145" i="5" s="1"/>
  <c r="CY126" i="1"/>
  <c r="X126" i="1" s="1"/>
  <c r="T145" i="5" s="1"/>
  <c r="CP124" i="1"/>
  <c r="O124" i="1" s="1"/>
  <c r="CS87" i="1"/>
  <c r="AD87" i="1"/>
  <c r="CR87" i="1" s="1"/>
  <c r="CX39" i="3"/>
  <c r="T79" i="1"/>
  <c r="S79" i="1"/>
  <c r="K83" i="5" s="1"/>
  <c r="BZ89" i="1"/>
  <c r="AD31" i="1"/>
  <c r="CR31" i="1" s="1"/>
  <c r="Q31" i="1" s="1"/>
  <c r="CS31" i="1"/>
  <c r="R31" i="1" s="1"/>
  <c r="CY31" i="1" s="1"/>
  <c r="X31" i="1" s="1"/>
  <c r="CX11" i="3"/>
  <c r="CX10" i="3"/>
  <c r="GX30" i="1"/>
  <c r="CX9" i="3"/>
  <c r="V30" i="1"/>
  <c r="CX172" i="3"/>
  <c r="CX176" i="3"/>
  <c r="CX175" i="3"/>
  <c r="CX174" i="3"/>
  <c r="CX173" i="3"/>
  <c r="CX168" i="3"/>
  <c r="CX167" i="3"/>
  <c r="CX171" i="3"/>
  <c r="CX166" i="3"/>
  <c r="CX170" i="3"/>
  <c r="CX169" i="3"/>
  <c r="CX144" i="3"/>
  <c r="CX148" i="3"/>
  <c r="CX152" i="3"/>
  <c r="CX156" i="3"/>
  <c r="CX160" i="3"/>
  <c r="CX164" i="3"/>
  <c r="CX143" i="3"/>
  <c r="CX147" i="3"/>
  <c r="CX151" i="3"/>
  <c r="CX155" i="3"/>
  <c r="CX159" i="3"/>
  <c r="CX163" i="3"/>
  <c r="CX142" i="3"/>
  <c r="CX146" i="3"/>
  <c r="CX150" i="3"/>
  <c r="CX154" i="3"/>
  <c r="CX158" i="3"/>
  <c r="CX162" i="3"/>
  <c r="CX153" i="3"/>
  <c r="CX149" i="3"/>
  <c r="CX165" i="3"/>
  <c r="CX145" i="3"/>
  <c r="CX161" i="3"/>
  <c r="CX141" i="3"/>
  <c r="CX136" i="3"/>
  <c r="CX140" i="3"/>
  <c r="CX135" i="3"/>
  <c r="CX139" i="3"/>
  <c r="CX134" i="3"/>
  <c r="CX138" i="3"/>
  <c r="CX137" i="3"/>
  <c r="CX133" i="3"/>
  <c r="CX124" i="3"/>
  <c r="CX123" i="3"/>
  <c r="CX122" i="3"/>
  <c r="CX121" i="3"/>
  <c r="I135" i="1"/>
  <c r="E185" i="5" s="1"/>
  <c r="I131" i="1"/>
  <c r="E181" i="5" s="1"/>
  <c r="W84" i="1"/>
  <c r="S84" i="1"/>
  <c r="AB84" i="1"/>
  <c r="P80" i="1"/>
  <c r="W30" i="1"/>
  <c r="R30" i="1"/>
  <c r="CQ30" i="1"/>
  <c r="P30" i="1" s="1"/>
  <c r="AB30" i="1"/>
  <c r="BZ37" i="1"/>
  <c r="CQ28" i="1"/>
  <c r="P28" i="1" s="1"/>
  <c r="K35" i="5" s="1"/>
  <c r="AB28" i="1"/>
  <c r="CX96" i="3"/>
  <c r="CX100" i="3"/>
  <c r="CX104" i="3"/>
  <c r="CX108" i="3"/>
  <c r="CX112" i="3"/>
  <c r="CX116" i="3"/>
  <c r="CX120" i="3"/>
  <c r="CX99" i="3"/>
  <c r="CX103" i="3"/>
  <c r="CX107" i="3"/>
  <c r="CX111" i="3"/>
  <c r="CX115" i="3"/>
  <c r="CX119" i="3"/>
  <c r="CX98" i="3"/>
  <c r="CX102" i="3"/>
  <c r="CX106" i="3"/>
  <c r="CX110" i="3"/>
  <c r="CX114" i="3"/>
  <c r="CX118" i="3"/>
  <c r="CX97" i="3"/>
  <c r="CX113" i="3"/>
  <c r="CX109" i="3"/>
  <c r="CX105" i="3"/>
  <c r="CX101" i="3"/>
  <c r="CX92" i="3"/>
  <c r="CX91" i="3"/>
  <c r="CX95" i="3"/>
  <c r="CX94" i="3"/>
  <c r="CX93" i="3"/>
  <c r="CX88" i="3"/>
  <c r="CX87" i="3"/>
  <c r="CX90" i="3"/>
  <c r="CX89" i="3"/>
  <c r="U126" i="1"/>
  <c r="Q126" i="1"/>
  <c r="AB125" i="1"/>
  <c r="CQ83" i="1"/>
  <c r="AB83" i="1"/>
  <c r="CX40" i="3"/>
  <c r="CX43" i="3"/>
  <c r="CX42" i="3"/>
  <c r="CX41" i="3"/>
  <c r="Q79" i="1"/>
  <c r="U79" i="1"/>
  <c r="CP78" i="1"/>
  <c r="O78" i="1" s="1"/>
  <c r="K79" i="5" s="1"/>
  <c r="U30" i="1"/>
  <c r="AJ37" i="1"/>
  <c r="CX76" i="3"/>
  <c r="CX75" i="3"/>
  <c r="CX74" i="3"/>
  <c r="I87" i="1"/>
  <c r="E119" i="5" s="1"/>
  <c r="I83" i="1"/>
  <c r="E115" i="5" s="1"/>
  <c r="AB80" i="1"/>
  <c r="GX79" i="1"/>
  <c r="P79" i="1"/>
  <c r="CY76" i="1"/>
  <c r="X76" i="1" s="1"/>
  <c r="T70" i="5" s="1"/>
  <c r="BY26" i="1"/>
  <c r="AP37" i="1"/>
  <c r="AD33" i="1"/>
  <c r="CR33" i="1" s="1"/>
  <c r="Q33" i="1" s="1"/>
  <c r="CS33" i="1"/>
  <c r="R33" i="1" s="1"/>
  <c r="CY33" i="1" s="1"/>
  <c r="X33" i="1" s="1"/>
  <c r="CQ32" i="1"/>
  <c r="P32" i="1" s="1"/>
  <c r="AB32" i="1"/>
  <c r="CX20" i="3"/>
  <c r="CX19" i="3"/>
  <c r="CX18" i="3"/>
  <c r="CX17" i="3"/>
  <c r="GX32" i="1"/>
  <c r="AD29" i="1"/>
  <c r="CR29" i="1" s="1"/>
  <c r="Q29" i="1" s="1"/>
  <c r="CS29" i="1"/>
  <c r="R29" i="1" s="1"/>
  <c r="CY29" i="1" s="1"/>
  <c r="X29" i="1" s="1"/>
  <c r="T40" i="5" s="1"/>
  <c r="K43" i="5" s="1"/>
  <c r="CX52" i="3"/>
  <c r="CX56" i="3"/>
  <c r="CX60" i="3"/>
  <c r="CX64" i="3"/>
  <c r="CX68" i="3"/>
  <c r="CX72" i="3"/>
  <c r="CX51" i="3"/>
  <c r="CX55" i="3"/>
  <c r="CX59" i="3"/>
  <c r="CX63" i="3"/>
  <c r="CX67" i="3"/>
  <c r="CX71" i="3"/>
  <c r="CX50" i="3"/>
  <c r="CX54" i="3"/>
  <c r="CX58" i="3"/>
  <c r="CX62" i="3"/>
  <c r="CX66" i="3"/>
  <c r="CX70" i="3"/>
  <c r="CX57" i="3"/>
  <c r="CX73" i="3"/>
  <c r="CX53" i="3"/>
  <c r="CX69" i="3"/>
  <c r="CX65" i="3"/>
  <c r="CX49" i="3"/>
  <c r="CX44" i="3"/>
  <c r="CX48" i="3"/>
  <c r="CX47" i="3"/>
  <c r="CX46" i="3"/>
  <c r="V79" i="1"/>
  <c r="R79" i="1"/>
  <c r="AB78" i="1"/>
  <c r="CL26" i="1"/>
  <c r="BC37" i="1"/>
  <c r="CD26" i="1"/>
  <c r="AU37" i="1"/>
  <c r="CQ34" i="1"/>
  <c r="P34" i="1" s="1"/>
  <c r="CP34" i="1" s="1"/>
  <c r="O34" i="1" s="1"/>
  <c r="AB34" i="1"/>
  <c r="AI37" i="1"/>
  <c r="CX21" i="3"/>
  <c r="CX28" i="3"/>
  <c r="CX27" i="3"/>
  <c r="CX30" i="3"/>
  <c r="CX29" i="3"/>
  <c r="AB35" i="1"/>
  <c r="CX24" i="3"/>
  <c r="CX23" i="3"/>
  <c r="CX22" i="3"/>
  <c r="CX26" i="3"/>
  <c r="CQ31" i="1"/>
  <c r="P31" i="1" s="1"/>
  <c r="CP31" i="1" s="1"/>
  <c r="O31" i="1" s="1"/>
  <c r="S30" i="1"/>
  <c r="CJ37" i="1"/>
  <c r="CY34" i="1"/>
  <c r="X34" i="1" s="1"/>
  <c r="T47" i="5" s="1"/>
  <c r="CZ34" i="1"/>
  <c r="Y34" i="1" s="1"/>
  <c r="V47" i="5" s="1"/>
  <c r="CQ33" i="1"/>
  <c r="P33" i="1" s="1"/>
  <c r="S32" i="1"/>
  <c r="CX12" i="3"/>
  <c r="CX16" i="3"/>
  <c r="CX15" i="3"/>
  <c r="CX14" i="3"/>
  <c r="CX13" i="3"/>
  <c r="CQ29" i="1"/>
  <c r="P29" i="1" s="1"/>
  <c r="AB29" i="1"/>
  <c r="CY28" i="1"/>
  <c r="X28" i="1" s="1"/>
  <c r="T31" i="5" s="1"/>
  <c r="K36" i="5" s="1"/>
  <c r="CZ28" i="1"/>
  <c r="Y28" i="1" s="1"/>
  <c r="V31" i="5" s="1"/>
  <c r="K37" i="5" s="1"/>
  <c r="CX25" i="3"/>
  <c r="AT37" i="1"/>
  <c r="T33" i="1"/>
  <c r="T32" i="1"/>
  <c r="T31" i="1"/>
  <c r="T30" i="1"/>
  <c r="T29" i="1"/>
  <c r="AG37" i="1" s="1"/>
  <c r="AO37" i="1"/>
  <c r="CP389" i="1" l="1"/>
  <c r="O389" i="1" s="1"/>
  <c r="K455" i="5" s="1"/>
  <c r="CY389" i="1"/>
  <c r="X389" i="1" s="1"/>
  <c r="T455" i="5" s="1"/>
  <c r="CP385" i="1"/>
  <c r="O385" i="1" s="1"/>
  <c r="K436" i="5" s="1"/>
  <c r="CZ384" i="1"/>
  <c r="Y384" i="1" s="1"/>
  <c r="V435" i="5" s="1"/>
  <c r="S382" i="1"/>
  <c r="U382" i="1"/>
  <c r="S423" i="5"/>
  <c r="H420" i="5" s="1"/>
  <c r="R381" i="1"/>
  <c r="U394" i="5"/>
  <c r="CP297" i="1"/>
  <c r="O297" i="1" s="1"/>
  <c r="K331" i="5" s="1"/>
  <c r="H329" i="5"/>
  <c r="S232" i="5"/>
  <c r="S181" i="1"/>
  <c r="S178" i="1"/>
  <c r="T181" i="1"/>
  <c r="W178" i="1"/>
  <c r="Q181" i="1"/>
  <c r="P181" i="1"/>
  <c r="CP181" i="1" s="1"/>
  <c r="O181" i="1" s="1"/>
  <c r="K235" i="5" s="1"/>
  <c r="V181" i="1"/>
  <c r="GX178" i="1"/>
  <c r="P177" i="1"/>
  <c r="CP177" i="1" s="1"/>
  <c r="O177" i="1" s="1"/>
  <c r="K231" i="5" s="1"/>
  <c r="R181" i="1"/>
  <c r="CZ181" i="1" s="1"/>
  <c r="Y181" i="1" s="1"/>
  <c r="V235" i="5" s="1"/>
  <c r="U178" i="1"/>
  <c r="H208" i="5"/>
  <c r="CY123" i="1"/>
  <c r="X123" i="1" s="1"/>
  <c r="T127" i="5" s="1"/>
  <c r="K132" i="5" s="1"/>
  <c r="CZ35" i="1"/>
  <c r="Y35" i="1" s="1"/>
  <c r="V50" i="5" s="1"/>
  <c r="CP29" i="1"/>
  <c r="O29" i="1" s="1"/>
  <c r="AG249" i="1"/>
  <c r="T258" i="1"/>
  <c r="CP180" i="1"/>
  <c r="O180" i="1" s="1"/>
  <c r="K234" i="5" s="1"/>
  <c r="W299" i="1"/>
  <c r="AJ290" i="1"/>
  <c r="AF183" i="1"/>
  <c r="AF169" i="1" s="1"/>
  <c r="AE299" i="1"/>
  <c r="AE290" i="1" s="1"/>
  <c r="U392" i="1"/>
  <c r="R260" i="5"/>
  <c r="O52" i="5"/>
  <c r="W52" i="5"/>
  <c r="R156" i="5"/>
  <c r="W162" i="5"/>
  <c r="L86" i="5"/>
  <c r="L87" i="5"/>
  <c r="Q87" i="5" s="1"/>
  <c r="K141" i="5"/>
  <c r="J146" i="5" s="1"/>
  <c r="P146" i="5" s="1"/>
  <c r="K317" i="5"/>
  <c r="CR387" i="1"/>
  <c r="Q387" i="1" s="1"/>
  <c r="H448" i="5"/>
  <c r="CY294" i="1"/>
  <c r="X294" i="1" s="1"/>
  <c r="T319" i="5" s="1"/>
  <c r="GX392" i="1"/>
  <c r="L355" i="5"/>
  <c r="L356" i="5"/>
  <c r="Q356" i="5" s="1"/>
  <c r="R165" i="5"/>
  <c r="W171" i="5"/>
  <c r="J444" i="5"/>
  <c r="P444" i="5" s="1"/>
  <c r="L230" i="5"/>
  <c r="L236" i="5"/>
  <c r="Q236" i="5" s="1"/>
  <c r="R251" i="5"/>
  <c r="W257" i="5"/>
  <c r="H432" i="5"/>
  <c r="K227" i="5"/>
  <c r="CR123" i="1"/>
  <c r="Q123" i="1" s="1"/>
  <c r="K130" i="5" s="1"/>
  <c r="J135" i="5" s="1"/>
  <c r="P135" i="5" s="1"/>
  <c r="H130" i="5"/>
  <c r="W135" i="5" s="1"/>
  <c r="AB388" i="1"/>
  <c r="T134" i="1"/>
  <c r="Q86" i="1"/>
  <c r="CP86" i="1" s="1"/>
  <c r="O86" i="1" s="1"/>
  <c r="K118" i="5" s="1"/>
  <c r="K156" i="5"/>
  <c r="CY128" i="1"/>
  <c r="X128" i="1" s="1"/>
  <c r="T154" i="5" s="1"/>
  <c r="K159" i="5" s="1"/>
  <c r="CR175" i="1"/>
  <c r="Q175" i="1" s="1"/>
  <c r="K216" i="5" s="1"/>
  <c r="H216" i="5"/>
  <c r="W221" i="5" s="1"/>
  <c r="CP129" i="1"/>
  <c r="O129" i="1" s="1"/>
  <c r="K167" i="5"/>
  <c r="K329" i="5"/>
  <c r="CP335" i="1"/>
  <c r="O335" i="1" s="1"/>
  <c r="GN335" i="1" s="1"/>
  <c r="CP128" i="1"/>
  <c r="O128" i="1" s="1"/>
  <c r="GM128" i="1" s="1"/>
  <c r="K158" i="5"/>
  <c r="R278" i="5"/>
  <c r="CR383" i="1"/>
  <c r="Q383" i="1" s="1"/>
  <c r="H429" i="5"/>
  <c r="U231" i="5"/>
  <c r="CR28" i="1"/>
  <c r="Q28" i="1" s="1"/>
  <c r="CP28" i="1" s="1"/>
  <c r="O28" i="1" s="1"/>
  <c r="H33" i="5"/>
  <c r="W39" i="5" s="1"/>
  <c r="T178" i="1"/>
  <c r="E232" i="5"/>
  <c r="CY78" i="1"/>
  <c r="X78" i="1" s="1"/>
  <c r="T79" i="5" s="1"/>
  <c r="K75" i="5" s="1"/>
  <c r="CZ78" i="1"/>
  <c r="Y78" i="1" s="1"/>
  <c r="V79" i="5" s="1"/>
  <c r="R83" i="5"/>
  <c r="W87" i="5"/>
  <c r="AU258" i="1"/>
  <c r="CD249" i="1"/>
  <c r="CG249" i="1"/>
  <c r="AX258" i="1"/>
  <c r="CY253" i="1"/>
  <c r="X253" i="1" s="1"/>
  <c r="T267" i="5" s="1"/>
  <c r="K272" i="5" s="1"/>
  <c r="V86" i="1"/>
  <c r="CZ129" i="1"/>
  <c r="Y129" i="1" s="1"/>
  <c r="V163" i="5" s="1"/>
  <c r="K169" i="5" s="1"/>
  <c r="K165" i="5"/>
  <c r="CY129" i="1"/>
  <c r="X129" i="1" s="1"/>
  <c r="T163" i="5" s="1"/>
  <c r="K168" i="5" s="1"/>
  <c r="CR82" i="1"/>
  <c r="Q82" i="1" s="1"/>
  <c r="K109" i="5" s="1"/>
  <c r="H109" i="5"/>
  <c r="CZ297" i="1"/>
  <c r="Y297" i="1" s="1"/>
  <c r="V331" i="5" s="1"/>
  <c r="CP130" i="1"/>
  <c r="O130" i="1" s="1"/>
  <c r="GM130" i="1" s="1"/>
  <c r="K177" i="5"/>
  <c r="CZ254" i="1"/>
  <c r="Y254" i="1" s="1"/>
  <c r="V276" i="5" s="1"/>
  <c r="K283" i="5" s="1"/>
  <c r="K278" i="5"/>
  <c r="CY254" i="1"/>
  <c r="X254" i="1" s="1"/>
  <c r="T276" i="5" s="1"/>
  <c r="K282" i="5" s="1"/>
  <c r="CR251" i="1"/>
  <c r="Q251" i="1" s="1"/>
  <c r="K252" i="5" s="1"/>
  <c r="H252" i="5"/>
  <c r="L456" i="5"/>
  <c r="Q456" i="5" s="1"/>
  <c r="L470" i="5" s="1"/>
  <c r="L453" i="5"/>
  <c r="H319" i="5"/>
  <c r="W319" i="5" s="1"/>
  <c r="Q134" i="1"/>
  <c r="S181" i="5"/>
  <c r="H178" i="5" s="1"/>
  <c r="CP254" i="1"/>
  <c r="O254" i="1" s="1"/>
  <c r="K281" i="5"/>
  <c r="J292" i="5"/>
  <c r="P292" i="5" s="1"/>
  <c r="CZ176" i="1"/>
  <c r="Y176" i="1" s="1"/>
  <c r="V222" i="5" s="1"/>
  <c r="K224" i="5"/>
  <c r="CY176" i="1"/>
  <c r="X176" i="1" s="1"/>
  <c r="T222" i="5" s="1"/>
  <c r="H113" i="5"/>
  <c r="E235" i="5"/>
  <c r="W181" i="1"/>
  <c r="H423" i="5"/>
  <c r="W423" i="5" s="1"/>
  <c r="CR254" i="1"/>
  <c r="Q254" i="1" s="1"/>
  <c r="K279" i="5" s="1"/>
  <c r="H279" i="5"/>
  <c r="W285" i="5" s="1"/>
  <c r="CR75" i="1"/>
  <c r="Q75" i="1" s="1"/>
  <c r="H64" i="5"/>
  <c r="S388" i="1"/>
  <c r="E454" i="5"/>
  <c r="R288" i="5"/>
  <c r="W292" i="5"/>
  <c r="H228" i="5"/>
  <c r="O295" i="5"/>
  <c r="W295" i="5"/>
  <c r="U336" i="1"/>
  <c r="AH339" i="1" s="1"/>
  <c r="U339" i="1" s="1"/>
  <c r="CP35" i="1"/>
  <c r="O35" i="1" s="1"/>
  <c r="GM35" i="1" s="1"/>
  <c r="HD35" i="1" s="1"/>
  <c r="AB177" i="1"/>
  <c r="CZ123" i="1"/>
  <c r="Y123" i="1" s="1"/>
  <c r="V127" i="5" s="1"/>
  <c r="K133" i="5" s="1"/>
  <c r="CP334" i="1"/>
  <c r="O334" i="1" s="1"/>
  <c r="K351" i="5"/>
  <c r="K92" i="5"/>
  <c r="CY179" i="1"/>
  <c r="X179" i="1" s="1"/>
  <c r="T233" i="5" s="1"/>
  <c r="GN172" i="1"/>
  <c r="V202" i="5"/>
  <c r="R336" i="1"/>
  <c r="AT183" i="1"/>
  <c r="F201" i="1" s="1"/>
  <c r="GM174" i="1"/>
  <c r="R350" i="5"/>
  <c r="W356" i="5"/>
  <c r="CR176" i="1"/>
  <c r="Q176" i="1" s="1"/>
  <c r="K225" i="5" s="1"/>
  <c r="H225" i="5"/>
  <c r="U134" i="1"/>
  <c r="H210" i="5"/>
  <c r="W210" i="5" s="1"/>
  <c r="U181" i="5"/>
  <c r="CR128" i="1"/>
  <c r="Q128" i="1" s="1"/>
  <c r="K157" i="5" s="1"/>
  <c r="H157" i="5"/>
  <c r="R149" i="5"/>
  <c r="W153" i="5"/>
  <c r="L54" i="5"/>
  <c r="Q392" i="1"/>
  <c r="E467" i="5"/>
  <c r="W105" i="5"/>
  <c r="R99" i="5"/>
  <c r="E231" i="5"/>
  <c r="U177" i="1"/>
  <c r="AH183" i="1" s="1"/>
  <c r="GX336" i="1"/>
  <c r="CJ339" i="1" s="1"/>
  <c r="CJ331" i="1" s="1"/>
  <c r="CP172" i="1"/>
  <c r="O172" i="1" s="1"/>
  <c r="K206" i="5"/>
  <c r="R87" i="1"/>
  <c r="AB173" i="1"/>
  <c r="P135" i="1"/>
  <c r="Q336" i="1"/>
  <c r="Q381" i="1"/>
  <c r="GX376" i="1"/>
  <c r="R392" i="1"/>
  <c r="H183" i="5"/>
  <c r="Z183" i="5" s="1"/>
  <c r="H231" i="5"/>
  <c r="W231" i="5" s="1"/>
  <c r="H316" i="5"/>
  <c r="W321" i="5" s="1"/>
  <c r="CR379" i="1"/>
  <c r="Q379" i="1" s="1"/>
  <c r="H408" i="5"/>
  <c r="W413" i="5" s="1"/>
  <c r="R195" i="5"/>
  <c r="L170" i="5"/>
  <c r="L171" i="5"/>
  <c r="Q171" i="5" s="1"/>
  <c r="V134" i="1"/>
  <c r="CZ385" i="1"/>
  <c r="Y385" i="1" s="1"/>
  <c r="V436" i="5" s="1"/>
  <c r="S394" i="5"/>
  <c r="H391" i="5" s="1"/>
  <c r="H328" i="5"/>
  <c r="W332" i="5" s="1"/>
  <c r="U232" i="5"/>
  <c r="H185" i="5"/>
  <c r="W185" i="5" s="1"/>
  <c r="GX181" i="1"/>
  <c r="CP296" i="1"/>
  <c r="O296" i="1" s="1"/>
  <c r="GN296" i="1" s="1"/>
  <c r="W336" i="1"/>
  <c r="AJ339" i="1" s="1"/>
  <c r="AJ331" i="1" s="1"/>
  <c r="CZ383" i="1"/>
  <c r="Y383" i="1" s="1"/>
  <c r="V426" i="5" s="1"/>
  <c r="R177" i="1"/>
  <c r="CZ177" i="1" s="1"/>
  <c r="Y177" i="1" s="1"/>
  <c r="V231" i="5" s="1"/>
  <c r="L285" i="5"/>
  <c r="Q285" i="5" s="1"/>
  <c r="L297" i="5" s="1"/>
  <c r="L284" i="5"/>
  <c r="L69" i="5"/>
  <c r="Q69" i="5" s="1"/>
  <c r="L68" i="5"/>
  <c r="R42" i="5"/>
  <c r="W46" i="5"/>
  <c r="E116" i="5"/>
  <c r="V84" i="1"/>
  <c r="S177" i="1"/>
  <c r="T336" i="1"/>
  <c r="AG339" i="1" s="1"/>
  <c r="R203" i="5"/>
  <c r="U423" i="5"/>
  <c r="H421" i="5" s="1"/>
  <c r="CZ127" i="1"/>
  <c r="Y127" i="1" s="1"/>
  <c r="V147" i="5" s="1"/>
  <c r="K151" i="5" s="1"/>
  <c r="K149" i="5"/>
  <c r="CY127" i="1"/>
  <c r="X127" i="1" s="1"/>
  <c r="T147" i="5" s="1"/>
  <c r="K150" i="5" s="1"/>
  <c r="P84" i="1"/>
  <c r="H463" i="5"/>
  <c r="O468" i="5" s="1"/>
  <c r="GX84" i="1"/>
  <c r="S336" i="1"/>
  <c r="CY336" i="1" s="1"/>
  <c r="X336" i="1" s="1"/>
  <c r="T366" i="5" s="1"/>
  <c r="CP84" i="1"/>
  <c r="O84" i="1" s="1"/>
  <c r="K116" i="5" s="1"/>
  <c r="CP33" i="1"/>
  <c r="O33" i="1" s="1"/>
  <c r="V213" i="5"/>
  <c r="K219" i="5" s="1"/>
  <c r="CZ76" i="1"/>
  <c r="Y76" i="1" s="1"/>
  <c r="V70" i="5" s="1"/>
  <c r="K73" i="5"/>
  <c r="AK258" i="1"/>
  <c r="T249" i="5"/>
  <c r="K254" i="5" s="1"/>
  <c r="P336" i="1"/>
  <c r="AC339" i="1" s="1"/>
  <c r="AC331" i="1" s="1"/>
  <c r="W392" i="1"/>
  <c r="W388" i="1"/>
  <c r="H142" i="5"/>
  <c r="W146" i="5" s="1"/>
  <c r="K312" i="5"/>
  <c r="CY293" i="1"/>
  <c r="X293" i="1" s="1"/>
  <c r="T311" i="5" s="1"/>
  <c r="K195" i="5"/>
  <c r="CY171" i="1"/>
  <c r="X171" i="1" s="1"/>
  <c r="T193" i="5" s="1"/>
  <c r="K198" i="5" s="1"/>
  <c r="L188" i="5"/>
  <c r="CR390" i="1"/>
  <c r="Q390" i="1" s="1"/>
  <c r="H460" i="5"/>
  <c r="H207" i="5"/>
  <c r="W212" i="5" s="1"/>
  <c r="U181" i="1"/>
  <c r="W86" i="1"/>
  <c r="K324" i="5"/>
  <c r="CY296" i="1"/>
  <c r="X296" i="1" s="1"/>
  <c r="T322" i="5" s="1"/>
  <c r="K328" i="5" s="1"/>
  <c r="S366" i="5"/>
  <c r="H363" i="5" s="1"/>
  <c r="CZ174" i="1"/>
  <c r="Y174" i="1" s="1"/>
  <c r="V211" i="5" s="1"/>
  <c r="CY174" i="1"/>
  <c r="X174" i="1" s="1"/>
  <c r="T211" i="5" s="1"/>
  <c r="K304" i="5"/>
  <c r="AF299" i="1"/>
  <c r="AB75" i="1"/>
  <c r="CY81" i="1"/>
  <c r="X81" i="1" s="1"/>
  <c r="GN130" i="1"/>
  <c r="V172" i="5"/>
  <c r="CP377" i="1"/>
  <c r="O377" i="1" s="1"/>
  <c r="K401" i="5"/>
  <c r="U388" i="1"/>
  <c r="CP292" i="1"/>
  <c r="O292" i="1" s="1"/>
  <c r="CZ389" i="1"/>
  <c r="Y389" i="1" s="1"/>
  <c r="V455" i="5" s="1"/>
  <c r="H392" i="5"/>
  <c r="L332" i="5"/>
  <c r="Q332" i="5" s="1"/>
  <c r="L330" i="5"/>
  <c r="R84" i="1"/>
  <c r="CZ84" i="1" s="1"/>
  <c r="Y84" i="1" s="1"/>
  <c r="AB380" i="1"/>
  <c r="H417" i="5"/>
  <c r="CR380" i="1"/>
  <c r="Q380" i="1" s="1"/>
  <c r="K417" i="5" s="1"/>
  <c r="S115" i="5"/>
  <c r="H112" i="5" s="1"/>
  <c r="R341" i="5"/>
  <c r="K203" i="5"/>
  <c r="CY172" i="1"/>
  <c r="X172" i="1" s="1"/>
  <c r="T202" i="5" s="1"/>
  <c r="L238" i="5"/>
  <c r="L370" i="5"/>
  <c r="H366" i="5"/>
  <c r="Z366" i="5" s="1"/>
  <c r="U366" i="5"/>
  <c r="H364" i="5" s="1"/>
  <c r="W177" i="1"/>
  <c r="CY133" i="1"/>
  <c r="X133" i="1" s="1"/>
  <c r="T183" i="5" s="1"/>
  <c r="P388" i="1"/>
  <c r="AB82" i="1"/>
  <c r="CY292" i="1"/>
  <c r="X292" i="1" s="1"/>
  <c r="T302" i="5" s="1"/>
  <c r="K307" i="5" s="1"/>
  <c r="S454" i="5"/>
  <c r="H451" i="5" s="1"/>
  <c r="L105" i="5"/>
  <c r="Q105" i="5" s="1"/>
  <c r="L104" i="5"/>
  <c r="H331" i="5"/>
  <c r="W331" i="5" s="1"/>
  <c r="CR80" i="1"/>
  <c r="Q80" i="1" s="1"/>
  <c r="K91" i="5" s="1"/>
  <c r="J96" i="5" s="1"/>
  <c r="P96" i="5" s="1"/>
  <c r="H91" i="5"/>
  <c r="V336" i="1"/>
  <c r="AI339" i="1" s="1"/>
  <c r="U115" i="5"/>
  <c r="F162" i="1"/>
  <c r="BD121" i="1"/>
  <c r="AO73" i="1"/>
  <c r="F93" i="1"/>
  <c r="AO213" i="1"/>
  <c r="H403" i="5"/>
  <c r="W406" i="5" s="1"/>
  <c r="V177" i="1"/>
  <c r="CR252" i="1"/>
  <c r="Q252" i="1" s="1"/>
  <c r="K261" i="5" s="1"/>
  <c r="J266" i="5" s="1"/>
  <c r="P266" i="5" s="1"/>
  <c r="H261" i="5"/>
  <c r="W266" i="5" s="1"/>
  <c r="K350" i="5"/>
  <c r="CY334" i="1"/>
  <c r="X334" i="1" s="1"/>
  <c r="T348" i="5" s="1"/>
  <c r="K353" i="5" s="1"/>
  <c r="AB79" i="1"/>
  <c r="CZ81" i="1"/>
  <c r="Y81" i="1" s="1"/>
  <c r="GX382" i="1"/>
  <c r="E424" i="5"/>
  <c r="V388" i="1"/>
  <c r="CY82" i="1"/>
  <c r="X82" i="1" s="1"/>
  <c r="T106" i="5" s="1"/>
  <c r="W382" i="1"/>
  <c r="U454" i="5"/>
  <c r="H452" i="5" s="1"/>
  <c r="L309" i="5"/>
  <c r="L310" i="5"/>
  <c r="Q310" i="5" s="1"/>
  <c r="H119" i="5"/>
  <c r="W119" i="5" s="1"/>
  <c r="AB379" i="1"/>
  <c r="S185" i="5"/>
  <c r="CP81" i="1"/>
  <c r="O81" i="1" s="1"/>
  <c r="K101" i="5"/>
  <c r="T177" i="1"/>
  <c r="AG183" i="1" s="1"/>
  <c r="U116" i="5"/>
  <c r="CP175" i="1"/>
  <c r="O175" i="1" s="1"/>
  <c r="GN175" i="1" s="1"/>
  <c r="K217" i="5"/>
  <c r="R134" i="1"/>
  <c r="H179" i="5"/>
  <c r="O186" i="5" s="1"/>
  <c r="R269" i="5"/>
  <c r="W275" i="5"/>
  <c r="CR333" i="1"/>
  <c r="Q333" i="1" s="1"/>
  <c r="H342" i="5"/>
  <c r="W347" i="5" s="1"/>
  <c r="H116" i="5"/>
  <c r="W116" i="5" s="1"/>
  <c r="V178" i="1"/>
  <c r="R129" i="5"/>
  <c r="CP173" i="1"/>
  <c r="O173" i="1" s="1"/>
  <c r="K210" i="5" s="1"/>
  <c r="L266" i="5"/>
  <c r="Q266" i="5" s="1"/>
  <c r="L265" i="5"/>
  <c r="L152" i="5"/>
  <c r="L153" i="5"/>
  <c r="Q153" i="5" s="1"/>
  <c r="CR130" i="1"/>
  <c r="Q130" i="1" s="1"/>
  <c r="K175" i="5" s="1"/>
  <c r="H175" i="5"/>
  <c r="V154" i="5"/>
  <c r="K160" i="5" s="1"/>
  <c r="GX381" i="1"/>
  <c r="E423" i="5"/>
  <c r="GX388" i="1"/>
  <c r="CZ82" i="1"/>
  <c r="Y82" i="1" s="1"/>
  <c r="V106" i="5" s="1"/>
  <c r="U381" i="1"/>
  <c r="T376" i="1"/>
  <c r="E394" i="5"/>
  <c r="CY383" i="1"/>
  <c r="X383" i="1" s="1"/>
  <c r="CZ390" i="1"/>
  <c r="Y390" i="1" s="1"/>
  <c r="V457" i="5" s="1"/>
  <c r="R63" i="5"/>
  <c r="W69" i="5"/>
  <c r="U185" i="5"/>
  <c r="U119" i="5"/>
  <c r="CP127" i="1"/>
  <c r="O127" i="1" s="1"/>
  <c r="CR373" i="1"/>
  <c r="Q373" i="1" s="1"/>
  <c r="K377" i="5" s="1"/>
  <c r="J381" i="5" s="1"/>
  <c r="P381" i="5" s="1"/>
  <c r="H377" i="5"/>
  <c r="W381" i="5" s="1"/>
  <c r="H115" i="5"/>
  <c r="W115" i="5" s="1"/>
  <c r="S116" i="5"/>
  <c r="K174" i="5"/>
  <c r="CY130" i="1"/>
  <c r="X130" i="1" s="1"/>
  <c r="T172" i="5" s="1"/>
  <c r="J275" i="5"/>
  <c r="P275" i="5" s="1"/>
  <c r="R32" i="5"/>
  <c r="R215" i="5"/>
  <c r="R86" i="1"/>
  <c r="U467" i="5"/>
  <c r="H464" i="5" s="1"/>
  <c r="CP79" i="1"/>
  <c r="O79" i="1" s="1"/>
  <c r="GM79" i="1" s="1"/>
  <c r="S392" i="1"/>
  <c r="CY392" i="1" s="1"/>
  <c r="X392" i="1" s="1"/>
  <c r="T467" i="5" s="1"/>
  <c r="R304" i="5"/>
  <c r="W310" i="5"/>
  <c r="AB175" i="1"/>
  <c r="AF37" i="1"/>
  <c r="S37" i="1" s="1"/>
  <c r="AB31" i="1"/>
  <c r="CZ31" i="1"/>
  <c r="Y31" i="1" s="1"/>
  <c r="CY75" i="1"/>
  <c r="X75" i="1" s="1"/>
  <c r="T61" i="5" s="1"/>
  <c r="K66" i="5" s="1"/>
  <c r="T135" i="1"/>
  <c r="CP134" i="1"/>
  <c r="O134" i="1" s="1"/>
  <c r="K184" i="5" s="1"/>
  <c r="CZ292" i="1"/>
  <c r="Y292" i="1" s="1"/>
  <c r="V302" i="5" s="1"/>
  <c r="K308" i="5" s="1"/>
  <c r="CZ33" i="1"/>
  <c r="Y33" i="1" s="1"/>
  <c r="GN33" i="1" s="1"/>
  <c r="CP178" i="1"/>
  <c r="O178" i="1" s="1"/>
  <c r="K232" i="5" s="1"/>
  <c r="CP293" i="1"/>
  <c r="O293" i="1" s="1"/>
  <c r="GN293" i="1" s="1"/>
  <c r="T392" i="1"/>
  <c r="CY390" i="1"/>
  <c r="X390" i="1" s="1"/>
  <c r="T457" i="5" s="1"/>
  <c r="H76" i="5"/>
  <c r="O80" i="5" s="1"/>
  <c r="CR171" i="1"/>
  <c r="Q171" i="1" s="1"/>
  <c r="H196" i="5"/>
  <c r="W201" i="5" s="1"/>
  <c r="S119" i="5"/>
  <c r="H433" i="5"/>
  <c r="O437" i="5" s="1"/>
  <c r="Q84" i="1"/>
  <c r="R178" i="1"/>
  <c r="CZ178" i="1" s="1"/>
  <c r="Y178" i="1" s="1"/>
  <c r="V232" i="5" s="1"/>
  <c r="R90" i="5"/>
  <c r="W96" i="5"/>
  <c r="S467" i="5"/>
  <c r="CZ377" i="1"/>
  <c r="Y377" i="1" s="1"/>
  <c r="V396" i="5" s="1"/>
  <c r="K403" i="5" s="1"/>
  <c r="K400" i="5"/>
  <c r="GN334" i="1"/>
  <c r="GM334" i="1"/>
  <c r="GN255" i="1"/>
  <c r="GM255" i="1"/>
  <c r="CY30" i="1"/>
  <c r="X30" i="1" s="1"/>
  <c r="CZ30" i="1"/>
  <c r="Y30" i="1" s="1"/>
  <c r="AI26" i="1"/>
  <c r="V37" i="1"/>
  <c r="U83" i="1"/>
  <c r="GX83" i="1"/>
  <c r="AC37" i="1"/>
  <c r="S131" i="1"/>
  <c r="W131" i="1"/>
  <c r="BZ73" i="1"/>
  <c r="CG89" i="1"/>
  <c r="AQ89" i="1"/>
  <c r="GN124" i="1"/>
  <c r="GM124" i="1"/>
  <c r="F352" i="1"/>
  <c r="BB331" i="1"/>
  <c r="CR77" i="1"/>
  <c r="Q77" i="1" s="1"/>
  <c r="CP77" i="1" s="1"/>
  <c r="O77" i="1" s="1"/>
  <c r="K78" i="5" s="1"/>
  <c r="AB77" i="1"/>
  <c r="GM85" i="1"/>
  <c r="GP85" i="1"/>
  <c r="Q131" i="1"/>
  <c r="P131" i="1"/>
  <c r="CP133" i="1"/>
  <c r="O133" i="1" s="1"/>
  <c r="K183" i="5" s="1"/>
  <c r="CP179" i="1"/>
  <c r="O179" i="1" s="1"/>
  <c r="K233" i="5" s="1"/>
  <c r="AB181" i="1"/>
  <c r="CZ337" i="1"/>
  <c r="Y337" i="1" s="1"/>
  <c r="CY337" i="1"/>
  <c r="X337" i="1" s="1"/>
  <c r="AO371" i="1"/>
  <c r="F398" i="1"/>
  <c r="V83" i="1"/>
  <c r="U131" i="1"/>
  <c r="GM294" i="1"/>
  <c r="GN294" i="1"/>
  <c r="AO331" i="1"/>
  <c r="F343" i="1"/>
  <c r="AO424" i="1"/>
  <c r="CY375" i="1"/>
  <c r="X375" i="1" s="1"/>
  <c r="T385" i="5" s="1"/>
  <c r="CZ375" i="1"/>
  <c r="Y375" i="1" s="1"/>
  <c r="V385" i="5" s="1"/>
  <c r="GM384" i="1"/>
  <c r="GN384" i="1"/>
  <c r="F59" i="1"/>
  <c r="U26" i="1"/>
  <c r="BC73" i="1"/>
  <c r="BC213" i="1"/>
  <c r="BC454" i="1" s="1"/>
  <c r="F105" i="1"/>
  <c r="S258" i="1"/>
  <c r="AF249" i="1"/>
  <c r="BB249" i="1"/>
  <c r="BB424" i="1"/>
  <c r="F271" i="1"/>
  <c r="GP295" i="1"/>
  <c r="CD299" i="1" s="1"/>
  <c r="GM295" i="1"/>
  <c r="BY249" i="1"/>
  <c r="AP258" i="1"/>
  <c r="CI258" i="1"/>
  <c r="F317" i="1"/>
  <c r="AT290" i="1"/>
  <c r="AD258" i="1"/>
  <c r="AC299" i="1"/>
  <c r="AK249" i="1"/>
  <c r="X258" i="1"/>
  <c r="CP337" i="1"/>
  <c r="O337" i="1" s="1"/>
  <c r="CZ387" i="1"/>
  <c r="Y387" i="1" s="1"/>
  <c r="V445" i="5" s="1"/>
  <c r="CY387" i="1"/>
  <c r="X387" i="1" s="1"/>
  <c r="GN128" i="1"/>
  <c r="CI290" i="1"/>
  <c r="AZ299" i="1"/>
  <c r="T37" i="1"/>
  <c r="AG26" i="1"/>
  <c r="AE37" i="1"/>
  <c r="GM34" i="1"/>
  <c r="HD34" i="1" s="1"/>
  <c r="GN34" i="1"/>
  <c r="AP26" i="1"/>
  <c r="F46" i="1"/>
  <c r="S87" i="1"/>
  <c r="GX87" i="1"/>
  <c r="U87" i="1"/>
  <c r="BZ26" i="1"/>
  <c r="CG37" i="1"/>
  <c r="CI37" i="1"/>
  <c r="AQ37" i="1"/>
  <c r="W135" i="1"/>
  <c r="S135" i="1"/>
  <c r="V87" i="1"/>
  <c r="T131" i="1"/>
  <c r="AG137" i="1" s="1"/>
  <c r="CZ29" i="1"/>
  <c r="Y29" i="1" s="1"/>
  <c r="W83" i="1"/>
  <c r="V131" i="1"/>
  <c r="R135" i="1"/>
  <c r="BD69" i="1"/>
  <c r="F238" i="1"/>
  <c r="GX131" i="1"/>
  <c r="AB133" i="1"/>
  <c r="CZ180" i="1"/>
  <c r="Y180" i="1" s="1"/>
  <c r="V234" i="5" s="1"/>
  <c r="CY180" i="1"/>
  <c r="X180" i="1" s="1"/>
  <c r="AQ299" i="1"/>
  <c r="AQ424" i="1" s="1"/>
  <c r="BZ290" i="1"/>
  <c r="CG299" i="1"/>
  <c r="T87" i="1"/>
  <c r="BZ121" i="1"/>
  <c r="AQ137" i="1"/>
  <c r="CG137" i="1"/>
  <c r="GX135" i="1"/>
  <c r="CZ173" i="1"/>
  <c r="Y173" i="1" s="1"/>
  <c r="V210" i="5" s="1"/>
  <c r="BA299" i="1"/>
  <c r="CJ290" i="1"/>
  <c r="CG331" i="1"/>
  <c r="AX339" i="1"/>
  <c r="BB371" i="1"/>
  <c r="F407" i="1"/>
  <c r="CP126" i="1"/>
  <c r="O126" i="1" s="1"/>
  <c r="K145" i="5" s="1"/>
  <c r="CZ179" i="1"/>
  <c r="Y179" i="1" s="1"/>
  <c r="BC245" i="1"/>
  <c r="F440" i="1"/>
  <c r="BY371" i="1"/>
  <c r="AP394" i="1"/>
  <c r="CI394" i="1"/>
  <c r="AI290" i="1"/>
  <c r="V299" i="1"/>
  <c r="GM296" i="1"/>
  <c r="CP375" i="1"/>
  <c r="O375" i="1" s="1"/>
  <c r="CY377" i="1"/>
  <c r="X377" i="1" s="1"/>
  <c r="R388" i="1"/>
  <c r="U258" i="1"/>
  <c r="AH249" i="1"/>
  <c r="AT394" i="1"/>
  <c r="CC371" i="1"/>
  <c r="CY379" i="1"/>
  <c r="X379" i="1" s="1"/>
  <c r="T407" i="5" s="1"/>
  <c r="K411" i="5" s="1"/>
  <c r="CZ379" i="1"/>
  <c r="Y379" i="1" s="1"/>
  <c r="V407" i="5" s="1"/>
  <c r="K412" i="5" s="1"/>
  <c r="BC371" i="1"/>
  <c r="F410" i="1"/>
  <c r="W87" i="1"/>
  <c r="AD299" i="1"/>
  <c r="Q376" i="1"/>
  <c r="CP391" i="1"/>
  <c r="O391" i="1" s="1"/>
  <c r="K466" i="5" s="1"/>
  <c r="T388" i="1"/>
  <c r="AO26" i="1"/>
  <c r="F41" i="1"/>
  <c r="AO454" i="1"/>
  <c r="BC26" i="1"/>
  <c r="F53" i="1"/>
  <c r="AT26" i="1"/>
  <c r="F55" i="1"/>
  <c r="AK37" i="1"/>
  <c r="CY32" i="1"/>
  <c r="X32" i="1" s="1"/>
  <c r="CZ32" i="1"/>
  <c r="Y32" i="1" s="1"/>
  <c r="GM31" i="1"/>
  <c r="GN31" i="1"/>
  <c r="AU26" i="1"/>
  <c r="F56" i="1"/>
  <c r="CP32" i="1"/>
  <c r="O32" i="1" s="1"/>
  <c r="W37" i="1"/>
  <c r="AJ26" i="1"/>
  <c r="P83" i="1"/>
  <c r="CP83" i="1" s="1"/>
  <c r="O83" i="1" s="1"/>
  <c r="K115" i="5" s="1"/>
  <c r="S83" i="1"/>
  <c r="AQ183" i="1"/>
  <c r="BZ169" i="1"/>
  <c r="CG183" i="1"/>
  <c r="AQ249" i="1"/>
  <c r="F268" i="1"/>
  <c r="CC73" i="1"/>
  <c r="AT89" i="1"/>
  <c r="AC137" i="1"/>
  <c r="GN125" i="1"/>
  <c r="GM125" i="1"/>
  <c r="CZ132" i="1"/>
  <c r="Y132" i="1" s="1"/>
  <c r="V182" i="5" s="1"/>
  <c r="CY132" i="1"/>
  <c r="X132" i="1" s="1"/>
  <c r="T182" i="5" s="1"/>
  <c r="BB290" i="1"/>
  <c r="F312" i="1"/>
  <c r="R83" i="1"/>
  <c r="CP132" i="1"/>
  <c r="O132" i="1" s="1"/>
  <c r="K182" i="5" s="1"/>
  <c r="AC258" i="1"/>
  <c r="CP251" i="1"/>
  <c r="O251" i="1" s="1"/>
  <c r="BY331" i="1"/>
  <c r="AP339" i="1"/>
  <c r="CI339" i="1"/>
  <c r="CY380" i="1"/>
  <c r="X380" i="1" s="1"/>
  <c r="T414" i="5" s="1"/>
  <c r="CZ380" i="1"/>
  <c r="Y380" i="1" s="1"/>
  <c r="V414" i="5" s="1"/>
  <c r="AP73" i="1"/>
  <c r="F98" i="1"/>
  <c r="AP213" i="1"/>
  <c r="AI249" i="1"/>
  <c r="V258" i="1"/>
  <c r="GN256" i="1"/>
  <c r="GM256" i="1"/>
  <c r="HD256" i="1" s="1"/>
  <c r="CM258" i="1" s="1"/>
  <c r="T382" i="1"/>
  <c r="V382" i="1"/>
  <c r="F404" i="1"/>
  <c r="AQ371" i="1"/>
  <c r="AP169" i="1"/>
  <c r="F192" i="1"/>
  <c r="BD290" i="1"/>
  <c r="F324" i="1"/>
  <c r="P376" i="1"/>
  <c r="R382" i="1"/>
  <c r="CZ382" i="1" s="1"/>
  <c r="Y382" i="1" s="1"/>
  <c r="V424" i="5" s="1"/>
  <c r="AX394" i="1"/>
  <c r="CG371" i="1"/>
  <c r="BB169" i="1"/>
  <c r="F196" i="1"/>
  <c r="CP253" i="1"/>
  <c r="O253" i="1" s="1"/>
  <c r="CP378" i="1"/>
  <c r="O378" i="1" s="1"/>
  <c r="K405" i="5" s="1"/>
  <c r="CC121" i="1"/>
  <c r="AT137" i="1"/>
  <c r="AC183" i="1"/>
  <c r="R376" i="1"/>
  <c r="S376" i="1"/>
  <c r="U299" i="1"/>
  <c r="AH290" i="1"/>
  <c r="AB33" i="1"/>
  <c r="BA37" i="1"/>
  <c r="CJ26" i="1"/>
  <c r="GN35" i="1"/>
  <c r="CP30" i="1"/>
  <c r="O30" i="1" s="1"/>
  <c r="CZ79" i="1"/>
  <c r="Y79" i="1" s="1"/>
  <c r="V81" i="5" s="1"/>
  <c r="K85" i="5" s="1"/>
  <c r="CY79" i="1"/>
  <c r="X79" i="1" s="1"/>
  <c r="T81" i="5" s="1"/>
  <c r="K84" i="5" s="1"/>
  <c r="J87" i="5" s="1"/>
  <c r="P87" i="5" s="1"/>
  <c r="Q87" i="1"/>
  <c r="BB213" i="1"/>
  <c r="R131" i="1"/>
  <c r="AE137" i="1" s="1"/>
  <c r="CZ134" i="1"/>
  <c r="Y134" i="1" s="1"/>
  <c r="V184" i="5" s="1"/>
  <c r="CY134" i="1"/>
  <c r="X134" i="1" s="1"/>
  <c r="V135" i="1"/>
  <c r="F364" i="1"/>
  <c r="BD331" i="1"/>
  <c r="P87" i="1"/>
  <c r="CI89" i="1"/>
  <c r="AB131" i="1"/>
  <c r="AB179" i="1"/>
  <c r="CC331" i="1"/>
  <c r="AT339" i="1"/>
  <c r="Q382" i="1"/>
  <c r="Q83" i="1"/>
  <c r="AB135" i="1"/>
  <c r="CJ249" i="1"/>
  <c r="BA258" i="1"/>
  <c r="AB294" i="1"/>
  <c r="AB297" i="1"/>
  <c r="CZ75" i="1"/>
  <c r="Y75" i="1" s="1"/>
  <c r="V61" i="5" s="1"/>
  <c r="K67" i="5" s="1"/>
  <c r="AJ249" i="1"/>
  <c r="W258" i="1"/>
  <c r="AG290" i="1"/>
  <c r="T299" i="1"/>
  <c r="T381" i="1"/>
  <c r="S381" i="1"/>
  <c r="T83" i="1"/>
  <c r="CI183" i="1"/>
  <c r="AE249" i="1"/>
  <c r="R258" i="1"/>
  <c r="AT249" i="1"/>
  <c r="F276" i="1"/>
  <c r="U376" i="1"/>
  <c r="AH394" i="1" s="1"/>
  <c r="BY121" i="1"/>
  <c r="AP137" i="1"/>
  <c r="CI137" i="1"/>
  <c r="AQ331" i="1"/>
  <c r="F349" i="1"/>
  <c r="W376" i="1"/>
  <c r="P381" i="1"/>
  <c r="GN386" i="1"/>
  <c r="GM386" i="1"/>
  <c r="CY391" i="1"/>
  <c r="X391" i="1" s="1"/>
  <c r="T466" i="5" s="1"/>
  <c r="CZ391" i="1"/>
  <c r="Y391" i="1" s="1"/>
  <c r="V466" i="5" s="1"/>
  <c r="V392" i="1"/>
  <c r="CR76" i="1"/>
  <c r="Q76" i="1" s="1"/>
  <c r="AB76" i="1"/>
  <c r="U135" i="1"/>
  <c r="GM374" i="1"/>
  <c r="HD374" i="1" s="1"/>
  <c r="CM394" i="1" s="1"/>
  <c r="GN374" i="1"/>
  <c r="V376" i="1"/>
  <c r="AP290" i="1"/>
  <c r="F308" i="1"/>
  <c r="P392" i="1"/>
  <c r="P382" i="1"/>
  <c r="CP382" i="1" s="1"/>
  <c r="O382" i="1" s="1"/>
  <c r="K424" i="5" s="1"/>
  <c r="CP388" i="1" l="1"/>
  <c r="O388" i="1" s="1"/>
  <c r="K454" i="5" s="1"/>
  <c r="GP389" i="1"/>
  <c r="GM389" i="1"/>
  <c r="CZ388" i="1"/>
  <c r="Y388" i="1" s="1"/>
  <c r="V454" i="5" s="1"/>
  <c r="K452" i="5" s="1"/>
  <c r="W437" i="5"/>
  <c r="CJ394" i="1"/>
  <c r="BA394" i="1" s="1"/>
  <c r="W395" i="5"/>
  <c r="W368" i="5"/>
  <c r="J356" i="5"/>
  <c r="P356" i="5" s="1"/>
  <c r="BA339" i="1"/>
  <c r="W339" i="1"/>
  <c r="CP336" i="1"/>
  <c r="O336" i="1" s="1"/>
  <c r="AL299" i="1"/>
  <c r="L334" i="5"/>
  <c r="CY178" i="1"/>
  <c r="X178" i="1" s="1"/>
  <c r="T232" i="5" s="1"/>
  <c r="CJ183" i="1"/>
  <c r="AI183" i="1"/>
  <c r="AI169" i="1" s="1"/>
  <c r="H229" i="5"/>
  <c r="W236" i="5" s="1"/>
  <c r="CY181" i="1"/>
  <c r="X181" i="1" s="1"/>
  <c r="T235" i="5" s="1"/>
  <c r="AJ183" i="1"/>
  <c r="W183" i="1" s="1"/>
  <c r="AE183" i="1"/>
  <c r="AE169" i="1" s="1"/>
  <c r="J221" i="5"/>
  <c r="P221" i="5" s="1"/>
  <c r="GP174" i="1"/>
  <c r="V183" i="1"/>
  <c r="F206" i="1" s="1"/>
  <c r="J153" i="5"/>
  <c r="P153" i="5" s="1"/>
  <c r="GM33" i="1"/>
  <c r="BA183" i="1"/>
  <c r="CJ169" i="1"/>
  <c r="AG169" i="1"/>
  <c r="T183" i="1"/>
  <c r="V116" i="5"/>
  <c r="S299" i="1"/>
  <c r="AF290" i="1"/>
  <c r="L122" i="5"/>
  <c r="L242" i="5"/>
  <c r="AH331" i="1"/>
  <c r="AH137" i="1"/>
  <c r="AH121" i="1" s="1"/>
  <c r="F217" i="1"/>
  <c r="AO69" i="1"/>
  <c r="AT169" i="1"/>
  <c r="R299" i="1"/>
  <c r="CP376" i="1"/>
  <c r="O376" i="1" s="1"/>
  <c r="K394" i="5" s="1"/>
  <c r="AI89" i="1"/>
  <c r="AI73" i="1" s="1"/>
  <c r="W186" i="5"/>
  <c r="L474" i="5"/>
  <c r="L477" i="5"/>
  <c r="K208" i="5"/>
  <c r="J212" i="5" s="1"/>
  <c r="P212" i="5" s="1"/>
  <c r="GN254" i="1"/>
  <c r="GM254" i="1"/>
  <c r="GM129" i="1"/>
  <c r="GN129" i="1"/>
  <c r="GN297" i="1"/>
  <c r="W120" i="5"/>
  <c r="AH169" i="1"/>
  <c r="U183" i="1"/>
  <c r="J332" i="5"/>
  <c r="P332" i="5" s="1"/>
  <c r="J171" i="5"/>
  <c r="P171" i="5" s="1"/>
  <c r="F279" i="1"/>
  <c r="T249" i="1"/>
  <c r="GN81" i="1"/>
  <c r="T97" i="5"/>
  <c r="K102" i="5" s="1"/>
  <c r="J105" i="5" s="1"/>
  <c r="P105" i="5" s="1"/>
  <c r="K342" i="5"/>
  <c r="J347" i="5" s="1"/>
  <c r="P347" i="5" s="1"/>
  <c r="CP333" i="1"/>
  <c r="O333" i="1" s="1"/>
  <c r="AD339" i="1"/>
  <c r="CP123" i="1"/>
  <c r="O123" i="1" s="1"/>
  <c r="GM123" i="1" s="1"/>
  <c r="K316" i="5"/>
  <c r="J321" i="5" s="1"/>
  <c r="P321" i="5" s="1"/>
  <c r="S183" i="1"/>
  <c r="S169" i="1" s="1"/>
  <c r="GM297" i="1"/>
  <c r="CZ392" i="1"/>
  <c r="Y392" i="1" s="1"/>
  <c r="V467" i="5" s="1"/>
  <c r="AB299" i="1"/>
  <c r="O299" i="1" s="1"/>
  <c r="GN173" i="1"/>
  <c r="AK339" i="1"/>
  <c r="AK331" i="1" s="1"/>
  <c r="T367" i="5"/>
  <c r="K363" i="5" s="1"/>
  <c r="AF26" i="1"/>
  <c r="K464" i="5"/>
  <c r="GM385" i="1"/>
  <c r="K433" i="5"/>
  <c r="K33" i="5"/>
  <c r="J39" i="5" s="1"/>
  <c r="P39" i="5" s="1"/>
  <c r="AD37" i="1"/>
  <c r="GM29" i="1"/>
  <c r="V40" i="5"/>
  <c r="K44" i="5" s="1"/>
  <c r="J46" i="5" s="1"/>
  <c r="P46" i="5" s="1"/>
  <c r="F277" i="1"/>
  <c r="AU249" i="1"/>
  <c r="K196" i="5"/>
  <c r="CP171" i="1"/>
  <c r="O171" i="1" s="1"/>
  <c r="J201" i="5"/>
  <c r="P201" i="5" s="1"/>
  <c r="CP76" i="1"/>
  <c r="O76" i="1" s="1"/>
  <c r="K72" i="5"/>
  <c r="J80" i="5" s="1"/>
  <c r="P80" i="5" s="1"/>
  <c r="GM178" i="1"/>
  <c r="W425" i="5"/>
  <c r="AH89" i="1"/>
  <c r="AH73" i="1" s="1"/>
  <c r="J310" i="5"/>
  <c r="P310" i="5" s="1"/>
  <c r="CP176" i="1"/>
  <c r="O176" i="1" s="1"/>
  <c r="CP392" i="1"/>
  <c r="O392" i="1" s="1"/>
  <c r="K467" i="5" s="1"/>
  <c r="AJ394" i="1"/>
  <c r="AJ371" i="1" s="1"/>
  <c r="CP373" i="1"/>
  <c r="O373" i="1" s="1"/>
  <c r="GM373" i="1" s="1"/>
  <c r="AD394" i="1"/>
  <c r="AD371" i="1" s="1"/>
  <c r="GN292" i="1"/>
  <c r="GM173" i="1"/>
  <c r="CH339" i="1"/>
  <c r="AY339" i="1" s="1"/>
  <c r="V367" i="5"/>
  <c r="T426" i="5"/>
  <c r="K432" i="5" s="1"/>
  <c r="CP82" i="1"/>
  <c r="O82" i="1" s="1"/>
  <c r="CP80" i="1"/>
  <c r="O80" i="1" s="1"/>
  <c r="K64" i="5"/>
  <c r="J69" i="5" s="1"/>
  <c r="P69" i="5" s="1"/>
  <c r="CP75" i="1"/>
  <c r="O75" i="1" s="1"/>
  <c r="GN75" i="1" s="1"/>
  <c r="CP387" i="1"/>
  <c r="O387" i="1" s="1"/>
  <c r="GM387" i="1" s="1"/>
  <c r="K448" i="5"/>
  <c r="W80" i="5"/>
  <c r="GM292" i="1"/>
  <c r="AF339" i="1"/>
  <c r="S339" i="1" s="1"/>
  <c r="CP380" i="1"/>
  <c r="O380" i="1" s="1"/>
  <c r="CF339" i="1"/>
  <c r="AW339" i="1" s="1"/>
  <c r="AJ137" i="1"/>
  <c r="AJ121" i="1" s="1"/>
  <c r="CP252" i="1"/>
  <c r="O252" i="1" s="1"/>
  <c r="J162" i="5"/>
  <c r="P162" i="5" s="1"/>
  <c r="GM180" i="1"/>
  <c r="T234" i="5"/>
  <c r="W456" i="5"/>
  <c r="K229" i="5"/>
  <c r="GN178" i="1"/>
  <c r="AE89" i="1"/>
  <c r="AE73" i="1" s="1"/>
  <c r="GM293" i="1"/>
  <c r="CA299" i="1" s="1"/>
  <c r="AL258" i="1"/>
  <c r="Y258" i="1" s="1"/>
  <c r="AI137" i="1"/>
  <c r="AI121" i="1" s="1"/>
  <c r="CY382" i="1"/>
  <c r="X382" i="1" s="1"/>
  <c r="T424" i="5" s="1"/>
  <c r="CE339" i="1"/>
  <c r="V339" i="1"/>
  <c r="AI331" i="1"/>
  <c r="K76" i="5"/>
  <c r="AG331" i="1"/>
  <c r="T339" i="1"/>
  <c r="K429" i="5"/>
  <c r="CP383" i="1"/>
  <c r="O383" i="1" s="1"/>
  <c r="GM383" i="1" s="1"/>
  <c r="CJ89" i="1"/>
  <c r="BA89" i="1" s="1"/>
  <c r="K463" i="5"/>
  <c r="W290" i="1"/>
  <c r="F323" i="1"/>
  <c r="CZ336" i="1"/>
  <c r="Y336" i="1" s="1"/>
  <c r="V366" i="5" s="1"/>
  <c r="AE339" i="1"/>
  <c r="GM335" i="1"/>
  <c r="AD183" i="1"/>
  <c r="Q183" i="1" s="1"/>
  <c r="AG89" i="1"/>
  <c r="GM78" i="1"/>
  <c r="P339" i="1"/>
  <c r="P331" i="1" s="1"/>
  <c r="GM81" i="1"/>
  <c r="V97" i="5"/>
  <c r="K103" i="5" s="1"/>
  <c r="K207" i="5"/>
  <c r="CY177" i="1"/>
  <c r="X177" i="1" s="1"/>
  <c r="AK183" i="1" s="1"/>
  <c r="K408" i="5"/>
  <c r="J413" i="5" s="1"/>
  <c r="P413" i="5" s="1"/>
  <c r="CP379" i="1"/>
  <c r="O379" i="1" s="1"/>
  <c r="GM172" i="1"/>
  <c r="J257" i="5"/>
  <c r="P257" i="5" s="1"/>
  <c r="AX249" i="1"/>
  <c r="F265" i="1"/>
  <c r="GP134" i="1"/>
  <c r="T184" i="5"/>
  <c r="AG394" i="1"/>
  <c r="T394" i="1" s="1"/>
  <c r="CY84" i="1"/>
  <c r="X84" i="1" s="1"/>
  <c r="T116" i="5" s="1"/>
  <c r="AL183" i="1"/>
  <c r="Y183" i="1" s="1"/>
  <c r="V233" i="5"/>
  <c r="GP78" i="1"/>
  <c r="CP131" i="1"/>
  <c r="O131" i="1" s="1"/>
  <c r="K181" i="5" s="1"/>
  <c r="W468" i="5"/>
  <c r="T445" i="5"/>
  <c r="GN127" i="1"/>
  <c r="GM127" i="1"/>
  <c r="CZ86" i="1"/>
  <c r="Y86" i="1" s="1"/>
  <c r="V118" i="5" s="1"/>
  <c r="CY86" i="1"/>
  <c r="X86" i="1" s="1"/>
  <c r="CP87" i="1"/>
  <c r="O87" i="1" s="1"/>
  <c r="K119" i="5" s="1"/>
  <c r="AK299" i="1"/>
  <c r="X299" i="1" s="1"/>
  <c r="AD137" i="1"/>
  <c r="Q137" i="1" s="1"/>
  <c r="GP385" i="1"/>
  <c r="K460" i="5"/>
  <c r="CP390" i="1"/>
  <c r="O390" i="1" s="1"/>
  <c r="GM175" i="1"/>
  <c r="J285" i="5"/>
  <c r="P285" i="5" s="1"/>
  <c r="GM377" i="1"/>
  <c r="T396" i="5"/>
  <c r="K402" i="5" s="1"/>
  <c r="J406" i="5" s="1"/>
  <c r="P406" i="5" s="1"/>
  <c r="AG73" i="1"/>
  <c r="T89" i="1"/>
  <c r="GM76" i="1"/>
  <c r="GN76" i="1"/>
  <c r="CI169" i="1"/>
  <c r="AZ183" i="1"/>
  <c r="CZ381" i="1"/>
  <c r="Y381" i="1" s="1"/>
  <c r="V423" i="5" s="1"/>
  <c r="K421" i="5" s="1"/>
  <c r="CY381" i="1"/>
  <c r="X381" i="1" s="1"/>
  <c r="T423" i="5" s="1"/>
  <c r="K420" i="5" s="1"/>
  <c r="J425" i="5" s="1"/>
  <c r="P425" i="5" s="1"/>
  <c r="W249" i="1"/>
  <c r="F282" i="1"/>
  <c r="AT331" i="1"/>
  <c r="F357" i="1"/>
  <c r="GM30" i="1"/>
  <c r="GN30" i="1"/>
  <c r="BA26" i="1"/>
  <c r="F57" i="1"/>
  <c r="F313" i="1"/>
  <c r="R290" i="1"/>
  <c r="CM249" i="1"/>
  <c r="BD258" i="1"/>
  <c r="T169" i="1"/>
  <c r="F204" i="1"/>
  <c r="CI331" i="1"/>
  <c r="AZ339" i="1"/>
  <c r="AQ245" i="1"/>
  <c r="F434" i="1"/>
  <c r="GM32" i="1"/>
  <c r="GN32" i="1"/>
  <c r="BC22" i="1"/>
  <c r="F470" i="1"/>
  <c r="BC484" i="1"/>
  <c r="GN379" i="1"/>
  <c r="GM379" i="1"/>
  <c r="CI371" i="1"/>
  <c r="AZ394" i="1"/>
  <c r="U331" i="1"/>
  <c r="F361" i="1"/>
  <c r="CY135" i="1"/>
  <c r="X135" i="1" s="1"/>
  <c r="T185" i="5" s="1"/>
  <c r="CZ135" i="1"/>
  <c r="Y135" i="1" s="1"/>
  <c r="V185" i="5" s="1"/>
  <c r="AX37" i="1"/>
  <c r="CG26" i="1"/>
  <c r="CY87" i="1"/>
  <c r="X87" i="1" s="1"/>
  <c r="CZ87" i="1"/>
  <c r="Y87" i="1" s="1"/>
  <c r="R37" i="1"/>
  <c r="AE26" i="1"/>
  <c r="GP337" i="1"/>
  <c r="GM337" i="1"/>
  <c r="CF299" i="1"/>
  <c r="AC290" i="1"/>
  <c r="CH299" i="1"/>
  <c r="CE299" i="1"/>
  <c r="P299" i="1"/>
  <c r="GN377" i="1"/>
  <c r="S249" i="1"/>
  <c r="F273" i="1"/>
  <c r="GP180" i="1"/>
  <c r="GM133" i="1"/>
  <c r="GP133" i="1"/>
  <c r="AC26" i="1"/>
  <c r="CF37" i="1"/>
  <c r="CH37" i="1"/>
  <c r="P37" i="1"/>
  <c r="CE37" i="1"/>
  <c r="CM371" i="1"/>
  <c r="BD394" i="1"/>
  <c r="AH371" i="1"/>
  <c r="U394" i="1"/>
  <c r="BA169" i="1"/>
  <c r="F203" i="1"/>
  <c r="AF89" i="1"/>
  <c r="F321" i="1"/>
  <c r="U290" i="1"/>
  <c r="GM380" i="1"/>
  <c r="GN380" i="1"/>
  <c r="AD89" i="1"/>
  <c r="F348" i="1"/>
  <c r="AP331" i="1"/>
  <c r="GN251" i="1"/>
  <c r="GM251" i="1"/>
  <c r="AB258" i="1"/>
  <c r="AC121" i="1"/>
  <c r="CH137" i="1"/>
  <c r="CF137" i="1"/>
  <c r="P137" i="1"/>
  <c r="CE137" i="1"/>
  <c r="AQ169" i="1"/>
  <c r="F193" i="1"/>
  <c r="GN29" i="1"/>
  <c r="Q299" i="1"/>
  <c r="AD290" i="1"/>
  <c r="GM375" i="1"/>
  <c r="GN375" i="1"/>
  <c r="AP371" i="1"/>
  <c r="F403" i="1"/>
  <c r="F346" i="1"/>
  <c r="AX331" i="1"/>
  <c r="CG121" i="1"/>
  <c r="AX137" i="1"/>
  <c r="CG290" i="1"/>
  <c r="AX299" i="1"/>
  <c r="CJ137" i="1"/>
  <c r="AG121" i="1"/>
  <c r="T137" i="1"/>
  <c r="AL37" i="1"/>
  <c r="CE331" i="1"/>
  <c r="AV339" i="1"/>
  <c r="Q258" i="1"/>
  <c r="AD249" i="1"/>
  <c r="BB245" i="1"/>
  <c r="F437" i="1"/>
  <c r="AQ73" i="1"/>
  <c r="F99" i="1"/>
  <c r="AQ213" i="1"/>
  <c r="AQ454" i="1" s="1"/>
  <c r="CY131" i="1"/>
  <c r="X131" i="1" s="1"/>
  <c r="T181" i="5" s="1"/>
  <c r="K178" i="5" s="1"/>
  <c r="AF137" i="1"/>
  <c r="CZ131" i="1"/>
  <c r="Y131" i="1" s="1"/>
  <c r="GM28" i="1"/>
  <c r="GN28" i="1"/>
  <c r="AB37" i="1"/>
  <c r="GM84" i="1"/>
  <c r="GM336" i="1"/>
  <c r="GP336" i="1"/>
  <c r="CP381" i="1"/>
  <c r="O381" i="1" s="1"/>
  <c r="K423" i="5" s="1"/>
  <c r="AZ137" i="1"/>
  <c r="CI121" i="1"/>
  <c r="R249" i="1"/>
  <c r="F272" i="1"/>
  <c r="T290" i="1"/>
  <c r="F320" i="1"/>
  <c r="BA249" i="1"/>
  <c r="F278" i="1"/>
  <c r="GM181" i="1"/>
  <c r="AE121" i="1"/>
  <c r="R137" i="1"/>
  <c r="BA331" i="1"/>
  <c r="F359" i="1"/>
  <c r="CZ376" i="1"/>
  <c r="Y376" i="1" s="1"/>
  <c r="CY376" i="1"/>
  <c r="X376" i="1" s="1"/>
  <c r="GP376" i="1" s="1"/>
  <c r="CF183" i="1"/>
  <c r="AC169" i="1"/>
  <c r="CH183" i="1"/>
  <c r="CE183" i="1"/>
  <c r="P183" i="1"/>
  <c r="GP378" i="1"/>
  <c r="GM378" i="1"/>
  <c r="GN253" i="1"/>
  <c r="GM253" i="1"/>
  <c r="AX371" i="1"/>
  <c r="F401" i="1"/>
  <c r="V249" i="1"/>
  <c r="F281" i="1"/>
  <c r="AP69" i="1"/>
  <c r="F222" i="1"/>
  <c r="AC249" i="1"/>
  <c r="CH258" i="1"/>
  <c r="CF258" i="1"/>
  <c r="P258" i="1"/>
  <c r="CE258" i="1"/>
  <c r="AT73" i="1"/>
  <c r="F107" i="1"/>
  <c r="AT213" i="1"/>
  <c r="CY83" i="1"/>
  <c r="X83" i="1" s="1"/>
  <c r="CZ83" i="1"/>
  <c r="Y83" i="1" s="1"/>
  <c r="V115" i="5" s="1"/>
  <c r="F412" i="1"/>
  <c r="AT371" i="1"/>
  <c r="U249" i="1"/>
  <c r="F280" i="1"/>
  <c r="U424" i="1"/>
  <c r="CY388" i="1"/>
  <c r="X388" i="1" s="1"/>
  <c r="T454" i="5" s="1"/>
  <c r="GP126" i="1"/>
  <c r="GM126" i="1"/>
  <c r="BA290" i="1"/>
  <c r="F319" i="1"/>
  <c r="F147" i="1"/>
  <c r="AQ121" i="1"/>
  <c r="F47" i="1"/>
  <c r="AQ26" i="1"/>
  <c r="GN79" i="1"/>
  <c r="AF394" i="1"/>
  <c r="W331" i="1"/>
  <c r="F363" i="1"/>
  <c r="CI249" i="1"/>
  <c r="AZ258" i="1"/>
  <c r="BC69" i="1"/>
  <c r="F229" i="1"/>
  <c r="Y299" i="1"/>
  <c r="AL290" i="1"/>
  <c r="CG73" i="1"/>
  <c r="AX89" i="1"/>
  <c r="V26" i="1"/>
  <c r="F60" i="1"/>
  <c r="GM134" i="1"/>
  <c r="AI394" i="1"/>
  <c r="AP121" i="1"/>
  <c r="F146" i="1"/>
  <c r="AT424" i="1"/>
  <c r="CI73" i="1"/>
  <c r="AZ89" i="1"/>
  <c r="BB69" i="1"/>
  <c r="F226" i="1"/>
  <c r="BB454" i="1"/>
  <c r="AE394" i="1"/>
  <c r="F155" i="1"/>
  <c r="AT121" i="1"/>
  <c r="GN132" i="1"/>
  <c r="GM132" i="1"/>
  <c r="AC394" i="1"/>
  <c r="CG169" i="1"/>
  <c r="AX183" i="1"/>
  <c r="F61" i="1"/>
  <c r="W26" i="1"/>
  <c r="X37" i="1"/>
  <c r="AK26" i="1"/>
  <c r="AO22" i="1"/>
  <c r="F458" i="1"/>
  <c r="AO484" i="1"/>
  <c r="GM391" i="1"/>
  <c r="GN391" i="1"/>
  <c r="V290" i="1"/>
  <c r="F322" i="1"/>
  <c r="AQ290" i="1"/>
  <c r="F309" i="1"/>
  <c r="AJ89" i="1"/>
  <c r="AC89" i="1"/>
  <c r="CI26" i="1"/>
  <c r="AZ37" i="1"/>
  <c r="CM37" i="1"/>
  <c r="T26" i="1"/>
  <c r="F58" i="1"/>
  <c r="F310" i="1"/>
  <c r="AZ290" i="1"/>
  <c r="F284" i="1"/>
  <c r="X249" i="1"/>
  <c r="AP249" i="1"/>
  <c r="AP424" i="1"/>
  <c r="AP454" i="1" s="1"/>
  <c r="F267" i="1"/>
  <c r="AU299" i="1"/>
  <c r="CD290" i="1"/>
  <c r="F428" i="1"/>
  <c r="AO245" i="1"/>
  <c r="CP135" i="1"/>
  <c r="O135" i="1" s="1"/>
  <c r="GM179" i="1"/>
  <c r="GP179" i="1"/>
  <c r="GN77" i="1"/>
  <c r="GM77" i="1"/>
  <c r="F52" i="1"/>
  <c r="S26" i="1"/>
  <c r="GN387" i="1" l="1"/>
  <c r="CJ371" i="1"/>
  <c r="K451" i="5"/>
  <c r="GM382" i="1"/>
  <c r="GP382" i="1"/>
  <c r="AG371" i="1"/>
  <c r="W394" i="1"/>
  <c r="W424" i="1" s="1"/>
  <c r="Q394" i="1"/>
  <c r="F406" i="1" s="1"/>
  <c r="F342" i="1"/>
  <c r="AF331" i="1"/>
  <c r="X339" i="1"/>
  <c r="X331" i="1" s="1"/>
  <c r="CH331" i="1"/>
  <c r="CF331" i="1"/>
  <c r="K364" i="5"/>
  <c r="J368" i="5" s="1"/>
  <c r="P368" i="5" s="1"/>
  <c r="M369" i="5" s="1"/>
  <c r="AK290" i="1"/>
  <c r="CB299" i="1"/>
  <c r="AB290" i="1"/>
  <c r="F207" i="1"/>
  <c r="W169" i="1"/>
  <c r="V169" i="1"/>
  <c r="AJ169" i="1"/>
  <c r="CD183" i="1"/>
  <c r="R183" i="1"/>
  <c r="R169" i="1" s="1"/>
  <c r="GN181" i="1"/>
  <c r="F197" i="1"/>
  <c r="AD169" i="1"/>
  <c r="F198" i="1"/>
  <c r="W137" i="1"/>
  <c r="U137" i="1"/>
  <c r="J54" i="5"/>
  <c r="CA37" i="1"/>
  <c r="J468" i="5"/>
  <c r="P468" i="5" s="1"/>
  <c r="GN80" i="1"/>
  <c r="GM80" i="1"/>
  <c r="AD331" i="1"/>
  <c r="Q339" i="1"/>
  <c r="GN390" i="1"/>
  <c r="GM390" i="1"/>
  <c r="AL137" i="1"/>
  <c r="Y137" i="1" s="1"/>
  <c r="V181" i="5"/>
  <c r="K179" i="5" s="1"/>
  <c r="J186" i="5" s="1"/>
  <c r="P186" i="5" s="1"/>
  <c r="J188" i="5" s="1"/>
  <c r="AB89" i="1"/>
  <c r="AB73" i="1" s="1"/>
  <c r="V137" i="1"/>
  <c r="F160" i="1" s="1"/>
  <c r="T231" i="5"/>
  <c r="K228" i="5" s="1"/>
  <c r="J236" i="5" s="1"/>
  <c r="P236" i="5" s="1"/>
  <c r="J238" i="5" s="1"/>
  <c r="GM177" i="1"/>
  <c r="CA183" i="1" s="1"/>
  <c r="AR183" i="1" s="1"/>
  <c r="GN177" i="1"/>
  <c r="GN82" i="1"/>
  <c r="GM82" i="1"/>
  <c r="R89" i="1"/>
  <c r="R73" i="1" s="1"/>
  <c r="GN176" i="1"/>
  <c r="GM176" i="1"/>
  <c r="AB137" i="1"/>
  <c r="O137" i="1" s="1"/>
  <c r="K185" i="5"/>
  <c r="GN383" i="1"/>
  <c r="U89" i="1"/>
  <c r="U73" i="1" s="1"/>
  <c r="T331" i="1"/>
  <c r="F360" i="1"/>
  <c r="GN83" i="1"/>
  <c r="T115" i="5"/>
  <c r="Q37" i="1"/>
  <c r="AD26" i="1"/>
  <c r="S290" i="1"/>
  <c r="F314" i="1"/>
  <c r="GM392" i="1"/>
  <c r="GN373" i="1"/>
  <c r="CB394" i="1" s="1"/>
  <c r="GP392" i="1"/>
  <c r="GN252" i="1"/>
  <c r="GM252" i="1"/>
  <c r="CA258" i="1" s="1"/>
  <c r="AL339" i="1"/>
  <c r="CD394" i="1"/>
  <c r="CD371" i="1" s="1"/>
  <c r="AB394" i="1"/>
  <c r="O394" i="1" s="1"/>
  <c r="J437" i="5"/>
  <c r="P437" i="5" s="1"/>
  <c r="CJ73" i="1"/>
  <c r="AB183" i="1"/>
  <c r="GM171" i="1"/>
  <c r="GN171" i="1"/>
  <c r="U169" i="1"/>
  <c r="F205" i="1"/>
  <c r="GN84" i="1"/>
  <c r="GN333" i="1"/>
  <c r="CB339" i="1" s="1"/>
  <c r="AS339" i="1" s="1"/>
  <c r="GM333" i="1"/>
  <c r="CA339" i="1" s="1"/>
  <c r="AB339" i="1"/>
  <c r="AL89" i="1"/>
  <c r="AL73" i="1" s="1"/>
  <c r="GM75" i="1"/>
  <c r="CA89" i="1" s="1"/>
  <c r="V89" i="1"/>
  <c r="GN123" i="1"/>
  <c r="CB137" i="1" s="1"/>
  <c r="T118" i="5"/>
  <c r="GP86" i="1"/>
  <c r="CD89" i="1" s="1"/>
  <c r="AU89" i="1" s="1"/>
  <c r="GM86" i="1"/>
  <c r="GM83" i="1"/>
  <c r="AL249" i="1"/>
  <c r="AL169" i="1"/>
  <c r="AD121" i="1"/>
  <c r="V331" i="1"/>
  <c r="F362" i="1"/>
  <c r="J456" i="5"/>
  <c r="P456" i="5" s="1"/>
  <c r="J297" i="5"/>
  <c r="J334" i="5"/>
  <c r="AK394" i="1"/>
  <c r="AK371" i="1" s="1"/>
  <c r="T394" i="5"/>
  <c r="K391" i="5" s="1"/>
  <c r="J395" i="5" s="1"/>
  <c r="P395" i="5" s="1"/>
  <c r="GN87" i="1"/>
  <c r="CB89" i="1" s="1"/>
  <c r="V119" i="5"/>
  <c r="K113" i="5" s="1"/>
  <c r="R339" i="1"/>
  <c r="AE331" i="1"/>
  <c r="AL394" i="1"/>
  <c r="AL371" i="1" s="1"/>
  <c r="V394" i="5"/>
  <c r="K392" i="5" s="1"/>
  <c r="AK89" i="1"/>
  <c r="X89" i="1" s="1"/>
  <c r="T119" i="5"/>
  <c r="AP22" i="1"/>
  <c r="F463" i="1"/>
  <c r="G16" i="2" s="1"/>
  <c r="G18" i="2" s="1"/>
  <c r="AP484" i="1"/>
  <c r="AW258" i="1"/>
  <c r="CF249" i="1"/>
  <c r="AY183" i="1"/>
  <c r="CH169" i="1"/>
  <c r="CD339" i="1"/>
  <c r="CB37" i="1"/>
  <c r="AK137" i="1"/>
  <c r="GN131" i="1"/>
  <c r="F344" i="1"/>
  <c r="AV331" i="1"/>
  <c r="AX121" i="1"/>
  <c r="F144" i="1"/>
  <c r="AY137" i="1"/>
  <c r="CH121" i="1"/>
  <c r="CB258" i="1"/>
  <c r="F325" i="1"/>
  <c r="X290" i="1"/>
  <c r="BD371" i="1"/>
  <c r="F419" i="1"/>
  <c r="AW37" i="1"/>
  <c r="CF26" i="1"/>
  <c r="CE290" i="1"/>
  <c r="AV299" i="1"/>
  <c r="AX26" i="1"/>
  <c r="F44" i="1"/>
  <c r="AC73" i="1"/>
  <c r="CF89" i="1"/>
  <c r="CE89" i="1"/>
  <c r="P89" i="1"/>
  <c r="CH89" i="1"/>
  <c r="Q169" i="1"/>
  <c r="F195" i="1"/>
  <c r="F190" i="1"/>
  <c r="AX169" i="1"/>
  <c r="AX73" i="1"/>
  <c r="AX213" i="1"/>
  <c r="F96" i="1"/>
  <c r="AQ22" i="1"/>
  <c r="F464" i="1"/>
  <c r="AQ484" i="1"/>
  <c r="CD137" i="1"/>
  <c r="AY258" i="1"/>
  <c r="CH249" i="1"/>
  <c r="CA26" i="1"/>
  <c r="AR37" i="1"/>
  <c r="AQ69" i="1"/>
  <c r="F223" i="1"/>
  <c r="GM131" i="1"/>
  <c r="CJ121" i="1"/>
  <c r="BA137" i="1"/>
  <c r="BA213" i="1" s="1"/>
  <c r="CE121" i="1"/>
  <c r="AV137" i="1"/>
  <c r="F416" i="1"/>
  <c r="U371" i="1"/>
  <c r="CE26" i="1"/>
  <c r="AV37" i="1"/>
  <c r="AY299" i="1"/>
  <c r="CH290" i="1"/>
  <c r="AW331" i="1"/>
  <c r="F345" i="1"/>
  <c r="R26" i="1"/>
  <c r="F51" i="1"/>
  <c r="BC18" i="1"/>
  <c r="F500" i="1"/>
  <c r="GM376" i="1"/>
  <c r="Y169" i="1"/>
  <c r="F210" i="1"/>
  <c r="T73" i="1"/>
  <c r="T213" i="1"/>
  <c r="F110" i="1"/>
  <c r="BA73" i="1"/>
  <c r="F109" i="1"/>
  <c r="AU183" i="1"/>
  <c r="CD169" i="1"/>
  <c r="AP245" i="1"/>
  <c r="F433" i="1"/>
  <c r="BD37" i="1"/>
  <c r="CM26" i="1"/>
  <c r="AJ73" i="1"/>
  <c r="W89" i="1"/>
  <c r="AO18" i="1"/>
  <c r="F488" i="1"/>
  <c r="F63" i="1"/>
  <c r="X26" i="1"/>
  <c r="AT245" i="1"/>
  <c r="F442" i="1"/>
  <c r="BA371" i="1"/>
  <c r="F414" i="1"/>
  <c r="GM135" i="1"/>
  <c r="GN135" i="1"/>
  <c r="AU290" i="1"/>
  <c r="F318" i="1"/>
  <c r="AY331" i="1"/>
  <c r="F347" i="1"/>
  <c r="O290" i="1"/>
  <c r="F301" i="1"/>
  <c r="R394" i="1"/>
  <c r="AE371" i="1"/>
  <c r="AZ73" i="1"/>
  <c r="AZ213" i="1"/>
  <c r="F100" i="1"/>
  <c r="AI371" i="1"/>
  <c r="V394" i="1"/>
  <c r="Y290" i="1"/>
  <c r="F326" i="1"/>
  <c r="GN388" i="1"/>
  <c r="GM388" i="1"/>
  <c r="CA290" i="1"/>
  <c r="AR299" i="1"/>
  <c r="Y249" i="1"/>
  <c r="F285" i="1"/>
  <c r="AT69" i="1"/>
  <c r="F231" i="1"/>
  <c r="AT454" i="1"/>
  <c r="CE249" i="1"/>
  <c r="AV258" i="1"/>
  <c r="P169" i="1"/>
  <c r="F186" i="1"/>
  <c r="AW183" i="1"/>
  <c r="CF169" i="1"/>
  <c r="AZ121" i="1"/>
  <c r="F148" i="1"/>
  <c r="AL26" i="1"/>
  <c r="Y37" i="1"/>
  <c r="AX290" i="1"/>
  <c r="F306" i="1"/>
  <c r="AX424" i="1"/>
  <c r="Q290" i="1"/>
  <c r="F311" i="1"/>
  <c r="P121" i="1"/>
  <c r="F140" i="1"/>
  <c r="AB249" i="1"/>
  <c r="O258" i="1"/>
  <c r="S89" i="1"/>
  <c r="AF73" i="1"/>
  <c r="AK169" i="1"/>
  <c r="X183" i="1"/>
  <c r="P26" i="1"/>
  <c r="F40" i="1"/>
  <c r="F161" i="1"/>
  <c r="W121" i="1"/>
  <c r="W245" i="1"/>
  <c r="F448" i="1"/>
  <c r="T371" i="1"/>
  <c r="F415" i="1"/>
  <c r="U121" i="1"/>
  <c r="F159" i="1"/>
  <c r="AZ26" i="1"/>
  <c r="F48" i="1"/>
  <c r="CF394" i="1"/>
  <c r="AC371" i="1"/>
  <c r="CE394" i="1"/>
  <c r="P394" i="1"/>
  <c r="CH394" i="1"/>
  <c r="F354" i="1"/>
  <c r="S331" i="1"/>
  <c r="BB22" i="1"/>
  <c r="F467" i="1"/>
  <c r="BB484" i="1"/>
  <c r="W371" i="1"/>
  <c r="F418" i="1"/>
  <c r="AZ249" i="1"/>
  <c r="F269" i="1"/>
  <c r="AZ424" i="1"/>
  <c r="AF371" i="1"/>
  <c r="S394" i="1"/>
  <c r="U245" i="1"/>
  <c r="F446" i="1"/>
  <c r="P249" i="1"/>
  <c r="F261" i="1"/>
  <c r="CE169" i="1"/>
  <c r="AV183" i="1"/>
  <c r="R121" i="1"/>
  <c r="F151" i="1"/>
  <c r="BA424" i="1"/>
  <c r="T424" i="1"/>
  <c r="GN381" i="1"/>
  <c r="GM381" i="1"/>
  <c r="CA394" i="1" s="1"/>
  <c r="O37" i="1"/>
  <c r="AB26" i="1"/>
  <c r="S137" i="1"/>
  <c r="AF121" i="1"/>
  <c r="Q249" i="1"/>
  <c r="F270" i="1"/>
  <c r="T121" i="1"/>
  <c r="F158" i="1"/>
  <c r="AW137" i="1"/>
  <c r="CF121" i="1"/>
  <c r="AD73" i="1"/>
  <c r="Q89" i="1"/>
  <c r="CH26" i="1"/>
  <c r="AY37" i="1"/>
  <c r="F302" i="1"/>
  <c r="P290" i="1"/>
  <c r="AW299" i="1"/>
  <c r="CF290" i="1"/>
  <c r="AZ371" i="1"/>
  <c r="F405" i="1"/>
  <c r="F350" i="1"/>
  <c r="AZ331" i="1"/>
  <c r="BD249" i="1"/>
  <c r="F283" i="1"/>
  <c r="BD424" i="1"/>
  <c r="GM87" i="1"/>
  <c r="AZ169" i="1"/>
  <c r="F194" i="1"/>
  <c r="F103" i="1"/>
  <c r="R213" i="1"/>
  <c r="Q121" i="1"/>
  <c r="F149" i="1"/>
  <c r="J470" i="5" l="1"/>
  <c r="Q371" i="1"/>
  <c r="AB371" i="1"/>
  <c r="F365" i="1"/>
  <c r="AZ454" i="1"/>
  <c r="AZ484" i="1" s="1"/>
  <c r="AS299" i="1"/>
  <c r="CB290" i="1"/>
  <c r="V213" i="1"/>
  <c r="CD73" i="1"/>
  <c r="AR339" i="1"/>
  <c r="AR331" i="1" s="1"/>
  <c r="CA331" i="1"/>
  <c r="F351" i="1"/>
  <c r="Q331" i="1"/>
  <c r="AB331" i="1"/>
  <c r="O339" i="1"/>
  <c r="AB121" i="1"/>
  <c r="V73" i="1"/>
  <c r="AL121" i="1"/>
  <c r="CB331" i="1"/>
  <c r="AK73" i="1"/>
  <c r="CB183" i="1"/>
  <c r="F112" i="1"/>
  <c r="O89" i="1"/>
  <c r="O73" i="1" s="1"/>
  <c r="U213" i="1"/>
  <c r="U454" i="1" s="1"/>
  <c r="X394" i="1"/>
  <c r="F420" i="1" s="1"/>
  <c r="Y89" i="1"/>
  <c r="Y394" i="1"/>
  <c r="F421" i="1" s="1"/>
  <c r="O183" i="1"/>
  <c r="AB169" i="1"/>
  <c r="Q26" i="1"/>
  <c r="F49" i="1"/>
  <c r="CA169" i="1"/>
  <c r="V121" i="1"/>
  <c r="Q424" i="1"/>
  <c r="Q245" i="1" s="1"/>
  <c r="AU394" i="1"/>
  <c r="AU371" i="1" s="1"/>
  <c r="F353" i="1"/>
  <c r="R331" i="1"/>
  <c r="K112" i="5"/>
  <c r="J120" i="5" s="1"/>
  <c r="P120" i="5" s="1"/>
  <c r="AL331" i="1"/>
  <c r="Y339" i="1"/>
  <c r="F111" i="1"/>
  <c r="CA137" i="1"/>
  <c r="AR394" i="1"/>
  <c r="CA371" i="1"/>
  <c r="CA121" i="1"/>
  <c r="AR137" i="1"/>
  <c r="BD245" i="1"/>
  <c r="F449" i="1"/>
  <c r="AR258" i="1"/>
  <c r="CA249" i="1"/>
  <c r="S371" i="1"/>
  <c r="F409" i="1"/>
  <c r="AY394" i="1"/>
  <c r="AY424" i="1" s="1"/>
  <c r="CH371" i="1"/>
  <c r="CF371" i="1"/>
  <c r="AW394" i="1"/>
  <c r="AW424" i="1" s="1"/>
  <c r="CB121" i="1"/>
  <c r="AS137" i="1"/>
  <c r="F209" i="1"/>
  <c r="X169" i="1"/>
  <c r="O249" i="1"/>
  <c r="F260" i="1"/>
  <c r="O424" i="1"/>
  <c r="AV249" i="1"/>
  <c r="F263" i="1"/>
  <c r="F327" i="1"/>
  <c r="AR290" i="1"/>
  <c r="R371" i="1"/>
  <c r="F408" i="1"/>
  <c r="R424" i="1"/>
  <c r="R454" i="1" s="1"/>
  <c r="BD26" i="1"/>
  <c r="F62" i="1"/>
  <c r="BD454" i="1"/>
  <c r="AU169" i="1"/>
  <c r="F202" i="1"/>
  <c r="T69" i="1"/>
  <c r="F234" i="1"/>
  <c r="T454" i="1"/>
  <c r="AY290" i="1"/>
  <c r="F307" i="1"/>
  <c r="AR26" i="1"/>
  <c r="F65" i="1"/>
  <c r="CF73" i="1"/>
  <c r="AW89" i="1"/>
  <c r="F43" i="1"/>
  <c r="AW26" i="1"/>
  <c r="CB371" i="1"/>
  <c r="AS394" i="1"/>
  <c r="X73" i="1"/>
  <c r="F115" i="1"/>
  <c r="S424" i="1"/>
  <c r="S121" i="1"/>
  <c r="F152" i="1"/>
  <c r="CB73" i="1"/>
  <c r="AS89" i="1"/>
  <c r="P371" i="1"/>
  <c r="F397" i="1"/>
  <c r="Y26" i="1"/>
  <c r="F64" i="1"/>
  <c r="F189" i="1"/>
  <c r="AW169" i="1"/>
  <c r="AZ69" i="1"/>
  <c r="F224" i="1"/>
  <c r="W73" i="1"/>
  <c r="W213" i="1"/>
  <c r="F113" i="1"/>
  <c r="BA69" i="1"/>
  <c r="F233" i="1"/>
  <c r="BA454" i="1"/>
  <c r="F42" i="1"/>
  <c r="AV26" i="1"/>
  <c r="F142" i="1"/>
  <c r="AV121" i="1"/>
  <c r="AU137" i="1"/>
  <c r="CD121" i="1"/>
  <c r="CH73" i="1"/>
  <c r="AY89" i="1"/>
  <c r="AV290" i="1"/>
  <c r="F304" i="1"/>
  <c r="CB249" i="1"/>
  <c r="AS258" i="1"/>
  <c r="AK121" i="1"/>
  <c r="X137" i="1"/>
  <c r="X213" i="1" s="1"/>
  <c r="AY169" i="1"/>
  <c r="F191" i="1"/>
  <c r="F211" i="1"/>
  <c r="AR169" i="1"/>
  <c r="R69" i="1"/>
  <c r="F227" i="1"/>
  <c r="F305" i="1"/>
  <c r="AW290" i="1"/>
  <c r="AY26" i="1"/>
  <c r="F45" i="1"/>
  <c r="Q73" i="1"/>
  <c r="F101" i="1"/>
  <c r="Q213" i="1"/>
  <c r="AW121" i="1"/>
  <c r="F143" i="1"/>
  <c r="T245" i="1"/>
  <c r="F445" i="1"/>
  <c r="AV169" i="1"/>
  <c r="F188" i="1"/>
  <c r="P424" i="1"/>
  <c r="AZ245" i="1"/>
  <c r="F435" i="1"/>
  <c r="CE371" i="1"/>
  <c r="AV394" i="1"/>
  <c r="F413" i="1"/>
  <c r="AX245" i="1"/>
  <c r="F431" i="1"/>
  <c r="Y73" i="1"/>
  <c r="Y213" i="1"/>
  <c r="F116" i="1"/>
  <c r="AT22" i="1"/>
  <c r="F472" i="1"/>
  <c r="F16" i="2" s="1"/>
  <c r="F18" i="2" s="1"/>
  <c r="AT484" i="1"/>
  <c r="V371" i="1"/>
  <c r="F417" i="1"/>
  <c r="V424" i="1"/>
  <c r="V454" i="1" s="1"/>
  <c r="AQ18" i="1"/>
  <c r="F494" i="1"/>
  <c r="AX69" i="1"/>
  <c r="F220" i="1"/>
  <c r="CA73" i="1"/>
  <c r="AR89" i="1"/>
  <c r="P73" i="1"/>
  <c r="P213" i="1"/>
  <c r="F92" i="1"/>
  <c r="AX454" i="1"/>
  <c r="AS331" i="1"/>
  <c r="F356" i="1"/>
  <c r="AS37" i="1"/>
  <c r="CB26" i="1"/>
  <c r="O26" i="1"/>
  <c r="F39" i="1"/>
  <c r="F444" i="1"/>
  <c r="BA245" i="1"/>
  <c r="F396" i="1"/>
  <c r="O371" i="1"/>
  <c r="BB18" i="1"/>
  <c r="F497" i="1"/>
  <c r="S73" i="1"/>
  <c r="F104" i="1"/>
  <c r="S213" i="1"/>
  <c r="V69" i="1"/>
  <c r="F236" i="1"/>
  <c r="Y121" i="1"/>
  <c r="F164" i="1"/>
  <c r="AU73" i="1"/>
  <c r="F108" i="1"/>
  <c r="BA121" i="1"/>
  <c r="F157" i="1"/>
  <c r="AY249" i="1"/>
  <c r="F266" i="1"/>
  <c r="CE73" i="1"/>
  <c r="AV89" i="1"/>
  <c r="F145" i="1"/>
  <c r="AY121" i="1"/>
  <c r="AU339" i="1"/>
  <c r="CD331" i="1"/>
  <c r="AW249" i="1"/>
  <c r="F264" i="1"/>
  <c r="AP18" i="1"/>
  <c r="F493" i="1"/>
  <c r="O121" i="1"/>
  <c r="F139" i="1"/>
  <c r="F465" i="1" l="1"/>
  <c r="Y371" i="1"/>
  <c r="AZ22" i="1"/>
  <c r="F436" i="1"/>
  <c r="AS290" i="1"/>
  <c r="F316" i="1"/>
  <c r="J242" i="5"/>
  <c r="J122" i="5"/>
  <c r="F235" i="1"/>
  <c r="F367" i="1"/>
  <c r="O213" i="1"/>
  <c r="O454" i="1" s="1"/>
  <c r="O484" i="1" s="1"/>
  <c r="U69" i="1"/>
  <c r="O169" i="1"/>
  <c r="F185" i="1"/>
  <c r="X424" i="1"/>
  <c r="X454" i="1" s="1"/>
  <c r="X371" i="1"/>
  <c r="O331" i="1"/>
  <c r="F341" i="1"/>
  <c r="F91" i="1"/>
  <c r="Y424" i="1"/>
  <c r="Y454" i="1" s="1"/>
  <c r="Y331" i="1"/>
  <c r="F366" i="1"/>
  <c r="CB169" i="1"/>
  <c r="AS183" i="1"/>
  <c r="AW245" i="1"/>
  <c r="F430" i="1"/>
  <c r="F358" i="1"/>
  <c r="AU331" i="1"/>
  <c r="AU424" i="1"/>
  <c r="AX22" i="1"/>
  <c r="F461" i="1"/>
  <c r="AX484" i="1"/>
  <c r="AR73" i="1"/>
  <c r="F117" i="1"/>
  <c r="AR213" i="1"/>
  <c r="AV371" i="1"/>
  <c r="F399" i="1"/>
  <c r="P245" i="1"/>
  <c r="F427" i="1"/>
  <c r="AU121" i="1"/>
  <c r="F156" i="1"/>
  <c r="T22" i="1"/>
  <c r="F475" i="1"/>
  <c r="T484" i="1"/>
  <c r="BD22" i="1"/>
  <c r="BD484" i="1"/>
  <c r="F479" i="1"/>
  <c r="AS121" i="1"/>
  <c r="F154" i="1"/>
  <c r="F165" i="1"/>
  <c r="AR121" i="1"/>
  <c r="AY245" i="1"/>
  <c r="F432" i="1"/>
  <c r="AS26" i="1"/>
  <c r="F54" i="1"/>
  <c r="AS249" i="1"/>
  <c r="F275" i="1"/>
  <c r="AS424" i="1"/>
  <c r="AY73" i="1"/>
  <c r="F97" i="1"/>
  <c r="AY213" i="1"/>
  <c r="AS371" i="1"/>
  <c r="F411" i="1"/>
  <c r="AW73" i="1"/>
  <c r="F95" i="1"/>
  <c r="AW213" i="1"/>
  <c r="AY371" i="1"/>
  <c r="F402" i="1"/>
  <c r="F286" i="1"/>
  <c r="AR249" i="1"/>
  <c r="AR424" i="1"/>
  <c r="AU213" i="1"/>
  <c r="S69" i="1"/>
  <c r="F228" i="1"/>
  <c r="S454" i="1"/>
  <c r="F216" i="1"/>
  <c r="P69" i="1"/>
  <c r="P454" i="1"/>
  <c r="R22" i="1"/>
  <c r="R484" i="1"/>
  <c r="F468" i="1"/>
  <c r="AT18" i="1"/>
  <c r="F502" i="1"/>
  <c r="Y69" i="1"/>
  <c r="F240" i="1"/>
  <c r="BA22" i="1"/>
  <c r="F474" i="1"/>
  <c r="BA484" i="1"/>
  <c r="W69" i="1"/>
  <c r="F237" i="1"/>
  <c r="W454" i="1"/>
  <c r="AZ18" i="1"/>
  <c r="F495" i="1"/>
  <c r="F106" i="1"/>
  <c r="AS73" i="1"/>
  <c r="AS213" i="1"/>
  <c r="S245" i="1"/>
  <c r="F439" i="1"/>
  <c r="X69" i="1"/>
  <c r="F239" i="1"/>
  <c r="AV424" i="1"/>
  <c r="F400" i="1"/>
  <c r="AW371" i="1"/>
  <c r="AV73" i="1"/>
  <c r="AV213" i="1"/>
  <c r="F94" i="1"/>
  <c r="V22" i="1"/>
  <c r="V484" i="1"/>
  <c r="F477" i="1"/>
  <c r="O22" i="1"/>
  <c r="F456" i="1"/>
  <c r="V245" i="1"/>
  <c r="F447" i="1"/>
  <c r="Q69" i="1"/>
  <c r="F225" i="1"/>
  <c r="Q454" i="1"/>
  <c r="F163" i="1"/>
  <c r="X121" i="1"/>
  <c r="U22" i="1"/>
  <c r="U484" i="1"/>
  <c r="F476" i="1"/>
  <c r="R245" i="1"/>
  <c r="F438" i="1"/>
  <c r="O245" i="1"/>
  <c r="F426" i="1"/>
  <c r="AR371" i="1"/>
  <c r="F422" i="1"/>
  <c r="F215" i="1" l="1"/>
  <c r="O69" i="1"/>
  <c r="F450" i="1"/>
  <c r="AS454" i="1"/>
  <c r="X245" i="1"/>
  <c r="F200" i="1"/>
  <c r="AS169" i="1"/>
  <c r="F451" i="1"/>
  <c r="Y245" i="1"/>
  <c r="U18" i="1"/>
  <c r="F506" i="1"/>
  <c r="I18" i="5" s="1"/>
  <c r="Q22" i="1"/>
  <c r="F466" i="1"/>
  <c r="Q484" i="1"/>
  <c r="AV69" i="1"/>
  <c r="F218" i="1"/>
  <c r="AV454" i="1"/>
  <c r="AV245" i="1"/>
  <c r="F429" i="1"/>
  <c r="W22" i="1"/>
  <c r="F478" i="1"/>
  <c r="W484" i="1"/>
  <c r="S22" i="1"/>
  <c r="F469" i="1"/>
  <c r="J16" i="2" s="1"/>
  <c r="J18" i="2" s="1"/>
  <c r="S484" i="1"/>
  <c r="AR245" i="1"/>
  <c r="F452" i="1"/>
  <c r="AS22" i="1"/>
  <c r="F471" i="1"/>
  <c r="E16" i="2" s="1"/>
  <c r="AS484" i="1"/>
  <c r="T18" i="1"/>
  <c r="F505" i="1"/>
  <c r="AX18" i="1"/>
  <c r="F491" i="1"/>
  <c r="O18" i="1"/>
  <c r="F486" i="1"/>
  <c r="V18" i="1"/>
  <c r="F507" i="1"/>
  <c r="X22" i="1"/>
  <c r="F480" i="1"/>
  <c r="X484" i="1"/>
  <c r="P22" i="1"/>
  <c r="P484" i="1"/>
  <c r="F457" i="1"/>
  <c r="AW69" i="1"/>
  <c r="F219" i="1"/>
  <c r="AW454" i="1"/>
  <c r="AS245" i="1"/>
  <c r="F441" i="1"/>
  <c r="AR69" i="1"/>
  <c r="F241" i="1"/>
  <c r="AR454" i="1"/>
  <c r="AS69" i="1"/>
  <c r="F230" i="1"/>
  <c r="AY69" i="1"/>
  <c r="F221" i="1"/>
  <c r="AY454" i="1"/>
  <c r="BD18" i="1"/>
  <c r="F509" i="1"/>
  <c r="Y22" i="1"/>
  <c r="Y484" i="1"/>
  <c r="F481" i="1"/>
  <c r="BA18" i="1"/>
  <c r="F504" i="1"/>
  <c r="R18" i="1"/>
  <c r="F498" i="1"/>
  <c r="AU69" i="1"/>
  <c r="F232" i="1"/>
  <c r="AU454" i="1"/>
  <c r="AU245" i="1"/>
  <c r="F443" i="1"/>
  <c r="AW22" i="1" l="1"/>
  <c r="AW484" i="1"/>
  <c r="F460" i="1"/>
  <c r="P18" i="1"/>
  <c r="F487" i="1"/>
  <c r="AU22" i="1"/>
  <c r="AU484" i="1"/>
  <c r="F473" i="1"/>
  <c r="H16" i="2" s="1"/>
  <c r="H18" i="2" s="1"/>
  <c r="Y18" i="1"/>
  <c r="F511" i="1"/>
  <c r="AY22" i="1"/>
  <c r="F462" i="1"/>
  <c r="AY484" i="1"/>
  <c r="X18" i="1"/>
  <c r="F510" i="1"/>
  <c r="E18" i="2"/>
  <c r="S18" i="1"/>
  <c r="F499" i="1"/>
  <c r="I19" i="5" s="1"/>
  <c r="AV22" i="1"/>
  <c r="AV484" i="1"/>
  <c r="F459" i="1"/>
  <c r="AR22" i="1"/>
  <c r="F482" i="1"/>
  <c r="AR484" i="1"/>
  <c r="AS18" i="1"/>
  <c r="F501" i="1"/>
  <c r="W18" i="1"/>
  <c r="F508" i="1"/>
  <c r="Q18" i="1"/>
  <c r="F496" i="1"/>
  <c r="AU18" i="1" l="1"/>
  <c r="F503" i="1"/>
  <c r="AW18" i="1"/>
  <c r="F490" i="1"/>
  <c r="AR18" i="1"/>
  <c r="F512" i="1"/>
  <c r="AV18" i="1"/>
  <c r="F489" i="1"/>
  <c r="I16" i="2"/>
  <c r="I18" i="2" s="1"/>
  <c r="AY18" i="1"/>
  <c r="F492" i="1"/>
  <c r="F513" i="1" l="1"/>
  <c r="F514" i="1" l="1"/>
  <c r="I17" i="5" s="1"/>
</calcChain>
</file>

<file path=xl/sharedStrings.xml><?xml version="1.0" encoding="utf-8"?>
<sst xmlns="http://schemas.openxmlformats.org/spreadsheetml/2006/main" count="10082" uniqueCount="738">
  <si>
    <t>Smeta.RU  (495) 974-1589</t>
  </si>
  <si>
    <t>_PS_</t>
  </si>
  <si>
    <t>Smeta.RU</t>
  </si>
  <si>
    <t/>
  </si>
  <si>
    <t>Новый объект_(Копия)</t>
  </si>
  <si>
    <t>Благоустройство бетонные проезды</t>
  </si>
  <si>
    <t>Сметные нормы списания</t>
  </si>
  <si>
    <t>Коды ценников</t>
  </si>
  <si>
    <t>ТЭР 2001 р 14 Тула</t>
  </si>
  <si>
    <t>ТР для Версии 10: Центральные регионы (с уч. п-ма 2536-ИП/12/ГС от 27.11.12, 01/57049-ЮЛ от 27.04.2018) от 30.08.2018 г</t>
  </si>
  <si>
    <t>Тульская область (редакция 2014г)</t>
  </si>
  <si>
    <t>Поправки  для НБ 2014 года от 10.12.2014</t>
  </si>
  <si>
    <t>Новая локальная смета</t>
  </si>
  <si>
    <t>Новый раздел</t>
  </si>
  <si>
    <t>Подготовительные работы</t>
  </si>
  <si>
    <t>1</t>
  </si>
  <si>
    <t>46-04-003-8</t>
  </si>
  <si>
    <t>Разборка железобетонных конструкций объемом более 1 м3 при помощи отбойных молотков из бетона марки: 200</t>
  </si>
  <si>
    <t>1 м3</t>
  </si>
  <si>
    <t>ТЕР-2001 Тульской обл. (ред. 2014), 46-04-003-8, приказ Минстроя России от 27.02.2015 № 140/пр</t>
  </si>
  <si>
    <t>)*1,15*0,1</t>
  </si>
  <si>
    <t>)*1,15*0,2</t>
  </si>
  <si>
    <t>Общестроительные работы</t>
  </si>
  <si>
    <t>Реконструкция зданий и сооружений</t>
  </si>
  <si>
    <t>ФЕР-46</t>
  </si>
  <si>
    <t>Поправка: МДС 81-38.2004, прил.3, п.3р</t>
  </si>
  <si>
    <t>2</t>
  </si>
  <si>
    <t>01-02-057-2</t>
  </si>
  <si>
    <t>Разработка и доработка грунта вручную</t>
  </si>
  <si>
    <t>100 м3 грунта</t>
  </si>
  <si>
    <t>ТЕР-2001 Тульской обл. (ред. 2014), 01-02-057-2, приказ Минстроя России от 27.02.2015 № 140/пр</t>
  </si>
  <si>
    <t>)*1,15</t>
  </si>
  <si>
    <t>Земляные работы, выполняемые  ручным способом</t>
  </si>
  <si>
    <t>ФЕР-01</t>
  </si>
  <si>
    <t>Поправка: МДС 81-35.2004, прил.1, т.1, п.4</t>
  </si>
  <si>
    <t>51-5-2</t>
  </si>
  <si>
    <t>Разработка грунта пандуса П2 и участка ТИП1</t>
  </si>
  <si>
    <t>100 м2 основания</t>
  </si>
  <si>
    <t>ТЕРр-2001 Тульской обл. (ред. 2014), 51-5-2, приказ Минстроя России от 27.02.2015 № 140/пр</t>
  </si>
  <si>
    <t>Поправка: МДС 81-38.2004, прил.3, п.11.1р  Наименование: Ремонт отдельных конструктивных элементов зданий Ремонт фасадов</t>
  </si>
  <si>
    <t>Ремонтно-строительные работы</t>
  </si>
  <si>
    <t>Земляные рабты при ремонте : механизированный способ</t>
  </si>
  <si>
    <t>рФЕР-51</t>
  </si>
  <si>
    <t>Поправка: МДС 81-38.2004, прил.3, п.11.1р</t>
  </si>
  <si>
    <t>51-5-1</t>
  </si>
  <si>
    <t>Разборка монолитных железобетонных конструкций механизированная (экскаватором) без вывоза (плиты дорожные)  пандуса П2 и участка ТИП1</t>
  </si>
  <si>
    <t>ТЕРр-2001 Тульской обл. (ред. 2014), 51-5-1, приказ Минстроя России от 27.02.2015 № 140/пр</t>
  </si>
  <si>
    <t>*1,15</t>
  </si>
  <si>
    <t>Поправка: МДС 81-35.2004, п.4.9</t>
  </si>
  <si>
    <t>Разборка асфальтобетонных покрытий механизированная (экскаватором) пандуса П1</t>
  </si>
  <si>
    <t>01-01-014-5</t>
  </si>
  <si>
    <t>Разработка лишнего грунта с погрузкой в автомобили-самосвалы экскаваторами  пандуса П1</t>
  </si>
  <si>
    <t>1000 м3 грунта</t>
  </si>
  <si>
    <t>ТЕР-2001 Тульской обл. (ред. 2014), 01-01-014-5, приказ Минстроя России от 27.02.2015 № 140/пр</t>
  </si>
  <si>
    <t>Земляные работы, выполняемые  механизированным способом</t>
  </si>
  <si>
    <t>Поправка: МДС 81-35.2004, прил.1, т.1, п.7</t>
  </si>
  <si>
    <t>3</t>
  </si>
  <si>
    <t>т03-21-001-2</t>
  </si>
  <si>
    <t>Перевозка  ж/бетонного лома автомобилями-самосвалами грузоподъемностью 10 т работающих  на расстояние до 2 км</t>
  </si>
  <si>
    <t>1 Т ГРУЗА</t>
  </si>
  <si>
    <t>ТССЦпг-2001 Тульской обл. (ред. 2014), т03-21-001-2, приказ Минстроя России от 27.02.2015 № 140/пр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</si>
  <si>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</si>
  <si>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</si>
  <si>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</si>
  <si>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4</t>
  </si>
  <si>
    <t>т03-21-001-10</t>
  </si>
  <si>
    <t>Перевозка грунта автомобилями-самосвалами грузоподъемностью 10 т  на расстояние до 10 км</t>
  </si>
  <si>
    <t>ТССЦпг-2001 Тульской обл. (ред. 2014), т03-21-001-10, приказ Минстроя России от 27.02.2015 № 140/пр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</si>
  <si>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</si>
  <si>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</si>
  <si>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</si>
  <si>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</si>
  <si>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</si>
  <si>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</si>
  <si>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</si>
  <si>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</si>
  <si>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</si>
  <si>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</si>
  <si>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</si>
  <si>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</si>
  <si>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</si>
  <si>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</si>
  <si>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</si>
  <si>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</si>
  <si>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</si>
  <si>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</si>
  <si>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</si>
  <si>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</si>
  <si>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</si>
  <si>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</si>
  <si>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</si>
  <si>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</si>
  <si>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</si>
  <si>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</si>
  <si>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</si>
  <si>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</si>
  <si>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</si>
  <si>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</si>
  <si>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</si>
  <si>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</si>
  <si>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</si>
  <si>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</si>
  <si>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</si>
  <si>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</si>
  <si>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</si>
  <si>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</si>
  <si>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</si>
  <si>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</si>
  <si>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</si>
  <si>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</si>
  <si>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</si>
  <si>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</si>
  <si>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</si>
  <si>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</si>
  <si>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</si>
  <si>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</si>
  <si>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</si>
  <si>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</si>
  <si>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</si>
  <si>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</si>
  <si>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</si>
  <si>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</si>
  <si>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Бетонные работы</t>
  </si>
  <si>
    <t>Новый подраздел</t>
  </si>
  <si>
    <t>Участок ТИП1</t>
  </si>
  <si>
    <t>01-02-005-1</t>
  </si>
  <si>
    <t>Уплотнение грунта пневматическими трамбовками, группа грунтов: 1-2</t>
  </si>
  <si>
    <t>100 м3 уплотненного грунта</t>
  </si>
  <si>
    <t>ТЕР-2001 Тульской обл. (ред. 2014), 01-02-005-1, приказ Минстроя России от 27.02.2015 № 140/пр</t>
  </si>
  <si>
    <t>11-01-002-1</t>
  </si>
  <si>
    <t>Устройство подстилающих слоев: песчаных с уплотнением</t>
  </si>
  <si>
    <t>1 м3 подстилающего слоя</t>
  </si>
  <si>
    <t>ТЕР-2001 Тульской обл. (ред. 2014), 11-01-002-1, приказ Минстроя России от 27.02.2015 № 140/пр</t>
  </si>
  <si>
    <t>Полы</t>
  </si>
  <si>
    <t>ФЕР-11</t>
  </si>
  <si>
    <t>Поправка: МДС 81-38.2004, прил.3, п.3с</t>
  </si>
  <si>
    <t>3,1</t>
  </si>
  <si>
    <t>408-0122</t>
  </si>
  <si>
    <t>Песок природный для строительных: работ средний</t>
  </si>
  <si>
    <t>м3</t>
  </si>
  <si>
    <t>ТССЦ-2001 Тульской обл. (ред. 2014), 408-0122, приказ Минстроя России от 27.02.2015 № 140/пр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</si>
  <si>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</si>
  <si>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</si>
  <si>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</si>
  <si>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3,2</t>
  </si>
  <si>
    <t>прайс-лист</t>
  </si>
  <si>
    <t>Песок строительный с доставкой</t>
  </si>
  <si>
    <t>Строка по умолчанию</t>
  </si>
  <si>
    <t>Прочие работы</t>
  </si>
  <si>
    <t>по умолчанию</t>
  </si>
  <si>
    <t>[1 000 / 1,2]</t>
  </si>
  <si>
    <t>0</t>
  </si>
  <si>
    <t>01-02-061-1</t>
  </si>
  <si>
    <t>Засыпка вручную траншей, пазух котлованов и ям, группа грунтов: 1</t>
  </si>
  <si>
    <t>ТЕР-2001 Тульской обл. (ред. 2014), 01-02-061-1, приказ Минстроя России от 27.02.2015 № 140/пр</t>
  </si>
  <si>
    <t>5</t>
  </si>
  <si>
    <t>26-01-055-2</t>
  </si>
  <si>
    <t>Установка пароизоляционного слоя из: пленки полиэтиленовой</t>
  </si>
  <si>
    <t>100 м2 поверхности покрытия изоляции</t>
  </si>
  <si>
    <t>ТЕР-2001 Тульской обл. (ред. 2014), 26-01-055-2, приказ Минстроя России от 27.02.2015 № 140/пр</t>
  </si>
  <si>
    <t>)*1,15)*1,25</t>
  </si>
  <si>
    <t>)*1,15)*1,15</t>
  </si>
  <si>
    <t>Теплоизоляционные работы</t>
  </si>
  <si>
    <t>ФЕР-26</t>
  </si>
  <si>
    <t>Поправка: МДС 81-36.2004, п.3.5  Поправка: МДС 81-35.2004, п.4.7</t>
  </si>
  <si>
    <t>9</t>
  </si>
  <si>
    <t>07-05-038-2</t>
  </si>
  <si>
    <t>Устройство деформационных швов</t>
  </si>
  <si>
    <t>100 м шва</t>
  </si>
  <si>
    <t>ТЕР-2001 Тульской обл. (ред. 2014), 07-05-038-2, приказ Минстроя России от 27.02.2015 № 140/пр</t>
  </si>
  <si>
    <t>)*1,25)*1,15</t>
  </si>
  <si>
    <t>Сборные бетонные констр. в жил. стр/ (крупно-пан. д_стр. (для СП=108% - {КПД}=1; обыч. д_стр. СП=90% - {КПД}=0)</t>
  </si>
  <si>
    <t>ФЕР-07</t>
  </si>
  <si>
    <t>Поправка: МДС 81-35.2004, п.4.7  Поправка: МДС 81-35.2004, прил.1, т.1, п.7</t>
  </si>
  <si>
    <t>10</t>
  </si>
  <si>
    <t>06-01-005-6</t>
  </si>
  <si>
    <t>Устройство железобетонных фундаментов общего назначения</t>
  </si>
  <si>
    <t>100 м3 бетона и железобетона в деле</t>
  </si>
  <si>
    <t>ТЕР-2001 Тульской обл. (ред. 2014), 06-01-005-6, приказ Минстроя России от 27.02.2015 № 140/пр</t>
  </si>
  <si>
    <t>Монолитные бетонные и железобетонные конструкции в промышленном строительстве</t>
  </si>
  <si>
    <t>ФЕР-06</t>
  </si>
  <si>
    <t>10,1</t>
  </si>
  <si>
    <t>204-0100</t>
  </si>
  <si>
    <t>Горячекатаная арматурная сталь класса: А-I, А-II, А-III</t>
  </si>
  <si>
    <t>т</t>
  </si>
  <si>
    <t>ТССЦ-2001 Тульской обл. (ред. 2014), 204-0100, приказ Минстроя России от 27.02.2015 № 140/пр</t>
  </si>
  <si>
    <t>10,2</t>
  </si>
  <si>
    <t>401-0066</t>
  </si>
  <si>
    <t>Бетон тяжелый, крупность заполнителя: 20 мм, класс В15 (М200)</t>
  </si>
  <si>
    <t>ТССЦ-2001 Тульской обл. (ред. 2014), 401-0066, приказ Минстроя России от 27.02.2015 № 140/пр</t>
  </si>
  <si>
    <t>10,3</t>
  </si>
  <si>
    <t>Бетон тяжелый В30</t>
  </si>
  <si>
    <t>[10 700 / 1,2]</t>
  </si>
  <si>
    <t>10,4</t>
  </si>
  <si>
    <t>[70 000 / 1,2] +  3% Трансп +  2% Заг.скл</t>
  </si>
  <si>
    <t>10,6</t>
  </si>
  <si>
    <t>204-0036</t>
  </si>
  <si>
    <t>Надбавки к ценам заготовок за сборку и сварку каркасов и сеток: плоских, диаметром 10 мм</t>
  </si>
  <si>
    <t>ТССЦ-2001 Тульской обл. (ред. 2014), 204-0036, приказ Минстроя России от 27.02.2015 № 140/пр</t>
  </si>
  <si>
    <t>Участок ТИП2</t>
  </si>
  <si>
    <t>2,1</t>
  </si>
  <si>
    <t>2,2</t>
  </si>
  <si>
    <t>6</t>
  </si>
  <si>
    <t>)*1,15)*1,15*3</t>
  </si>
  <si>
    <t>6,1</t>
  </si>
  <si>
    <t>6,2</t>
  </si>
  <si>
    <t>6,3</t>
  </si>
  <si>
    <t>6,4</t>
  </si>
  <si>
    <t>6,5</t>
  </si>
  <si>
    <t>Отмостка</t>
  </si>
  <si>
    <t>08-01-003-3</t>
  </si>
  <si>
    <t>Гидроизоляция горизонтальных поверхностей полиэтиленовой пленкой</t>
  </si>
  <si>
    <t>100 м2 изолируемой поверхности</t>
  </si>
  <si>
    <t>ТЕР-2001 Тульской обл. (ред. 2014), 08-01-003-3, приказ Минстроя России от 27.02.2015 № 140/пр</t>
  </si>
  <si>
    <t>Конструкции из кирпича и блоков</t>
  </si>
  <si>
    <t>ФЕР-08</t>
  </si>
  <si>
    <t>Поправка: МДС 81-38.2004, прил.3, п.3с  Поправка: МДС 81-35.2004, п.4.7</t>
  </si>
  <si>
    <t>Устройство железобетонных оснований В25</t>
  </si>
  <si>
    <t>)*1,15)*1,15*5</t>
  </si>
  <si>
    <t>5,1</t>
  </si>
  <si>
    <t>5,2</t>
  </si>
  <si>
    <t>5,3</t>
  </si>
  <si>
    <t>Бетон тяжелый В30(М400)</t>
  </si>
  <si>
    <t>[8 300 / 1,2]</t>
  </si>
  <si>
    <t>5,4</t>
  </si>
  <si>
    <t>[70 000 / 1,2]</t>
  </si>
  <si>
    <t>5,5</t>
  </si>
  <si>
    <t>Выполнение работпо монтажу асфальтовыхпокрытий дорог , систем ливневой канализации и бордюрных камней</t>
  </si>
  <si>
    <t>68-12-4</t>
  </si>
  <si>
    <t>Разборка покрытий и оснований: асфальтобетонных с помощью молотков отбойных</t>
  </si>
  <si>
    <t>100 м3 конструкций</t>
  </si>
  <si>
    <t>ТЕРр-2001 Тульской обл. (ред. 2014), 68-12-4, приказ Минстроя России от 27.02.2015 № 140/пр</t>
  </si>
  <si>
    <t>Благоустройство</t>
  </si>
  <si>
    <t>рФЕР-68</t>
  </si>
  <si>
    <t>Поправка: МДС 81-36.2004, прил.3, п.3</t>
  </si>
  <si>
    <t>Разборка асфальтобетонных покрытий механизированная (экскаватором)</t>
  </si>
  <si>
    <t>68-12-2</t>
  </si>
  <si>
    <t>Разборка покрытий и оснований: щебеночных</t>
  </si>
  <si>
    <t>ТЕРр-2001 Тульской обл. (ред. 2014), 68-12-2, приказ Минстроя России от 27.02.2015 № 140/пр</t>
  </si>
  <si>
    <t>Планировка  грунта экскаваторами с погрузкой в автомобили-самосвалы экскаваторами</t>
  </si>
  <si>
    <t>Доработка грунта вручную</t>
  </si>
  <si>
    <t>7</t>
  </si>
  <si>
    <t>Перевозка  лишнего грунта автомобилями-самосвалами грузоподъемностью 10 т работающих  на расстояние до 10 км</t>
  </si>
  <si>
    <t>Устройство бортового камня</t>
  </si>
  <si>
    <t>27-02-010-2</t>
  </si>
  <si>
    <t>Установка бортовых камней бетонных: при других видах покрытий</t>
  </si>
  <si>
    <t>100 м бортового камня</t>
  </si>
  <si>
    <t>ТЕР-2001 Тульской обл. (ред. 2014), 27-02-010-2, приказ Минстроя России от 27.02.2015 № 140/пр</t>
  </si>
  <si>
    <t>Автомобильные дороги</t>
  </si>
  <si>
    <t>ФЕР-27</t>
  </si>
  <si>
    <t>Поправка: МДС 81-35.2004, п.4.7  Поправка: МДС 81-35.2004, прил.1, т.1, п.4</t>
  </si>
  <si>
    <t>Камни бортовые БР100.30.15</t>
  </si>
  <si>
    <t>ШТ</t>
  </si>
  <si>
    <t>ТССЦ-2001 Тульской обл. (ред. 2014), 413-9010, приказ Минстроя России от 27.02.2015 № 140/пр</t>
  </si>
  <si>
    <t>[560 / 1,2 /  8,29]</t>
  </si>
  <si>
    <t>Устройство бетонного лотка</t>
  </si>
  <si>
    <t>31-01-033-01</t>
  </si>
  <si>
    <t>Устройство железобетонных сборных лотков (01. Устройство выравнивающего слоя из песка.   02. Сборка лотков из железобетонных звеньев.   03. Установка опорных рам и решеток.)</t>
  </si>
  <si>
    <t>100 м</t>
  </si>
  <si>
    <t>ФЕР-2001, 31-01-033-01, приказ Минстроя России №1039/пр от 30.12.2016г.</t>
  </si>
  <si>
    <t>Аэродромы</t>
  </si>
  <si>
    <t>ФЕР-31</t>
  </si>
  <si>
    <t>Ж/бетонный сборный лоток ЛВ 20-29-23</t>
  </si>
  <si>
    <t>[8 700 / 1,2] +  3% Трансп +  2% Заг.скл</t>
  </si>
  <si>
    <t>Устройство асфальтированного покрытия</t>
  </si>
  <si>
    <t>01-01-018-2</t>
  </si>
  <si>
    <t>Разработка грунта с погрузкой на автомобили-самосвалы в котлованах  экскаваторами с ковшом вместимостью 0,4 (0,35-0,45) м3, группа грунтов: 2</t>
  </si>
  <si>
    <t>ТЕР-2001 Тульской обл. (ред. 2014), 01-01-018-2, приказ Минстроя России от 27.02.2015 № 140/пр</t>
  </si>
  <si>
    <t>27-04-001-01</t>
  </si>
  <si>
    <t>Устройство подстилающих и выравнивающих слоев оснований из песка</t>
  </si>
  <si>
    <t>100 м3</t>
  </si>
  <si>
    <t>ФЕР-2001, 27-04-001-01, приказ Минстроя России №1039/пр от 30.12.2016г.</t>
  </si>
  <si>
    <t>27-04-001-04</t>
  </si>
  <si>
    <t>Устройство подстилающих и выравнивающих слоев оснований из щебня</t>
  </si>
  <si>
    <t>ФЕР-2001, 27-04-001-04, приказ Минстроя России №1039/пр от 30.12.2016г.</t>
  </si>
  <si>
    <t>4,1</t>
  </si>
  <si>
    <t>Щебень  с доставкой</t>
  </si>
  <si>
    <t>[1 900 / 1,2]</t>
  </si>
  <si>
    <t>27-06-026-1</t>
  </si>
  <si>
    <t>Розлив вяжущих материалов</t>
  </si>
  <si>
    <t>1 Т</t>
  </si>
  <si>
    <t>ТЕР-2001 Тульской обл. (ред. 2014), 27-06-026-1, приказ Минстроя России от 27.02.2015 № 140/пр</t>
  </si>
  <si>
    <t>27-06-029-1</t>
  </si>
  <si>
    <t>Устройство покрытия толщиной 4 см из горячих асфальтобетонных смесей плотных мелкозернистых типа А,Б,В, плотность каменных материалов: 2,5-2,9 т/м3</t>
  </si>
  <si>
    <t>1000 м2 покрытия</t>
  </si>
  <si>
    <t>ТЕР-2001 Тульской обл. (ред. 2014), 27-06-029-1, приказ Минстроя России от 27.02.2015 № 140/пр</t>
  </si>
  <si>
    <t>)*1,15*3</t>
  </si>
  <si>
    <t>410-0001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</si>
  <si>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марка: I, тип А</t>
  </si>
  <si>
    <t>ТССЦ-2001 Тульской обл. (ред. 2014), 410-0001, приказ Минстроя России от 27.02.2015 № 140/пр</t>
  </si>
  <si>
    <t>Смеси асфальтобетонные</t>
  </si>
  <si>
    <t>[5 700 / 1,2] +  3% Трансп</t>
  </si>
  <si>
    <t>27-06-030-1</t>
  </si>
  <si>
    <t>При изменении толщины покрытия на 0,5 см добавлять или исключать: к расценке 27-06-029-01</t>
  </si>
  <si>
    <t>ТЕР-2001 Тульской обл. (ред. 2014), 27-06-030-1, приказ Минстроя России от 27.02.2015 № 140/пр</t>
  </si>
  <si>
    <t>*4</t>
  </si>
  <si>
    <t>)*1,15*10</t>
  </si>
  <si>
    <t>7,1</t>
  </si>
  <si>
    <t>7,2</t>
  </si>
  <si>
    <t>8</t>
  </si>
  <si>
    <t>)*1,15*6</t>
  </si>
  <si>
    <t>9,1</t>
  </si>
  <si>
    <t>9,2</t>
  </si>
  <si>
    <t>*2</t>
  </si>
  <si>
    <t>)*1,15*2*6</t>
  </si>
  <si>
    <t>)*1,15*2</t>
  </si>
  <si>
    <t>НДС</t>
  </si>
  <si>
    <t>НДС20%</t>
  </si>
  <si>
    <t>К оплате</t>
  </si>
  <si>
    <t>К оплате с НДС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</si>
  <si>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</si>
  <si>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</si>
  <si>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</si>
  <si>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</si>
  <si>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</si>
  <si>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</si>
  <si>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</si>
  <si>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</si>
  <si>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Капитальный ремонт прозводственных зданий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</si>
  <si>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</si>
  <si>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</si>
  <si>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</si>
  <si>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Упрощенное налогообложение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</si>
  <si>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</si>
  <si>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</si>
  <si>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</si>
  <si>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Хозяйственный способ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</si>
  <si>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</si>
  <si>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</si>
  <si>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</si>
  <si>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"Сложные объекты "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</si>
  <si>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</si>
  <si>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</si>
  <si>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При работе в текущем уровне цен с 27.04.2018 г.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</si>
  <si>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</si>
  <si>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</si>
  <si>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</si>
  <si>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городских в/опт. линий связи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</si>
  <si>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</si>
  <si>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</si>
  <si>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</si>
  <si>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</si>
  <si>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</si>
  <si>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</si>
  <si>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</si>
  <si>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</si>
  <si>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</si>
  <si>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</si>
  <si>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</si>
  <si>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Э/монтаж и контроль сварки на АЭС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</si>
  <si>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</si>
  <si>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</si>
  <si>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</si>
  <si>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</si>
  <si>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</si>
  <si>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</si>
  <si>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</si>
  <si>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</si>
  <si>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</si>
  <si>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</si>
  <si>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</si>
  <si>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</si>
  <si>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</si>
  <si>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</si>
  <si>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</si>
  <si>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</si>
  <si>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</si>
  <si>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</si>
  <si>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</si>
  <si>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</si>
  <si>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</si>
  <si>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</si>
  <si>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</si>
  <si>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</si>
  <si>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</si>
  <si>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</si>
  <si>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</si>
  <si>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</si>
  <si>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</si>
  <si>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</si>
  <si>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</si>
  <si>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</si>
  <si>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</si>
  <si>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Индексы за итогом</t>
  </si>
  <si>
    <t>_OBSM_</t>
  </si>
  <si>
    <t>1-1030-71</t>
  </si>
  <si>
    <t>Рабочий строитель среднего разряда 3</t>
  </si>
  <si>
    <t>чел.-ч</t>
  </si>
  <si>
    <t>Затраты труда машинистов</t>
  </si>
  <si>
    <t>чел.час</t>
  </si>
  <si>
    <t>040504</t>
  </si>
  <si>
    <t>ТСЭМ-2001, 040504, приказ Минстроя России от 27.02.2015 № 140/пр</t>
  </si>
  <si>
    <t>Аппарат для газовой сварки и резки</t>
  </si>
  <si>
    <t>маш.-ч</t>
  </si>
  <si>
    <t>050101</t>
  </si>
  <si>
    <t>ТСЭМ-2001, 050101, приказ Минстроя России от 27.02.2015 № 140/пр</t>
  </si>
  <si>
    <t>Компрессоры передвижные с двигателем внутреннего сгорания давлением: до 686 кПа (7 ат), производительность до 5 м3/мин</t>
  </si>
  <si>
    <t>330804</t>
  </si>
  <si>
    <t>ТСЭМ-2001, 330804, приказ Минстроя России от 27.02.2015 № 140/пр</t>
  </si>
  <si>
    <t>Молотки при работе от передвижных компрессорных станций: отбойные пневматические</t>
  </si>
  <si>
    <t>101-0324</t>
  </si>
  <si>
    <t>ТССЦ-2001 Тульской обл. (ред. 2014), 101-0324, приказ Минстроя России от 27.02.2015 № 140/пр</t>
  </si>
  <si>
    <t>Кислород технический: газообразный</t>
  </si>
  <si>
    <t>101-1602</t>
  </si>
  <si>
    <t>ТССЦ-2001 Тульской обл. (ред. 2014), 101-1602, приказ Минстроя России от 27.02.2015 № 140/пр</t>
  </si>
  <si>
    <t>Ацетилен газообразный технический</t>
  </si>
  <si>
    <t>1-1020-71</t>
  </si>
  <si>
    <t>Рабочий строитель среднего разряда 2</t>
  </si>
  <si>
    <t>1-1021-71</t>
  </si>
  <si>
    <t>Рабочий строитель среднего разряда 2,1</t>
  </si>
  <si>
    <t>070147</t>
  </si>
  <si>
    <t>ТСЭМ-2001, 070147, приказ Минстроя России от 27.02.2015 № 140/пр</t>
  </si>
  <si>
    <t>Бульдозеры при работе на других видах строительства: 37 кВт (50 л.с.)</t>
  </si>
  <si>
    <t>1-1022-71</t>
  </si>
  <si>
    <t>Рабочий строитель среднего разряда 2,2</t>
  </si>
  <si>
    <t>060337</t>
  </si>
  <si>
    <t>ТСЭМ-2001, 060337, приказ Минстроя России от 27.02.2015 № 140/пр</t>
  </si>
  <si>
    <t>Экскаваторы одноковшовые дизельные на пневмоколесном ходу при работе на других видах строительства: 0,25 м3</t>
  </si>
  <si>
    <t>400051</t>
  </si>
  <si>
    <t>ТСЭМ-2001, 400051, приказ Минстроя России от 27.02.2015 № 140/пр</t>
  </si>
  <si>
    <t>Автомобиль-самосвал, грузоподъемность: до 7 т</t>
  </si>
  <si>
    <t>070148</t>
  </si>
  <si>
    <t>ТСЭМ-2001, 070148, приказ Минстроя России от 27.02.2015 № 140/пр</t>
  </si>
  <si>
    <t>Бульдозеры при работе на других видах строительства: 59 кВт (80 л.с.)</t>
  </si>
  <si>
    <t>408-0015</t>
  </si>
  <si>
    <t>ТССЦ-2001 Тульской обл. (ред. 2014), 408-0015, приказ Минстроя России от 27.02.2015 № 140/пр</t>
  </si>
  <si>
    <t>Щебень из природного камня для строительных работ марка: 800, фракция 20-40 мм</t>
  </si>
  <si>
    <t>331100</t>
  </si>
  <si>
    <t>ТСЭМ-2001, 331100, приказ Минстроя России от 27.02.2015 № 140/пр</t>
  </si>
  <si>
    <t>Трамбовки пневматические при работе от: передвижных компрессорных станций</t>
  </si>
  <si>
    <t>1-1031-71</t>
  </si>
  <si>
    <t>Рабочий строитель среднего разряда 3,1</t>
  </si>
  <si>
    <t>030101</t>
  </si>
  <si>
    <t>ТСЭМ-2001, 030101, приказ Минстроя России от 27.02.2015 № 140/пр</t>
  </si>
  <si>
    <t>Автопогрузчики 5 т</t>
  </si>
  <si>
    <t>411-0001</t>
  </si>
  <si>
    <t>ТССЦ-2001 Тульской обл. (ред. 2014), 411-0001, приказ Минстроя России от 27.02.2015 № 140/пр</t>
  </si>
  <si>
    <t>Вода</t>
  </si>
  <si>
    <t>1-1015-71</t>
  </si>
  <si>
    <t>Рабочий строитель среднего разряда 1,5</t>
  </si>
  <si>
    <t>1-1032-71</t>
  </si>
  <si>
    <t>Рабочий строитель среднего разряда 3,2</t>
  </si>
  <si>
    <t>400001</t>
  </si>
  <si>
    <t>ТСЭМ-2001, 400001, приказ Минстроя России от 27.02.2015 № 140/пр</t>
  </si>
  <si>
    <t>Автомобили бортовые, грузоподъемность: до 5 т</t>
  </si>
  <si>
    <t>101-3594</t>
  </si>
  <si>
    <t>ТССЦ-2001 Тульской обл. (ред. 2014), 101-3594, приказ Минстроя России от 27.02.2015 № 140/пр</t>
  </si>
  <si>
    <t>Лента полиэтиленовая с липким слоем: А50</t>
  </si>
  <si>
    <t>кг</t>
  </si>
  <si>
    <t>113-1952</t>
  </si>
  <si>
    <t>ТССЦ-2001 Тульской обл. (ред. 2014), 113-1952, приказ Минстроя России от 27.02.2015 № 140/пр</t>
  </si>
  <si>
    <t>Пленка полиэтиленовая толщиной: 0,2-0,5 мм, изоловая</t>
  </si>
  <si>
    <t>м2</t>
  </si>
  <si>
    <t>1-1033-71</t>
  </si>
  <si>
    <t>Рабочий строитель среднего разряда 3,3</t>
  </si>
  <si>
    <t>101-0851</t>
  </si>
  <si>
    <t>ТССЦ-2001 Тульской обл. (ред. 2014), 101-0851, приказ Минстроя России от 27.02.2015 № 140/пр</t>
  </si>
  <si>
    <t>Пергамин кровельный марки: П-350</t>
  </si>
  <si>
    <t>101-1705</t>
  </si>
  <si>
    <t>ТССЦ-2001 Тульской обл. (ред. 2014), 101-1705, приказ Минстроя России от 27.02.2015 № 140/пр</t>
  </si>
  <si>
    <t>Пакля пропитанная</t>
  </si>
  <si>
    <t>402-0004</t>
  </si>
  <si>
    <t>ТССЦ-2001 Тульской обл. (ред. 2014), 402-0004, приказ Минстроя России от 27.02.2015 № 140/пр</t>
  </si>
  <si>
    <t>Раствор готовый кладочный цементный марки: 100</t>
  </si>
  <si>
    <t>1-1028-71</t>
  </si>
  <si>
    <t>Рабочий строитель среднего разряда 2,8</t>
  </si>
  <si>
    <t>021141</t>
  </si>
  <si>
    <t>ТСЭМ-2001, 021141, приказ Минстроя России от 27.02.2015 № 140/пр</t>
  </si>
  <si>
    <t>Краны на автомобильном ходу при работе на других видах строительства: 10 т</t>
  </si>
  <si>
    <t>021243</t>
  </si>
  <si>
    <t>ТСЭМ-2001, 021243, приказ Минстроя России от 27.02.2015 № 140/пр</t>
  </si>
  <si>
    <t>Краны на гусеничном ходу при работе на других видах строительства: до 16 т</t>
  </si>
  <si>
    <t>040502</t>
  </si>
  <si>
    <t>ТСЭМ-2001, 040502, приказ Минстроя России от 27.02.2015 № 140/пр</t>
  </si>
  <si>
    <t>Установки для сварки: ручной дуговой (постоянного тока)</t>
  </si>
  <si>
    <t>111100</t>
  </si>
  <si>
    <t>ТСЭМ-2001, 111100, приказ Минстроя России от 27.02.2015 № 140/пр</t>
  </si>
  <si>
    <t>Вибратор глубинный</t>
  </si>
  <si>
    <t>331532</t>
  </si>
  <si>
    <t>ТСЭМ-2001, 331532, приказ Минстроя России от 27.02.2015 № 140/пр</t>
  </si>
  <si>
    <t>Пила: цепная электрическая</t>
  </si>
  <si>
    <t>101-0797</t>
  </si>
  <si>
    <t>ТССЦ-2001 Тульской обл. (ред. 2014), 101-0797, приказ Минстроя России от 27.02.2015 № 140/пр</t>
  </si>
  <si>
    <t>Проволока горячекатаная в мотках, диаметром 6,3-6,5 мм</t>
  </si>
  <si>
    <t>101-1529</t>
  </si>
  <si>
    <t>ТССЦ-2001 Тульской обл. (ред. 2014), 101-1529, приказ Минстроя России от 27.02.2015 № 140/пр</t>
  </si>
  <si>
    <t>Электроды диаметром: 6 мм Э42</t>
  </si>
  <si>
    <t>101-1668</t>
  </si>
  <si>
    <t>ТССЦ-2001 Тульской обл. (ред. 2014), 101-1668, приказ Минстроя России от 27.02.2015 № 140/пр</t>
  </si>
  <si>
    <t>Рогожа</t>
  </si>
  <si>
    <t>101-1805</t>
  </si>
  <si>
    <t>ТССЦ-2001 Тульской обл. (ред. 2014), 101-1805, приказ Минстроя России от 27.02.2015 № 140/пр</t>
  </si>
  <si>
    <t>Гвозди строительные</t>
  </si>
  <si>
    <t>102-0008</t>
  </si>
  <si>
    <t>ТССЦ-2001 Тульской обл. (ред. 2014), 102-0008, приказ Минстроя России от 27.02.2015 № 140/пр</t>
  </si>
  <si>
    <t>Лесоматериалы круглые хвойных пород для строительства диаметром 14-24 см, длиной 3-6,5 м</t>
  </si>
  <si>
    <t>102-0025</t>
  </si>
  <si>
    <t>ТССЦ-2001 Тульской обл. (ред. 2014), 102-0025, приказ Минстроя России от 27.02.2015 № 140/пр</t>
  </si>
  <si>
    <t>Бруски обрезные хвойных пород длиной: 4-6,5 м, шириной 75-150 мм, толщиной 40-75 мм, III сорта</t>
  </si>
  <si>
    <t>102-0053</t>
  </si>
  <si>
    <t>ТССЦ-2001 Тульской обл. (ред. 2014), 102-0053, приказ Минстроя России от 27.02.2015 № 140/пр</t>
  </si>
  <si>
    <t>Доски обрезные хвойных пород длиной: 4-6,5 м, шириной 75-150 мм, толщиной 25 мм, III сорта</t>
  </si>
  <si>
    <t>102-0061</t>
  </si>
  <si>
    <t>ТССЦ-2001 Тульской обл. (ред. 2014), 102-0061, приказ Минстроя России от 27.02.2015 № 140/пр</t>
  </si>
  <si>
    <t>Доски обрезные хвойных пород длиной: 4-6,5 м, шириной 75-150 мм, толщиной 44 мм и более, III сорта</t>
  </si>
  <si>
    <t>203-0512</t>
  </si>
  <si>
    <t>ТССЦ-2001 Тульской обл. (ред. 2014), 203-0512, приказ Минстроя России от 27.02.2015 № 140/пр</t>
  </si>
  <si>
    <t>Щиты: из досок толщиной 40 мм</t>
  </si>
  <si>
    <t>405-0253</t>
  </si>
  <si>
    <t>ТССЦ-2001 Тульской обл. (ред. 2014), 405-0253, приказ Минстроя России от 27.02.2015 № 140/пр</t>
  </si>
  <si>
    <t>Известь строительная: негашеная комовая, сорт I</t>
  </si>
  <si>
    <t>121011</t>
  </si>
  <si>
    <t>ТСЭМ-2001, 121011, приказ Минстроя России от 27.02.2015 № 140/пр</t>
  </si>
  <si>
    <t>Котлы битумные: передвижные 400 л</t>
  </si>
  <si>
    <t>101-0073</t>
  </si>
  <si>
    <t>ТССЦ-2001 Тульской обл. (ред. 2014), 101-0073, приказ Минстроя России от 27.02.2015 № 140/пр</t>
  </si>
  <si>
    <t>Битумы нефтяные строительные марки: БН-90/10</t>
  </si>
  <si>
    <t>101-0322</t>
  </si>
  <si>
    <t>ТССЦ-2001 Тульской обл. (ред. 2014), 101-0322, приказ Минстроя России от 27.02.2015 № 140/пр</t>
  </si>
  <si>
    <t>Керосин для технических целей марок КТ-1, КТ-2</t>
  </si>
  <si>
    <t>101-0594</t>
  </si>
  <si>
    <t>ТССЦ-2001 Тульской обл. (ред. 2014), 101-0594, приказ Минстроя России от 27.02.2015 № 140/пр</t>
  </si>
  <si>
    <t>Мастика битумная кровельная горячая</t>
  </si>
  <si>
    <t>101-1742</t>
  </si>
  <si>
    <t>ТССЦ-2001 Тульской обл. (ред. 2014), 101-1742, приказ Минстроя России от 27.02.2015 № 140/пр</t>
  </si>
  <si>
    <t>Толь с крупнозернистой посыпкой гидроизоляционный марки ТГ-350</t>
  </si>
  <si>
    <t>402-0001</t>
  </si>
  <si>
    <t>ТССЦ-2001 Тульской обл. (ред. 2014), 402-0001, приказ Минстроя России от 27.02.2015 № 140/пр</t>
  </si>
  <si>
    <t>Раствор готовый кладочный цементный марки: 25</t>
  </si>
  <si>
    <t>1-1027-71</t>
  </si>
  <si>
    <t>Рабочий строитель среднего разряда 2,7</t>
  </si>
  <si>
    <t>091400</t>
  </si>
  <si>
    <t>ТСЭМ-2001, 091400, приказ Минстроя России от 27.02.2015 № 140/пр</t>
  </si>
  <si>
    <t>Рыхлители прицепные (без трактора)</t>
  </si>
  <si>
    <t>120202</t>
  </si>
  <si>
    <t>ТСЭМ-2001, 120202, приказ Минстроя России от 27.02.2015 № 140/пр</t>
  </si>
  <si>
    <t>Автогрейдеры: среднего типа 99 кВт (135 л.с.)</t>
  </si>
  <si>
    <t>122301</t>
  </si>
  <si>
    <t>ТСЭМ-2001, 122301, приказ Минстроя России от 27.02.2015 № 140/пр</t>
  </si>
  <si>
    <t>Трактор с щетками дорожными навесными</t>
  </si>
  <si>
    <t>1-1029-71</t>
  </si>
  <si>
    <t>Рабочий строитель среднего разряда 2,9</t>
  </si>
  <si>
    <t>102-0038</t>
  </si>
  <si>
    <t>ТССЦ-2001 Тульской обл. (ред. 2014), 102-0038, приказ Минстроя России от 27.02.2015 № 140/пр</t>
  </si>
  <si>
    <t>Брусья необрезные хвойных пород длиной: 4-6,5 м, все ширины, толщиной 100, 125 мм, IV сорта</t>
  </si>
  <si>
    <t>401-0006</t>
  </si>
  <si>
    <t>ТССЦ-2001 Тульской обл. (ред. 2014), 401-0006, приказ Минстроя России от 27.02.2015 № 140/пр</t>
  </si>
  <si>
    <t>Бетон тяжелый, класс: В15 (М200)</t>
  </si>
  <si>
    <t>1-100-31</t>
  </si>
  <si>
    <t>Рабочий среднего разряда 3.1</t>
  </si>
  <si>
    <t>чел.-ч.</t>
  </si>
  <si>
    <t>4-100-00</t>
  </si>
  <si>
    <t>91.05.05-014</t>
  </si>
  <si>
    <t>ФСЭМ-2001, 91.05.05-014, приказ Минстроя России №1039/пр от 30.12.2016г.</t>
  </si>
  <si>
    <t>Краны на автомобильном ходу, грузоподъемность 10 т</t>
  </si>
  <si>
    <t>91.06.05-011</t>
  </si>
  <si>
    <t>ФСЭМ-2001, 91.06.05-011, приказ Минстроя России №1039/пр от 30.12.2016г.</t>
  </si>
  <si>
    <t>Погрузчик, грузоподъемность 5 т</t>
  </si>
  <si>
    <t>91.08.04-021</t>
  </si>
  <si>
    <t>ФСЭМ-2001, 91.08.04-021, приказ Минстроя России №1039/пр от 30.12.2016г.</t>
  </si>
  <si>
    <t>Котлы битумные передвижные 400 л</t>
  </si>
  <si>
    <t>91.14.02-001</t>
  </si>
  <si>
    <t>ФСЭМ-2001, 91.14.02-001, приказ Минстроя России №1039/пр от 30.12.2016г.</t>
  </si>
  <si>
    <t>Автомобили бортовые, грузоподъемность до 5 т</t>
  </si>
  <si>
    <t>01.2.03.03-0045</t>
  </si>
  <si>
    <t>ФССЦ-2001, 01.2.03.03-0045, приказ Минстроя России №1039/пр от 30.12.2016г.</t>
  </si>
  <si>
    <t>Мастика битумно-полимерная</t>
  </si>
  <si>
    <t>04.3.01.09-0014</t>
  </si>
  <si>
    <t>ФССЦ-2001, 04.3.01.09-0014, приказ Минстроя России №1039/пр от 30.12.2016г.</t>
  </si>
  <si>
    <t>Раствор готовый кладочный цементный марки 100</t>
  </si>
  <si>
    <t>07.2.07.12-0019</t>
  </si>
  <si>
    <t>ФССЦ-2001, 07.2.07.12-0019, приказ Минстроя России №1039/пр от 30.12.2016г.</t>
  </si>
  <si>
    <t>Отдельные конструктивные элементы зданий и сооружений с преобладанием горячекатаных профилей, средняя масса сборочной единицы до 0,1 т</t>
  </si>
  <si>
    <t>14.4.03.04-0002</t>
  </si>
  <si>
    <t>ФССЦ-2001, 14.4.03.04-0002, приказ Минстроя России №1039/пр от 30.12.2016г.</t>
  </si>
  <si>
    <t>Лаки каменноугольные, марки Б</t>
  </si>
  <si>
    <t>14.5.07.01-0011</t>
  </si>
  <si>
    <t>ФССЦ-2001, 14.5.07.01-0011, приказ Минстроя России №1039/пр от 30.12.2016г.</t>
  </si>
  <si>
    <t>Пудра алюминиевая, марки ПАП-1</t>
  </si>
  <si>
    <t>060246</t>
  </si>
  <si>
    <t>ТСЭМ-2001, 060246, приказ Минстроя России от 27.02.2015 № 140/пр</t>
  </si>
  <si>
    <t>Экскаваторы одноковшовые дизельные на гусеничном ходу при работе на других видах строительства: 0,4 м3</t>
  </si>
  <si>
    <t>1-100-23</t>
  </si>
  <si>
    <t>Рабочий среднего разряда 2.3</t>
  </si>
  <si>
    <t>91.01.02-004</t>
  </si>
  <si>
    <t>ФСЭМ-2001, 91.01.02-004, приказ Минстроя России №1039/пр от 30.12.2016г.</t>
  </si>
  <si>
    <t>Автогрейдеры среднего типа, мощность 99 кВт (135 л.с.)</t>
  </si>
  <si>
    <t>91.08.03-030</t>
  </si>
  <si>
    <t>ФСЭМ-2001, 91.08.03-030, приказ Минстроя России №1039/пр от 30.12.2016г.</t>
  </si>
  <si>
    <t>Катки на пневмоколесном ходу, масса 30 т</t>
  </si>
  <si>
    <t>91.13.01-038</t>
  </si>
  <si>
    <t>ФСЭМ-2001, 91.13.01-038, приказ Минстроя России №1039/пр от 30.12.2016г.</t>
  </si>
  <si>
    <t>Машины поливомоечные 6000 л</t>
  </si>
  <si>
    <t>01.7.03.01-0001</t>
  </si>
  <si>
    <t>ФССЦ-2001, 01.7.03.01-0001, приказ Минстроя России №1039/пр от 30.12.2016г.</t>
  </si>
  <si>
    <t>1-100-24</t>
  </si>
  <si>
    <t>Рабочий среднего разряда 2.4</t>
  </si>
  <si>
    <t>91.01.01-035</t>
  </si>
  <si>
    <t>ФСЭМ-2001, 91.01.01-035, приказ Минстроя России №1039/пр от 30.12.2016г.</t>
  </si>
  <si>
    <t>Бульдозеры, мощность 79 кВт (108 л.с.)</t>
  </si>
  <si>
    <t>120101</t>
  </si>
  <si>
    <t>ТСЭМ-2001, 120101, приказ Минстроя России от 27.02.2015 № 140/пр</t>
  </si>
  <si>
    <t>Автогудронаторы: 3500 л</t>
  </si>
  <si>
    <t>101-1561</t>
  </si>
  <si>
    <t>ТССЦ-2001 Тульской обл. (ред. 2014), 101-1561, приказ Минстроя России от 27.02.2015 № 140/пр</t>
  </si>
  <si>
    <t>Битумы нефтяные дорожные жидкие, класс: МГ, СГ</t>
  </si>
  <si>
    <t>030301</t>
  </si>
  <si>
    <t>ТСЭМ-2001, 030301, приказ Минстроя России от 27.02.2015 № 140/пр</t>
  </si>
  <si>
    <t>Лебедки ручные и рычажные тяговым усилием: до 9,81 кН (1 т)</t>
  </si>
  <si>
    <t>120909</t>
  </si>
  <si>
    <t>ТСЭМ-2001, 120909, приказ Минстроя России от 27.02.2015 № 140/пр</t>
  </si>
  <si>
    <t>Каток самоходный ДУ-84, гладковальцевый, 14 т</t>
  </si>
  <si>
    <t>121231</t>
  </si>
  <si>
    <t>ТСЭМ-2001, 121231, приказ Минстроя России от 27.02.2015 № 140/пр</t>
  </si>
  <si>
    <t>Перегружатель асфальтовой смеси, емкость бункера до 25 т</t>
  </si>
  <si>
    <t>121601</t>
  </si>
  <si>
    <t>ТСЭМ-2001, 121601, приказ Минстроя России от 27.02.2015 № 140/пр</t>
  </si>
  <si>
    <t>381202</t>
  </si>
  <si>
    <t>ТСЭМ-2001, 381202, приказ Минстроя России от 27.02.2015 № 140/пр</t>
  </si>
  <si>
    <t>Асфальтоукладчик гусеничный типа ABG Titan 325 с шириной укладки от 2 до 5 м</t>
  </si>
  <si>
    <t>381204</t>
  </si>
  <si>
    <t>ТСЭМ-2001, 381204, приказ Минстроя России от 27.02.2015 № 140/пр</t>
  </si>
  <si>
    <t>Разогреватель швов ABACUS</t>
  </si>
  <si>
    <t>381205</t>
  </si>
  <si>
    <t>ТСЭМ-2001, 381205, приказ Минстроя России от 27.02.2015 № 140/пр</t>
  </si>
  <si>
    <t>Каток самоходный ABG DD 74 гладковальцевый, 7т</t>
  </si>
  <si>
    <t>381206</t>
  </si>
  <si>
    <t>ТСЭМ-2001, 381206, приказ Минстроя России от 27.02.2015 № 140/пр</t>
  </si>
  <si>
    <t>Каток самоходный BW-20R, тандемный на пневмоколесном ходу, 12т</t>
  </si>
  <si>
    <t>381207</t>
  </si>
  <si>
    <t>ТСЭМ-2001, 381207, приказ Минстроя России от 27.02.2015 № 140/пр</t>
  </si>
  <si>
    <t>Каток самоходный ABG DD 90, тандемный гладковальцевый, 10т</t>
  </si>
  <si>
    <t>391751</t>
  </si>
  <si>
    <t>ТСЭМ-2001, 391751, приказ Минстроя России от 27.02.2015 № 140/пр</t>
  </si>
  <si>
    <t>Компрессоры передвижные: давление 2,0 МПа, производительность 60 м3/мин</t>
  </si>
  <si>
    <t>393010</t>
  </si>
  <si>
    <t>ТСЭМ-2001, 393010, приказ Минстроя России от 27.02.2015 № 140/пр</t>
  </si>
  <si>
    <t>Нарезчик швов FS-520</t>
  </si>
  <si>
    <t>400302</t>
  </si>
  <si>
    <t>ТСЭМ-2001, 400302, приказ Минстроя России от 27.02.2015 № 140/пр</t>
  </si>
  <si>
    <t>Спецавтомашины типа УАЗ</t>
  </si>
  <si>
    <t>101-0782</t>
  </si>
  <si>
    <t>ТССЦ-2001 Тульской обл. (ред. 2014), 101-0782, приказ Минстроя России от 27.02.2015 № 140/пр</t>
  </si>
  <si>
    <t>Поковки из квадратных заготовок, масса: 1,8 кг</t>
  </si>
  <si>
    <t>101-1659</t>
  </si>
  <si>
    <t>ТССЦ-2001 Тульской обл. (ред. 2014), 101-1659, приказ Минстроя России от 27.02.2015 № 140/пр</t>
  </si>
  <si>
    <t>Диск алмазный для твердых материалов, диаметр: 350 мм</t>
  </si>
  <si>
    <t>шт.</t>
  </si>
  <si>
    <t>101-1682</t>
  </si>
  <si>
    <t>ТССЦ-2001 Тульской обл. (ред. 2014), 101-1682, приказ Минстроя России от 27.02.2015 № 140/пр</t>
  </si>
  <si>
    <t>Шнур полиамидный крученый, диаметром 2 мм</t>
  </si>
  <si>
    <t>101-1797</t>
  </si>
  <si>
    <t>ТССЦ-2001 Тульской обл. (ред. 2014), 101-1797, приказ Минстроя России от 27.02.2015 № 140/пр</t>
  </si>
  <si>
    <t>Эмульсия битумно-дорожная</t>
  </si>
  <si>
    <t>101-1929</t>
  </si>
  <si>
    <t>ТССЦ-2001 Тульской обл. (ред. 2014), 101-1929, приказ Минстроя России от 27.02.2015 № 140/пр</t>
  </si>
  <si>
    <t>Болты анкерные</t>
  </si>
  <si>
    <t>204-0007</t>
  </si>
  <si>
    <t>ТССЦ-2001 Тульской обл. (ред. 2014), 204-0007, приказ Минстроя России от 27.02.2015 № 140/пр</t>
  </si>
  <si>
    <t>Горячекатаная арматурная сталь гладкая класса А-I, диаметром: 20-22 мм</t>
  </si>
  <si>
    <t>411-0002</t>
  </si>
  <si>
    <t>ТССЦ-2001 Тульской обл. (ред. 2014), 411-0002, приказ Минстроя России от 27.02.2015 № 140/пр</t>
  </si>
  <si>
    <t>Вода водопроводная</t>
  </si>
  <si>
    <t>1-1038-71</t>
  </si>
  <si>
    <t>Рабочий строитель среднего разряда 3,8</t>
  </si>
  <si>
    <t>413-9010</t>
  </si>
  <si>
    <t>Камни бортовые</t>
  </si>
  <si>
    <t>м</t>
  </si>
  <si>
    <t>02.3.01.02</t>
  </si>
  <si>
    <t>Песок для строительных работ природный</t>
  </si>
  <si>
    <t>05.1.08.14</t>
  </si>
  <si>
    <t>Конструкции сборные железобетонные</t>
  </si>
  <si>
    <t>02.2.05.04</t>
  </si>
  <si>
    <t>Щебень</t>
  </si>
  <si>
    <t>Поправка: МДС 81-38.2004, прил.3, п.3р  Наименование: Производство ремонтных и других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</t>
  </si>
  <si>
    <t>Поправка: МДС 81-35.2004, прил.1, т.1, п.4  Наименование: Производство строительных и других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</t>
  </si>
  <si>
    <t>Поправка: МДС 81-35.2004, п.4.9  Наименование: По работам, в технологии производства которых предусмотрена сварка металлоконструкций, металлопроката, стальных труб, листового металла, закладных деталей и др. металлоизделий, элементные сметные нормы и единичные расценки разработаны из условия применения углеродистой стали.При применении нержавеющей стали</t>
  </si>
  <si>
    <t>Поправка: МДС 81-35.2004, прил.1, т.1, п.7  Наименование: Строительство новых объектов в стесненных условиях: на территориях действующих предприятий, имеющих разветвленную сеть транспортных и инженерных коммуникаций и стесненные условия для складирования материалов</t>
  </si>
  <si>
    <t>Поправка: МДС 81-38.2004, прил.3, п.3с  Наименование: Производство ремонтных и других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</t>
  </si>
  <si>
    <t>Поправка: МДС 81-36.2004, п.3.5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  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</si>
  <si>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  Поправка: МДС 81-35.2004, прил.1, т.1, п.7  Наименование: Строительство новых объектов в стесненных условиях: на территориях действующих предприятий, имеющих разветвленную сеть транспортных и инженерных коммуникаций и стесненные условия для складирования материалов</t>
  </si>
  <si>
    <t>Поправка: МДС 81-38.2004, прил.3, п.3с  Наименование: Производство ремонтных и других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  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</si>
  <si>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Поправка: МДС 81-36.2004, прил.3, п.3  Наименование: Производство строительных и других работ в существующих зданиях и сооружениях в стесненных условиях: с наличием в зоне производства работ действующего технологического оборудования (станков, установок, кранов и т.п.) или загромождающих предметов (лабораторное оборудование, мебель и т. п.), или движения транспорта по внутрицеховым путям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</si>
  <si>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  Поправка: МДС 81-35.2004, прил.1, т.1, п.4  Наименование: Производство строительных и других работ на открытых и полуоткрытых производственных площадках в стесненных условиях: с наличием в зоне производства работ действующего технологического оборудования или движения технологического транспорта</t>
  </si>
  <si>
    <t>(наименование стройки)</t>
  </si>
  <si>
    <t>(наименование работ и затрат, наименование объекта)</t>
  </si>
  <si>
    <t>текущая цена</t>
  </si>
  <si>
    <t>Сметная стоимость</t>
  </si>
  <si>
    <t>тыс. руб.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</si>
  <si>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</si>
  <si>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</si>
  <si>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</si>
  <si>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</si>
  <si>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</si>
  <si>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</si>
  <si>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</si>
  <si>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</si>
  <si>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</si>
  <si>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</si>
  <si>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</si>
  <si>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</si>
  <si>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</si>
  <si>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</si>
  <si>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</si>
  <si>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</si>
  <si>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</si>
  <si>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Зарплата</t>
  </si>
  <si>
    <t>в т.ч. зарплата машинистов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</si>
  <si>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</si>
  <si>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</si>
  <si>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</si>
  <si>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</si>
  <si>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</si>
  <si>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</si>
  <si>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r>
      <t>Песок строительный с доставкой</t>
    </r>
    <r>
      <rPr>
        <i/>
        <sz val="10"/>
        <rFont val="Arial"/>
        <family val="2"/>
        <charset val="204"/>
      </rPr>
      <t xml:space="preserve">
833,33 = [1 000 / 1,2]</t>
    </r>
  </si>
  <si>
    <r>
      <t>Бетон тяжелый В30</t>
    </r>
    <r>
      <rPr>
        <i/>
        <sz val="10"/>
        <rFont val="Arial"/>
        <family val="2"/>
        <charset val="204"/>
      </rPr>
      <t xml:space="preserve">
8 916,67 = [10 700 / 1,2]</t>
    </r>
  </si>
  <si>
    <r>
      <t>Горячекатаная арматурная сталь класса: А-I, А-II, А-III</t>
    </r>
    <r>
      <rPr>
        <i/>
        <sz val="10"/>
        <rFont val="Arial"/>
        <family val="2"/>
        <charset val="204"/>
      </rPr>
      <t xml:space="preserve">
61 285,00 = [70 000 / 1,2] +  3% Трансп +  2% Заг.скл</t>
    </r>
  </si>
  <si>
    <r>
      <t>Бетон тяжелый В30(М400)</t>
    </r>
    <r>
      <rPr>
        <i/>
        <sz val="10"/>
        <rFont val="Arial"/>
        <family val="2"/>
        <charset val="204"/>
      </rPr>
      <t xml:space="preserve">
6 916,67 = [8 300 / 1,2]</t>
    </r>
  </si>
  <si>
    <r>
      <t>Горячекатаная арматурная сталь класса: А-I, А-II, А-III</t>
    </r>
    <r>
      <rPr>
        <i/>
        <sz val="10"/>
        <rFont val="Arial"/>
        <family val="2"/>
        <charset val="204"/>
      </rPr>
      <t xml:space="preserve">
58 333,33 = [70 000 / 1,2]</t>
    </r>
  </si>
  <si>
    <r>
      <t>Камни бортовые БР100.30.15</t>
    </r>
    <r>
      <rPr>
        <i/>
        <sz val="10"/>
        <rFont val="Arial"/>
        <family val="2"/>
        <charset val="204"/>
      </rPr>
      <t xml:space="preserve">
56,29 = [560 / 1,2 /  8,29]</t>
    </r>
  </si>
  <si>
    <r>
      <t>Щебень  с доставкой</t>
    </r>
    <r>
      <rPr>
        <i/>
        <sz val="10"/>
        <rFont val="Arial"/>
        <family val="2"/>
        <charset val="204"/>
      </rPr>
      <t xml:space="preserve">
1 583,33 = [1 900 / 1,2]</t>
    </r>
  </si>
  <si>
    <r>
      <t>Смеси асфальтобетонные</t>
    </r>
    <r>
      <rPr>
        <i/>
        <sz val="10"/>
        <rFont val="Arial"/>
        <family val="2"/>
        <charset val="204"/>
      </rPr>
      <t xml:space="preserve">
4 892,50 = [5 700 / 1,2] +  3% Трансп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</si>
  <si>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</si>
  <si>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</si>
  <si>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</si>
  <si>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</si>
  <si>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</si>
  <si>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>ОООЗернопродукт</t>
  </si>
  <si>
    <t>ЛОКАЛЬНАЯ СМЕТА</t>
  </si>
  <si>
    <t>Основание: дефектная ведомость</t>
  </si>
  <si>
    <t>Составлен(а) в ТЕР Тульскойобл., письме Минстроя от 15.03.2024г. №14617-ИФ/09</t>
  </si>
  <si>
    <t>100м2</t>
  </si>
  <si>
    <t>100v2</t>
  </si>
  <si>
    <t>100м3</t>
  </si>
  <si>
    <t>Работы по благоустройствы проездов и площадок из бетона и асфальта 2 этап</t>
  </si>
  <si>
    <r>
      <t>Ж/бетонный сборный лоток ЛВ 20-29-23</t>
    </r>
    <r>
      <rPr>
        <i/>
        <sz val="10"/>
        <rFont val="Arial"/>
        <family val="2"/>
        <charset val="204"/>
      </rPr>
      <t xml:space="preserve">
13 132 = [15000 / 1,2] +  3% Трансп +  2% Заг.скл</t>
    </r>
  </si>
  <si>
    <t>При изменении толщины покрытия на 0,5 см добавлять или исключать: к расценке 27-06-029-01 к=4 , до 6см</t>
  </si>
  <si>
    <t>При изменении толщины покрытия на 0,5 см добавлять или исключать: к расценке 27-06-029-01 к=2 , до 5см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</si>
</sst>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;[Red]\-\ #,##0.00"/>
    <numFmt numFmtId="166" formatCode="#,##0;[Red]\-\ #,##0"/>
  </numFmts>
  <fonts count="13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166" fontId="9" fillId="0" borderId="0" xfId="0" applyNumberFormat="1" applyFont="1"/>
    <xf numFmtId="0" fontId="9" fillId="0" borderId="0" xfId="0" applyFont="1" applyAlignment="1">
      <alignment vertical="top" wrapText="1"/>
    </xf>
    <xf numFmtId="0" fontId="9" fillId="0" borderId="2" xfId="0" applyFont="1" applyBorder="1"/>
    <xf numFmtId="165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165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165" fontId="9" fillId="0" borderId="0" xfId="0" applyNumberFormat="1" applyFont="1" applyAlignment="1">
      <alignment horizontal="left"/>
    </xf>
    <xf numFmtId="165" fontId="9" fillId="0" borderId="2" xfId="0" applyNumberFormat="1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wrapText="1"/>
    </xf>
    <xf numFmtId="166" fontId="9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/>
    <xf numFmtId="0" fontId="9" fillId="0" borderId="0" xfId="0" quotePrefix="1" applyFont="1" applyAlignment="1">
      <alignment horizontal="right" wrapText="1"/>
    </xf>
    <xf numFmtId="0" fontId="9" fillId="0" borderId="2" xfId="0" quotePrefix="1" applyFont="1" applyBorder="1" applyAlignment="1">
      <alignment horizontal="righ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0" fillId="2" borderId="0" xfId="0" applyFill="1"/>
    <xf numFmtId="164" fontId="9" fillId="0" borderId="0" xfId="1" applyFont="1"/>
    <xf numFmtId="164" fontId="11" fillId="0" borderId="0" xfId="1" applyFont="1" applyBorder="1" applyAlignment="1">
      <alignment horizontal="center" wrapText="1"/>
    </xf>
    <xf numFmtId="164" fontId="9" fillId="0" borderId="0" xfId="1" applyFont="1" applyAlignment="1">
      <alignment horizontal="center"/>
    </xf>
    <xf numFmtId="164" fontId="11" fillId="0" borderId="0" xfId="1" applyFont="1" applyAlignment="1">
      <alignment horizontal="right"/>
    </xf>
    <xf numFmtId="164" fontId="9" fillId="0" borderId="0" xfId="1" applyFont="1" applyAlignment="1">
      <alignment horizontal="right"/>
    </xf>
    <xf numFmtId="164" fontId="9" fillId="0" borderId="3" xfId="1" applyFont="1" applyBorder="1" applyAlignment="1">
      <alignment horizontal="center" vertical="center" wrapText="1"/>
    </xf>
    <xf numFmtId="164" fontId="9" fillId="0" borderId="2" xfId="1" applyFont="1" applyBorder="1" applyAlignment="1">
      <alignment horizontal="right"/>
    </xf>
    <xf numFmtId="164" fontId="9" fillId="0" borderId="2" xfId="1" applyFont="1" applyBorder="1"/>
    <xf numFmtId="0" fontId="11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11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0" fontId="10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166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11" fillId="2" borderId="0" xfId="0" applyFont="1" applyFill="1" applyAlignment="1">
      <alignment horizontal="left" wrapText="1"/>
    </xf>
    <xf numFmtId="166" fontId="11" fillId="2" borderId="0" xfId="0" applyNumberFormat="1" applyFont="1" applyFill="1" applyAlignment="1">
      <alignment horizontal="right"/>
    </xf>
    <xf numFmtId="0" fontId="11" fillId="2" borderId="0" xfId="0" applyFont="1" applyFill="1"/>
    <xf numFmtId="165" fontId="11" fillId="2" borderId="0" xfId="0" applyNumberFormat="1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30</xdr:col>
      <xdr:colOff>607314</xdr:colOff>
      <xdr:row>65</xdr:row>
      <xdr:rowOff>59674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056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B5" sqref="B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0"/>
  <sheetViews>
    <sheetView tabSelected="1" zoomScaleNormal="100" workbookViewId="0"/>
  </sheetViews>
  <sheetFormatPr defaultColWidth="9.140625" defaultRowHeight="12.75" x14ac:dyDescent="0.2"/>
  <cols>
    <col min="1" max="1" width="5.7109375" style="9" customWidth="1"/>
    <col min="2" max="2" width="11.7109375" style="9" customWidth="1"/>
    <col min="3" max="3" width="49" style="9" customWidth="1"/>
    <col min="4" max="4" width="10.7109375" style="9" customWidth="1"/>
    <col min="5" max="5" width="10.7109375" style="54" customWidth="1"/>
    <col min="6" max="8" width="12.7109375" style="9" customWidth="1"/>
    <col min="9" max="9" width="17.7109375" style="9" customWidth="1"/>
    <col min="10" max="10" width="8.7109375" style="9" customWidth="1"/>
    <col min="11" max="11" width="12.7109375" style="9" customWidth="1"/>
    <col min="12" max="12" width="9.7109375" style="9" customWidth="1"/>
    <col min="13" max="14" width="9.140625" style="9"/>
    <col min="15" max="30" width="0" style="9" hidden="1" customWidth="1"/>
    <col min="31" max="31" width="161.7109375" style="9" hidden="1" customWidth="1"/>
    <col min="32" max="32" width="91.7109375" style="9" hidden="1" customWidth="1"/>
    <col min="33" max="36" width="0" style="9" hidden="1" customWidth="1"/>
    <col min="37" max="16384" width="9.140625" style="9"/>
  </cols>
  <sheetData>
    <row r="1" spans="1:12" x14ac:dyDescent="0.2">
      <c r="A1" s="9" t="str">
        <f>Source!B1</f>
        <v>Smeta.RU  (495) 974-1589</v>
      </c>
    </row>
    <row r="2" spans="1:12" x14ac:dyDescent="0.2">
      <c r="A2" s="20"/>
      <c r="B2" s="62" t="s">
        <v>727</v>
      </c>
      <c r="C2" s="62"/>
      <c r="D2" s="62"/>
      <c r="E2" s="62"/>
      <c r="F2" s="62"/>
      <c r="G2" s="62"/>
      <c r="H2" s="62"/>
      <c r="I2" s="62"/>
      <c r="J2" s="62"/>
      <c r="K2" s="62"/>
      <c r="L2" s="20"/>
    </row>
    <row r="3" spans="1:12" x14ac:dyDescent="0.2">
      <c r="A3" s="21"/>
      <c r="B3" s="63" t="s">
        <v>684</v>
      </c>
      <c r="C3" s="63"/>
      <c r="D3" s="63"/>
      <c r="E3" s="63"/>
      <c r="F3" s="63"/>
      <c r="G3" s="63"/>
      <c r="H3" s="63"/>
      <c r="I3" s="63"/>
      <c r="J3" s="63"/>
      <c r="K3" s="63"/>
      <c r="L3" s="20"/>
    </row>
    <row r="6" spans="1:12" x14ac:dyDescent="0.2">
      <c r="A6" s="22"/>
      <c r="B6" s="62" t="s">
        <v>728</v>
      </c>
      <c r="C6" s="62"/>
      <c r="D6" s="62"/>
      <c r="E6" s="62"/>
      <c r="F6" s="62"/>
      <c r="G6" s="62"/>
      <c r="H6" s="62"/>
      <c r="I6" s="62"/>
      <c r="J6" s="62"/>
      <c r="K6" s="62"/>
      <c r="L6" s="22"/>
    </row>
    <row r="7" spans="1:12" x14ac:dyDescent="0.2">
      <c r="A7" s="22"/>
      <c r="B7" s="23"/>
      <c r="C7" s="23"/>
      <c r="D7" s="23"/>
      <c r="E7" s="55"/>
      <c r="F7" s="23"/>
      <c r="G7" s="23"/>
      <c r="H7" s="23"/>
      <c r="I7" s="23"/>
      <c r="J7" s="23"/>
      <c r="K7" s="23"/>
      <c r="L7" s="22"/>
    </row>
    <row r="8" spans="1:12" hidden="1" x14ac:dyDescent="0.2">
      <c r="A8" s="22"/>
      <c r="B8" s="62"/>
      <c r="C8" s="62"/>
      <c r="D8" s="62"/>
      <c r="E8" s="62"/>
      <c r="F8" s="62"/>
      <c r="G8" s="62"/>
      <c r="H8" s="62"/>
      <c r="I8" s="62"/>
      <c r="J8" s="62"/>
      <c r="K8" s="62"/>
      <c r="L8" s="22"/>
    </row>
    <row r="9" spans="1:12" hidden="1" x14ac:dyDescent="0.2"/>
    <row r="10" spans="1:12" x14ac:dyDescent="0.2">
      <c r="B10" s="68" t="s">
        <v>734</v>
      </c>
      <c r="C10" s="68"/>
      <c r="D10" s="68"/>
      <c r="E10" s="68"/>
      <c r="F10" s="68"/>
      <c r="G10" s="68"/>
      <c r="H10" s="68"/>
      <c r="I10" s="68"/>
      <c r="J10" s="68"/>
      <c r="K10" s="68"/>
      <c r="L10" s="24"/>
    </row>
    <row r="11" spans="1:12" x14ac:dyDescent="0.2">
      <c r="B11" s="69" t="s">
        <v>685</v>
      </c>
      <c r="C11" s="69"/>
      <c r="D11" s="69"/>
      <c r="E11" s="69"/>
      <c r="F11" s="69"/>
      <c r="G11" s="69"/>
      <c r="H11" s="69"/>
      <c r="I11" s="69"/>
      <c r="J11" s="69"/>
      <c r="K11" s="69"/>
      <c r="L11" s="20"/>
    </row>
    <row r="13" spans="1:12" x14ac:dyDescent="0.2">
      <c r="A13" s="70" t="s">
        <v>729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6" spans="1:12" x14ac:dyDescent="0.2">
      <c r="E16" s="56"/>
      <c r="F16" s="25"/>
      <c r="G16" s="65"/>
      <c r="H16" s="65"/>
      <c r="I16" s="65" t="s">
        <v>686</v>
      </c>
      <c r="J16" s="65"/>
    </row>
    <row r="17" spans="1:22" x14ac:dyDescent="0.2">
      <c r="C17" s="64" t="s">
        <v>687</v>
      </c>
      <c r="D17" s="64"/>
      <c r="E17" s="64"/>
      <c r="F17" s="64"/>
      <c r="G17" s="65"/>
      <c r="H17" s="65"/>
      <c r="I17" s="66">
        <f>J480/1000</f>
        <v>13260.755999999999</v>
      </c>
      <c r="J17" s="66"/>
      <c r="K17" s="67" t="s">
        <v>688</v>
      </c>
      <c r="L17" s="67"/>
    </row>
    <row r="18" spans="1:22" x14ac:dyDescent="0.2">
      <c r="C18" s="64" t="s">
        <v>689</v>
      </c>
      <c r="D18" s="64"/>
      <c r="E18" s="64"/>
      <c r="F18" s="64"/>
      <c r="G18" s="65"/>
      <c r="H18" s="65"/>
      <c r="I18" s="66">
        <f>(Source!F506+Source!F507)</f>
        <v>2723.6215043249999</v>
      </c>
      <c r="J18" s="66"/>
      <c r="K18" s="67" t="s">
        <v>690</v>
      </c>
      <c r="L18" s="67"/>
    </row>
    <row r="19" spans="1:22" x14ac:dyDescent="0.2">
      <c r="C19" s="64" t="s">
        <v>691</v>
      </c>
      <c r="D19" s="64"/>
      <c r="E19" s="64"/>
      <c r="F19" s="64"/>
      <c r="G19" s="65"/>
      <c r="H19" s="65"/>
      <c r="I19" s="66">
        <f>(Source!F499+ Source!F498)/1000</f>
        <v>761.66700000000003</v>
      </c>
      <c r="J19" s="66"/>
      <c r="K19" s="67" t="s">
        <v>688</v>
      </c>
      <c r="L19" s="67"/>
    </row>
    <row r="20" spans="1:22" hidden="1" x14ac:dyDescent="0.2">
      <c r="C20" s="71" t="s">
        <v>107</v>
      </c>
      <c r="D20" s="71"/>
      <c r="E20" s="71"/>
      <c r="F20" s="71"/>
      <c r="G20" s="66"/>
      <c r="H20" s="66"/>
      <c r="I20" s="66"/>
      <c r="J20" s="66"/>
      <c r="K20" s="26" t="s">
        <v>688</v>
      </c>
    </row>
    <row r="21" spans="1:22" x14ac:dyDescent="0.2">
      <c r="C21" s="27"/>
      <c r="D21" s="27"/>
      <c r="E21" s="57"/>
      <c r="F21" s="28"/>
      <c r="G21" s="29"/>
      <c r="H21" s="29"/>
      <c r="I21" s="29"/>
      <c r="J21" s="29"/>
      <c r="K21" s="29"/>
      <c r="L21" s="29"/>
    </row>
    <row r="22" spans="1:22" hidden="1" x14ac:dyDescent="0.2">
      <c r="A22" s="28" t="s">
        <v>692</v>
      </c>
      <c r="D22" s="30"/>
      <c r="G22" s="29"/>
      <c r="H22" s="29"/>
      <c r="I22" s="28"/>
      <c r="J22" s="29"/>
      <c r="K22" s="29"/>
      <c r="L22" s="29"/>
    </row>
    <row r="23" spans="1:22" hidden="1" x14ac:dyDescent="0.2">
      <c r="A23" s="28" t="s">
        <v>693</v>
      </c>
      <c r="D23" s="30"/>
      <c r="G23" s="29"/>
      <c r="H23" s="29"/>
      <c r="I23" s="28"/>
      <c r="J23" s="29"/>
      <c r="K23" s="29"/>
      <c r="L23" s="29"/>
    </row>
    <row r="24" spans="1:22" hidden="1" x14ac:dyDescent="0.2">
      <c r="C24" s="31"/>
      <c r="D24" s="31"/>
      <c r="E24" s="58"/>
      <c r="F24" s="31"/>
      <c r="G24" s="29"/>
      <c r="H24" s="29"/>
      <c r="I24" s="28"/>
      <c r="J24" s="29"/>
      <c r="K24" s="29"/>
      <c r="L24" s="29"/>
    </row>
    <row r="25" spans="1:22" s="52" customFormat="1" x14ac:dyDescent="0.2">
      <c r="A25" s="72" t="s">
        <v>730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22" ht="51" x14ac:dyDescent="0.2">
      <c r="A26" s="32" t="s">
        <v>694</v>
      </c>
      <c r="B26" s="32" t="s">
        <v>695</v>
      </c>
      <c r="C26" s="32" t="s">
        <v>696</v>
      </c>
      <c r="D26" s="32" t="s">
        <v>697</v>
      </c>
      <c r="E26" s="59" t="s">
        <v>698</v>
      </c>
      <c r="F26" s="32" t="s">
        <v>699</v>
      </c>
      <c r="G26" s="32" t="s">
        <v>700</v>
      </c>
      <c r="H26" s="32" t="s">
        <v>701</v>
      </c>
      <c r="I26" s="32" t="s">
        <v>702</v>
      </c>
      <c r="J26" s="32" t="s">
        <v>703</v>
      </c>
      <c r="K26" s="32" t="s">
        <v>704</v>
      </c>
      <c r="L26" s="32" t="s">
        <v>705</v>
      </c>
    </row>
    <row r="27" spans="1:22" x14ac:dyDescent="0.2">
      <c r="A27" s="33">
        <v>1</v>
      </c>
      <c r="B27" s="33">
        <v>2</v>
      </c>
      <c r="C27" s="33">
        <v>3</v>
      </c>
      <c r="D27" s="33">
        <v>4</v>
      </c>
      <c r="E27" s="33">
        <v>5</v>
      </c>
      <c r="F27" s="33">
        <v>6</v>
      </c>
      <c r="G27" s="33">
        <v>7</v>
      </c>
      <c r="H27" s="33">
        <v>8</v>
      </c>
      <c r="I27" s="33">
        <v>9</v>
      </c>
      <c r="J27" s="33">
        <v>10</v>
      </c>
      <c r="K27" s="33">
        <v>11</v>
      </c>
      <c r="L27" s="34">
        <v>12</v>
      </c>
    </row>
    <row r="29" spans="1:22" hidden="1" x14ac:dyDescent="0.2"/>
    <row r="30" spans="1:22" hidden="1" x14ac:dyDescent="0.2">
      <c r="A30" s="76" t="str">
        <f>CONCATENATE("Раздел: ",IF(Source!G24&lt;&gt;"Новый раздел", Source!G24, ""))</f>
        <v>Раздел: Подготовительные работы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22" ht="38.25" hidden="1" x14ac:dyDescent="0.2">
      <c r="A31" s="35">
        <v>1</v>
      </c>
      <c r="B31" s="35" t="str">
        <f>Source!F28</f>
        <v>46-04-003-8</v>
      </c>
      <c r="C31" s="35" t="str">
        <f>Source!G28</f>
        <v>Разборка железобетонных конструкций объемом более 1 м3 при помощи отбойных молотков из бетона марки: 200</v>
      </c>
      <c r="D31" s="36" t="str">
        <f>Source!H28</f>
        <v>1 м3</v>
      </c>
      <c r="E31" s="58">
        <f>Source!I28</f>
        <v>0</v>
      </c>
      <c r="F31" s="14">
        <f>Source!AL28+Source!AM28+Source!AO28</f>
        <v>1950.0199999999998</v>
      </c>
      <c r="G31" s="15"/>
      <c r="H31" s="37"/>
      <c r="I31" s="15" t="str">
        <f>Source!BO28</f>
        <v/>
      </c>
      <c r="J31" s="15"/>
      <c r="K31" s="37"/>
      <c r="L31" s="31"/>
      <c r="S31" s="9">
        <f>ROUND((Source!FX28/100)*((ROUND(Source!AF28*Source!I28, 0)+ROUND(Source!AE28*Source!I28, 0))), 0)</f>
        <v>0</v>
      </c>
      <c r="T31" s="9">
        <f>Source!X28</f>
        <v>0</v>
      </c>
      <c r="U31" s="9">
        <f>ROUND((Source!FY28/100)*((ROUND(Source!AF28*Source!I28, 0)+ROUND(Source!AE28*Source!I28, 0))), 0)</f>
        <v>0</v>
      </c>
      <c r="V31" s="9">
        <f>Source!Y28</f>
        <v>0</v>
      </c>
    </row>
    <row r="32" spans="1:22" hidden="1" x14ac:dyDescent="0.2">
      <c r="A32" s="35"/>
      <c r="B32" s="35"/>
      <c r="C32" s="35" t="s">
        <v>706</v>
      </c>
      <c r="D32" s="36"/>
      <c r="E32" s="58"/>
      <c r="F32" s="14">
        <f>Source!AO28</f>
        <v>276.56</v>
      </c>
      <c r="G32" s="15" t="s">
        <v>31</v>
      </c>
      <c r="H32" s="37">
        <f>ROUND(Source!AF28*Source!I28, 0)</f>
        <v>0</v>
      </c>
      <c r="I32" s="15"/>
      <c r="J32" s="15">
        <f>IF(Source!BA28&lt;&gt; 0, Source!BA28, 1)</f>
        <v>34.75</v>
      </c>
      <c r="K32" s="37">
        <f>Source!S28</f>
        <v>0</v>
      </c>
      <c r="L32" s="31"/>
      <c r="R32" s="9">
        <f>H32</f>
        <v>0</v>
      </c>
    </row>
    <row r="33" spans="1:26" hidden="1" x14ac:dyDescent="0.2">
      <c r="A33" s="35"/>
      <c r="B33" s="35"/>
      <c r="C33" s="35" t="s">
        <v>89</v>
      </c>
      <c r="D33" s="36"/>
      <c r="E33" s="58"/>
      <c r="F33" s="14">
        <f>Source!AM28</f>
        <v>1622.6</v>
      </c>
      <c r="G33" s="15" t="s">
        <v>31</v>
      </c>
      <c r="H33" s="37">
        <f>ROUND(Source!AD28*Source!I28, 0)</f>
        <v>0</v>
      </c>
      <c r="I33" s="15"/>
      <c r="J33" s="15">
        <f>IF(Source!BB28&lt;&gt; 0, Source!BB28, 1)</f>
        <v>13.36</v>
      </c>
      <c r="K33" s="37">
        <f>Source!Q28</f>
        <v>0</v>
      </c>
      <c r="L33" s="31"/>
    </row>
    <row r="34" spans="1:26" hidden="1" x14ac:dyDescent="0.2">
      <c r="A34" s="35"/>
      <c r="B34" s="35"/>
      <c r="C34" s="35" t="s">
        <v>707</v>
      </c>
      <c r="D34" s="36"/>
      <c r="E34" s="58"/>
      <c r="F34" s="14">
        <f>Source!AN28</f>
        <v>149.37</v>
      </c>
      <c r="G34" s="15" t="s">
        <v>31</v>
      </c>
      <c r="H34" s="38">
        <f>ROUND(Source!AE28*Source!I28, 0)</f>
        <v>0</v>
      </c>
      <c r="I34" s="15"/>
      <c r="J34" s="15">
        <f>IF(Source!BS28&lt;&gt; 0, Source!BS28, 1)</f>
        <v>34.75</v>
      </c>
      <c r="K34" s="38">
        <f>Source!R28</f>
        <v>0</v>
      </c>
      <c r="L34" s="31"/>
      <c r="R34" s="9">
        <f>H34</f>
        <v>0</v>
      </c>
    </row>
    <row r="35" spans="1:26" hidden="1" x14ac:dyDescent="0.2">
      <c r="A35" s="35"/>
      <c r="B35" s="35"/>
      <c r="C35" s="35" t="s">
        <v>708</v>
      </c>
      <c r="D35" s="36"/>
      <c r="E35" s="58"/>
      <c r="F35" s="14">
        <f>Source!AL28</f>
        <v>50.86</v>
      </c>
      <c r="G35" s="15" t="s">
        <v>3</v>
      </c>
      <c r="H35" s="37">
        <f>ROUND(Source!AC28*Source!I28, 0)</f>
        <v>0</v>
      </c>
      <c r="I35" s="15"/>
      <c r="J35" s="15">
        <f>IF(Source!BC28&lt;&gt; 0, Source!BC28, 1)</f>
        <v>8.2899999999999991</v>
      </c>
      <c r="K35" s="37">
        <f>Source!P28</f>
        <v>0</v>
      </c>
      <c r="L35" s="31"/>
    </row>
    <row r="36" spans="1:26" hidden="1" x14ac:dyDescent="0.2">
      <c r="A36" s="35"/>
      <c r="B36" s="35"/>
      <c r="C36" s="35" t="s">
        <v>709</v>
      </c>
      <c r="D36" s="36" t="s">
        <v>710</v>
      </c>
      <c r="E36" s="58">
        <f>Source!BZ28</f>
        <v>110</v>
      </c>
      <c r="F36" s="18"/>
      <c r="G36" s="15"/>
      <c r="H36" s="37">
        <f>SUM(S31:S38)</f>
        <v>0</v>
      </c>
      <c r="I36" s="15"/>
      <c r="J36" s="39">
        <f>Source!AT28</f>
        <v>110</v>
      </c>
      <c r="K36" s="37">
        <f>SUM(T31:T38)</f>
        <v>0</v>
      </c>
      <c r="L36" s="31"/>
    </row>
    <row r="37" spans="1:26" hidden="1" x14ac:dyDescent="0.2">
      <c r="A37" s="35"/>
      <c r="B37" s="35"/>
      <c r="C37" s="35" t="s">
        <v>711</v>
      </c>
      <c r="D37" s="36" t="s">
        <v>710</v>
      </c>
      <c r="E37" s="58">
        <f>Source!CA28</f>
        <v>70</v>
      </c>
      <c r="F37" s="18"/>
      <c r="G37" s="15"/>
      <c r="H37" s="37">
        <f>SUM(U31:U38)</f>
        <v>0</v>
      </c>
      <c r="I37" s="15"/>
      <c r="J37" s="39">
        <f>Source!AU28</f>
        <v>70</v>
      </c>
      <c r="K37" s="37">
        <f>SUM(V31:V38)</f>
        <v>0</v>
      </c>
      <c r="L37" s="31"/>
    </row>
    <row r="38" spans="1:26" hidden="1" x14ac:dyDescent="0.2">
      <c r="A38" s="40"/>
      <c r="B38" s="40"/>
      <c r="C38" s="40" t="s">
        <v>712</v>
      </c>
      <c r="D38" s="41" t="s">
        <v>713</v>
      </c>
      <c r="E38" s="60">
        <f>Source!AQ28</f>
        <v>34.700000000000003</v>
      </c>
      <c r="F38" s="16"/>
      <c r="G38" s="17" t="s">
        <v>31</v>
      </c>
      <c r="H38" s="43"/>
      <c r="I38" s="17"/>
      <c r="J38" s="17"/>
      <c r="K38" s="43"/>
      <c r="L38" s="16">
        <f>Source!U28</f>
        <v>0</v>
      </c>
    </row>
    <row r="39" spans="1:26" hidden="1" x14ac:dyDescent="0.2">
      <c r="G39" s="75">
        <v>2991</v>
      </c>
      <c r="H39" s="75"/>
      <c r="J39" s="75">
        <f>K32+K33+K35+K36+K37</f>
        <v>0</v>
      </c>
      <c r="K39" s="75"/>
      <c r="L39" s="44">
        <f>Source!U28</f>
        <v>0</v>
      </c>
      <c r="O39" s="11">
        <f>G39</f>
        <v>2991</v>
      </c>
      <c r="P39" s="11">
        <f>J39</f>
        <v>0</v>
      </c>
      <c r="Q39" s="10">
        <f>L39</f>
        <v>0</v>
      </c>
      <c r="W39" s="9">
        <f>IF(Source!BI28&lt;=1,H32+H33+H35+H36+H37, 0)</f>
        <v>0</v>
      </c>
      <c r="X39" s="9">
        <f>IF(Source!BI28=2,H32+H33+H35+H36+H37, 0)</f>
        <v>0</v>
      </c>
      <c r="Y39" s="9">
        <f>IF(Source!BI28=3,H32+H33+H35+H36+H37, 0)</f>
        <v>0</v>
      </c>
      <c r="Z39" s="9">
        <f>IF(Source!BI28=4,H32+H33+H35+H36+H37, 0)</f>
        <v>0</v>
      </c>
    </row>
    <row r="40" spans="1:26" ht="25.5" hidden="1" x14ac:dyDescent="0.2">
      <c r="A40" s="35">
        <v>2</v>
      </c>
      <c r="B40" s="35" t="str">
        <f>Source!F29</f>
        <v>01-02-057-2</v>
      </c>
      <c r="C40" s="35" t="str">
        <f>Source!G29</f>
        <v>Разработка и доработка грунта вручную</v>
      </c>
      <c r="D40" s="36" t="str">
        <f>Source!H29</f>
        <v>100 м3 грунта</v>
      </c>
      <c r="E40" s="58">
        <f>Source!I29</f>
        <v>0</v>
      </c>
      <c r="F40" s="14">
        <f>Source!AL29+Source!AM29+Source!AO29</f>
        <v>1122.6600000000001</v>
      </c>
      <c r="G40" s="15"/>
      <c r="H40" s="37"/>
      <c r="I40" s="15" t="str">
        <f>Source!BO29</f>
        <v/>
      </c>
      <c r="J40" s="15"/>
      <c r="K40" s="37"/>
      <c r="L40" s="31"/>
      <c r="S40" s="9">
        <f>ROUND((Source!FX29/100)*((ROUND(Source!AF29*Source!I29, 0)+ROUND(Source!AE29*Source!I29, 0))), 0)</f>
        <v>0</v>
      </c>
      <c r="T40" s="9">
        <f>Source!X29</f>
        <v>0</v>
      </c>
      <c r="U40" s="9">
        <f>ROUND((Source!FY29/100)*((ROUND(Source!AF29*Source!I29, 0)+ROUND(Source!AE29*Source!I29, 0))), 0)</f>
        <v>0</v>
      </c>
      <c r="V40" s="9">
        <f>Source!Y29</f>
        <v>0</v>
      </c>
    </row>
    <row r="41" spans="1:26" hidden="1" x14ac:dyDescent="0.2">
      <c r="C41" s="12" t="str">
        <f>"Объем: "&amp;Source!I29&amp;"=(5,8+"&amp;"24,4)/"&amp;"100"</f>
        <v>Объем: =(5,8+24,4)/100</v>
      </c>
    </row>
    <row r="42" spans="1:26" hidden="1" x14ac:dyDescent="0.2">
      <c r="A42" s="35"/>
      <c r="B42" s="35"/>
      <c r="C42" s="35" t="s">
        <v>706</v>
      </c>
      <c r="D42" s="36"/>
      <c r="E42" s="58"/>
      <c r="F42" s="14">
        <f>Source!AO29</f>
        <v>1122.6600000000001</v>
      </c>
      <c r="G42" s="15" t="s">
        <v>31</v>
      </c>
      <c r="H42" s="37">
        <f>ROUND(Source!AF29*Source!I29, 0)</f>
        <v>0</v>
      </c>
      <c r="I42" s="15"/>
      <c r="J42" s="15">
        <f>IF(Source!BA29&lt;&gt; 0, Source!BA29, 1)</f>
        <v>34.75</v>
      </c>
      <c r="K42" s="37">
        <f>Source!S29</f>
        <v>0</v>
      </c>
      <c r="L42" s="31"/>
      <c r="R42" s="9">
        <f>H42</f>
        <v>0</v>
      </c>
    </row>
    <row r="43" spans="1:26" hidden="1" x14ac:dyDescent="0.2">
      <c r="A43" s="35"/>
      <c r="B43" s="35"/>
      <c r="C43" s="35" t="s">
        <v>709</v>
      </c>
      <c r="D43" s="36" t="s">
        <v>710</v>
      </c>
      <c r="E43" s="58">
        <f>Source!BZ29</f>
        <v>80</v>
      </c>
      <c r="F43" s="18"/>
      <c r="G43" s="15"/>
      <c r="H43" s="37">
        <f>SUM(S40:S45)</f>
        <v>0</v>
      </c>
      <c r="I43" s="15"/>
      <c r="J43" s="39">
        <f>Source!AT29</f>
        <v>80</v>
      </c>
      <c r="K43" s="37">
        <f>SUM(T40:T45)</f>
        <v>0</v>
      </c>
      <c r="L43" s="31"/>
    </row>
    <row r="44" spans="1:26" hidden="1" x14ac:dyDescent="0.2">
      <c r="A44" s="35"/>
      <c r="B44" s="35"/>
      <c r="C44" s="35" t="s">
        <v>711</v>
      </c>
      <c r="D44" s="36" t="s">
        <v>710</v>
      </c>
      <c r="E44" s="58">
        <f>Source!CA29</f>
        <v>45</v>
      </c>
      <c r="F44" s="18"/>
      <c r="G44" s="15"/>
      <c r="H44" s="37">
        <f>SUM(U40:U45)</f>
        <v>0</v>
      </c>
      <c r="I44" s="15"/>
      <c r="J44" s="39">
        <f>Source!AU29</f>
        <v>45</v>
      </c>
      <c r="K44" s="37">
        <f>SUM(V40:V45)</f>
        <v>0</v>
      </c>
      <c r="L44" s="31"/>
    </row>
    <row r="45" spans="1:26" hidden="1" x14ac:dyDescent="0.2">
      <c r="A45" s="40"/>
      <c r="B45" s="40"/>
      <c r="C45" s="40" t="s">
        <v>712</v>
      </c>
      <c r="D45" s="41" t="s">
        <v>713</v>
      </c>
      <c r="E45" s="60">
        <f>Source!AQ29</f>
        <v>154</v>
      </c>
      <c r="F45" s="16"/>
      <c r="G45" s="17" t="s">
        <v>31</v>
      </c>
      <c r="H45" s="43"/>
      <c r="I45" s="17"/>
      <c r="J45" s="17"/>
      <c r="K45" s="43"/>
      <c r="L45" s="16">
        <f>Source!U29</f>
        <v>0</v>
      </c>
    </row>
    <row r="46" spans="1:26" hidden="1" x14ac:dyDescent="0.2">
      <c r="G46" s="75">
        <v>878</v>
      </c>
      <c r="H46" s="75"/>
      <c r="J46" s="75">
        <f>K42+K43+K44</f>
        <v>0</v>
      </c>
      <c r="K46" s="75"/>
      <c r="L46" s="44">
        <f>Source!U29</f>
        <v>0</v>
      </c>
      <c r="O46" s="11">
        <f>G46</f>
        <v>878</v>
      </c>
      <c r="P46" s="11">
        <f>J46</f>
        <v>0</v>
      </c>
      <c r="Q46" s="10">
        <f>L46</f>
        <v>0</v>
      </c>
      <c r="W46" s="9">
        <f>IF(Source!BI29&lt;=1,H42+H43+H44, 0)</f>
        <v>0</v>
      </c>
      <c r="X46" s="9">
        <f>IF(Source!BI29=2,H42+H43+H44, 0)</f>
        <v>0</v>
      </c>
      <c r="Y46" s="9">
        <f>IF(Source!BI29=3,H42+H43+H44, 0)</f>
        <v>0</v>
      </c>
      <c r="Z46" s="9">
        <f>IF(Source!BI29=4,H42+H43+H44, 0)</f>
        <v>0</v>
      </c>
    </row>
    <row r="47" spans="1:26" ht="38.25" hidden="1" x14ac:dyDescent="0.2">
      <c r="A47" s="35">
        <v>3</v>
      </c>
      <c r="B47" s="35" t="str">
        <f>Source!F34</f>
        <v>т03-21-001-2</v>
      </c>
      <c r="C47" s="35" t="str">
        <f>Source!G34</f>
        <v>Перевозка  ж/бетонного лома автомобилями-самосвалами грузоподъемностью 10 т работающих  на расстояние до 2 км</v>
      </c>
      <c r="D47" s="36" t="str">
        <f>Source!H34</f>
        <v>1 Т ГРУЗА</v>
      </c>
      <c r="E47" s="58">
        <f>Source!I34</f>
        <v>0</v>
      </c>
      <c r="F47" s="14">
        <f>Source!AL34+Source!AM34+Source!AO34</f>
        <v>2.72</v>
      </c>
      <c r="G47" s="15"/>
      <c r="H47" s="37"/>
      <c r="I47" s="15" t="str">
        <f>Source!BO34</f>
        <v/>
      </c>
      <c r="J47" s="15"/>
      <c r="K47" s="37"/>
      <c r="L47" s="31"/>
      <c r="S47" s="9">
        <f>ROUND((Source!FX34/100)*((ROUND(Source!AF34*Source!I34, 0)+ROUND(Source!AE34*Source!I34, 0))), 0)</f>
        <v>0</v>
      </c>
      <c r="T47" s="9">
        <f>Source!X34</f>
        <v>0</v>
      </c>
      <c r="U47" s="9">
        <f>ROUND((Source!FY34/100)*((ROUND(Source!AF34*Source!I34, 0)+ROUND(Source!AE34*Source!I34, 0))), 0)</f>
        <v>0</v>
      </c>
      <c r="V47" s="9">
        <f>Source!Y34</f>
        <v>0</v>
      </c>
    </row>
    <row r="48" spans="1:26" hidden="1" x14ac:dyDescent="0.2">
      <c r="A48" s="40"/>
      <c r="B48" s="40"/>
      <c r="C48" s="40" t="s">
        <v>89</v>
      </c>
      <c r="D48" s="41"/>
      <c r="E48" s="60"/>
      <c r="F48" s="16">
        <f>Source!AM34</f>
        <v>2.72</v>
      </c>
      <c r="G48" s="17" t="s">
        <v>3</v>
      </c>
      <c r="H48" s="43">
        <f>ROUND(Source!AD34*Source!I34, 0)</f>
        <v>0</v>
      </c>
      <c r="I48" s="17"/>
      <c r="J48" s="17">
        <f>IF(Source!BB34&lt;&gt; 0, Source!BB34, 1)</f>
        <v>13.36</v>
      </c>
      <c r="K48" s="43">
        <f>Source!Q34</f>
        <v>0</v>
      </c>
      <c r="L48" s="42"/>
    </row>
    <row r="49" spans="1:26" hidden="1" x14ac:dyDescent="0.2">
      <c r="G49" s="75">
        <v>75</v>
      </c>
      <c r="H49" s="75"/>
      <c r="J49" s="75">
        <f>K48</f>
        <v>0</v>
      </c>
      <c r="K49" s="75"/>
      <c r="L49" s="44">
        <f>Source!U34</f>
        <v>0</v>
      </c>
      <c r="O49" s="11">
        <f>G49</f>
        <v>75</v>
      </c>
      <c r="P49" s="11">
        <f>J49</f>
        <v>0</v>
      </c>
      <c r="Q49" s="10">
        <f>L49</f>
        <v>0</v>
      </c>
      <c r="W49" s="9">
        <f>IF(Source!BI34&lt;=1,H48, 0)</f>
        <v>0</v>
      </c>
      <c r="X49" s="9">
        <f>IF(Source!BI34=2,H48, 0)</f>
        <v>0</v>
      </c>
      <c r="Y49" s="9">
        <f>IF(Source!BI34=3,H48, 0)</f>
        <v>0</v>
      </c>
      <c r="Z49" s="9">
        <f>IF(Source!BI34=4,H48, 0)</f>
        <v>0</v>
      </c>
    </row>
    <row r="50" spans="1:26" ht="25.5" hidden="1" x14ac:dyDescent="0.2">
      <c r="A50" s="35">
        <v>4</v>
      </c>
      <c r="B50" s="35" t="str">
        <f>Source!F35</f>
        <v>т03-21-001-10</v>
      </c>
      <c r="C50" s="35" t="str">
        <f>Source!G35</f>
        <v>Перевозка грунта автомобилями-самосвалами грузоподъемностью 10 т  на расстояние до 10 км</v>
      </c>
      <c r="D50" s="36" t="str">
        <f>Source!H35</f>
        <v>1 Т ГРУЗА</v>
      </c>
      <c r="E50" s="58">
        <f>Source!I35</f>
        <v>0</v>
      </c>
      <c r="F50" s="14">
        <f>Source!AL35+Source!AM35+Source!AO35</f>
        <v>8.0399999999999991</v>
      </c>
      <c r="G50" s="15"/>
      <c r="H50" s="37"/>
      <c r="I50" s="15" t="str">
        <f>Source!BO35</f>
        <v/>
      </c>
      <c r="J50" s="15"/>
      <c r="K50" s="37"/>
      <c r="L50" s="31"/>
      <c r="S50" s="9">
        <f>ROUND((Source!FX35/100)*((ROUND(Source!AF35*Source!I35, 0)+ROUND(Source!AE35*Source!I35, 0))), 0)</f>
        <v>0</v>
      </c>
      <c r="T50" s="9">
        <f>Source!X35</f>
        <v>0</v>
      </c>
      <c r="U50" s="9">
        <f>ROUND((Source!FY35/100)*((ROUND(Source!AF35*Source!I35, 0)+ROUND(Source!AE35*Source!I35, 0))), 0)</f>
        <v>0</v>
      </c>
      <c r="V50" s="9">
        <f>Source!Y35</f>
        <v>0</v>
      </c>
    </row>
    <row r="51" spans="1:26" hidden="1" x14ac:dyDescent="0.2">
      <c r="A51" s="40"/>
      <c r="B51" s="40"/>
      <c r="C51" s="40" t="s">
        <v>89</v>
      </c>
      <c r="D51" s="41"/>
      <c r="E51" s="60"/>
      <c r="F51" s="16">
        <f>Source!AM35</f>
        <v>8.0399999999999991</v>
      </c>
      <c r="G51" s="17" t="s">
        <v>3</v>
      </c>
      <c r="H51" s="43">
        <f>ROUND(Source!AD35*Source!I35, 0)</f>
        <v>0</v>
      </c>
      <c r="I51" s="17"/>
      <c r="J51" s="17">
        <f>IF(Source!BB35&lt;&gt; 0, Source!BB35, 1)</f>
        <v>13.36</v>
      </c>
      <c r="K51" s="43">
        <f>Source!Q35</f>
        <v>0</v>
      </c>
      <c r="L51" s="42"/>
    </row>
    <row r="52" spans="1:26" hidden="1" x14ac:dyDescent="0.2">
      <c r="G52" s="75">
        <v>223</v>
      </c>
      <c r="H52" s="75"/>
      <c r="J52" s="75">
        <f>K51</f>
        <v>0</v>
      </c>
      <c r="K52" s="75"/>
      <c r="L52" s="44">
        <f>Source!U35</f>
        <v>0</v>
      </c>
      <c r="O52" s="11">
        <f>G52</f>
        <v>223</v>
      </c>
      <c r="P52" s="11">
        <f>J52</f>
        <v>0</v>
      </c>
      <c r="Q52" s="10">
        <f>L52</f>
        <v>0</v>
      </c>
      <c r="W52" s="9">
        <f>IF(Source!BI35&lt;=1,H51, 0)</f>
        <v>0</v>
      </c>
      <c r="X52" s="9">
        <f>IF(Source!BI35=2,H51, 0)</f>
        <v>0</v>
      </c>
      <c r="Y52" s="9">
        <f>IF(Source!BI35=3,H51, 0)</f>
        <v>0</v>
      </c>
      <c r="Z52" s="9">
        <f>IF(Source!BI35=4,H51, 0)</f>
        <v>0</v>
      </c>
    </row>
    <row r="53" spans="1:26" hidden="1" x14ac:dyDescent="0.2"/>
    <row r="54" spans="1:26" hidden="1" x14ac:dyDescent="0.2">
      <c r="A54" s="73" t="str">
        <f>CONCATENATE("Итого по разделу: ",IF(Source!G37&lt;&gt;"Новый раздел", Source!G37, ""))</f>
        <v>Итого по разделу: Подготовительные работы</v>
      </c>
      <c r="B54" s="73"/>
      <c r="C54" s="73"/>
      <c r="D54" s="73"/>
      <c r="E54" s="73"/>
      <c r="F54" s="73"/>
      <c r="G54" s="74">
        <v>4167</v>
      </c>
      <c r="H54" s="74"/>
      <c r="I54" s="45"/>
      <c r="J54" s="74">
        <f>SUM(P30:P53)</f>
        <v>0</v>
      </c>
      <c r="K54" s="74"/>
      <c r="L54" s="44">
        <f>SUM(Q30:Q53)</f>
        <v>0</v>
      </c>
    </row>
    <row r="55" spans="1:26" hidden="1" x14ac:dyDescent="0.2"/>
    <row r="56" spans="1:26" hidden="1" x14ac:dyDescent="0.2"/>
    <row r="58" spans="1:26" x14ac:dyDescent="0.2">
      <c r="A58" s="76" t="str">
        <f>CONCATENATE("Раздел: ",IF(Source!G67&lt;&gt;"Новый раздел", Source!G67, ""))</f>
        <v>Раздел: Бетонные работы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60" spans="1:26" x14ac:dyDescent="0.2">
      <c r="A60" s="76" t="str">
        <f>CONCATENATE("Подраздел: ",IF(Source!G71&lt;&gt;"Новый подраздел", Source!G71, ""))</f>
        <v>Подраздел: Участок ТИП1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26" ht="51" hidden="1" x14ac:dyDescent="0.2">
      <c r="A61" s="35">
        <v>1</v>
      </c>
      <c r="B61" s="35" t="str">
        <f>Source!F75</f>
        <v>01-02-005-1</v>
      </c>
      <c r="C61" s="35" t="str">
        <f>Source!G75</f>
        <v>Уплотнение грунта пневматическими трамбовками, группа грунтов: 1-2</v>
      </c>
      <c r="D61" s="36" t="str">
        <f>Source!H75</f>
        <v>100 м3 уплотненного грунта</v>
      </c>
      <c r="E61" s="58">
        <f>Source!I75</f>
        <v>0</v>
      </c>
      <c r="F61" s="14">
        <f>Source!AL75+Source!AM75+Source!AO75</f>
        <v>407.12</v>
      </c>
      <c r="G61" s="15"/>
      <c r="H61" s="37"/>
      <c r="I61" s="15" t="str">
        <f>Source!BO75</f>
        <v/>
      </c>
      <c r="J61" s="15"/>
      <c r="K61" s="37"/>
      <c r="L61" s="31"/>
      <c r="S61" s="9">
        <f>ROUND((Source!FX75/100)*((ROUND(Source!AF75*Source!I75, 0)+ROUND(Source!AE75*Source!I75, 0))), 0)</f>
        <v>0</v>
      </c>
      <c r="T61" s="9">
        <f>Source!X75</f>
        <v>0</v>
      </c>
      <c r="U61" s="9">
        <f>ROUND((Source!FY75/100)*((ROUND(Source!AF75*Source!I75, 0)+ROUND(Source!AE75*Source!I75, 0))), 0)</f>
        <v>0</v>
      </c>
      <c r="V61" s="9">
        <f>Source!Y75</f>
        <v>0</v>
      </c>
    </row>
    <row r="62" spans="1:26" hidden="1" x14ac:dyDescent="0.2">
      <c r="C62" s="12" t="str">
        <f>"Объем: "&amp;Source!I75&amp;"=5,7/"&amp;"100"</f>
        <v>Объем: 0=5,7/100</v>
      </c>
    </row>
    <row r="63" spans="1:26" hidden="1" x14ac:dyDescent="0.2">
      <c r="A63" s="35"/>
      <c r="B63" s="35"/>
      <c r="C63" s="35" t="s">
        <v>706</v>
      </c>
      <c r="D63" s="36"/>
      <c r="E63" s="58"/>
      <c r="F63" s="14">
        <f>Source!AO75</f>
        <v>99.86</v>
      </c>
      <c r="G63" s="15" t="s">
        <v>31</v>
      </c>
      <c r="H63" s="37">
        <f>ROUND(Source!AF75*Source!I75, 0)</f>
        <v>0</v>
      </c>
      <c r="I63" s="15"/>
      <c r="J63" s="15">
        <f>IF(Source!BA75&lt;&gt; 0, Source!BA75, 1)</f>
        <v>34.75</v>
      </c>
      <c r="K63" s="37">
        <f>Source!S75</f>
        <v>0</v>
      </c>
      <c r="L63" s="31"/>
      <c r="R63" s="9">
        <f>H63</f>
        <v>0</v>
      </c>
    </row>
    <row r="64" spans="1:26" hidden="1" x14ac:dyDescent="0.2">
      <c r="A64" s="35"/>
      <c r="B64" s="35"/>
      <c r="C64" s="35" t="s">
        <v>89</v>
      </c>
      <c r="D64" s="36"/>
      <c r="E64" s="58"/>
      <c r="F64" s="14">
        <f>Source!AM75</f>
        <v>307.26</v>
      </c>
      <c r="G64" s="15" t="s">
        <v>31</v>
      </c>
      <c r="H64" s="37">
        <f>ROUND(Source!AD75*Source!I75, 0)</f>
        <v>0</v>
      </c>
      <c r="I64" s="15"/>
      <c r="J64" s="15">
        <f>IF(Source!BB75&lt;&gt; 0, Source!BB75, 1)</f>
        <v>13.36</v>
      </c>
      <c r="K64" s="37">
        <f>Source!Q75</f>
        <v>0</v>
      </c>
      <c r="L64" s="31"/>
    </row>
    <row r="65" spans="1:26" hidden="1" x14ac:dyDescent="0.2">
      <c r="A65" s="35"/>
      <c r="B65" s="35"/>
      <c r="C65" s="35" t="s">
        <v>707</v>
      </c>
      <c r="D65" s="36"/>
      <c r="E65" s="58"/>
      <c r="F65" s="14">
        <f>Source!AN75</f>
        <v>28.58</v>
      </c>
      <c r="G65" s="15" t="s">
        <v>31</v>
      </c>
      <c r="H65" s="38">
        <f>ROUND(Source!AE75*Source!I75, 0)</f>
        <v>0</v>
      </c>
      <c r="I65" s="15"/>
      <c r="J65" s="15">
        <f>IF(Source!BS75&lt;&gt; 0, Source!BS75, 1)</f>
        <v>34.75</v>
      </c>
      <c r="K65" s="38">
        <f>Source!R75</f>
        <v>0</v>
      </c>
      <c r="L65" s="31"/>
      <c r="R65" s="9">
        <f>H65</f>
        <v>0</v>
      </c>
    </row>
    <row r="66" spans="1:26" hidden="1" x14ac:dyDescent="0.2">
      <c r="A66" s="35"/>
      <c r="B66" s="35"/>
      <c r="C66" s="35" t="s">
        <v>709</v>
      </c>
      <c r="D66" s="36" t="s">
        <v>710</v>
      </c>
      <c r="E66" s="58">
        <f>Source!BZ75</f>
        <v>95</v>
      </c>
      <c r="F66" s="18"/>
      <c r="G66" s="15"/>
      <c r="H66" s="37">
        <f>SUM(S61:S68)</f>
        <v>0</v>
      </c>
      <c r="I66" s="15"/>
      <c r="J66" s="39">
        <f>Source!AT75</f>
        <v>95</v>
      </c>
      <c r="K66" s="37">
        <f>SUM(T61:T68)</f>
        <v>0</v>
      </c>
      <c r="L66" s="31"/>
    </row>
    <row r="67" spans="1:26" hidden="1" x14ac:dyDescent="0.2">
      <c r="A67" s="35"/>
      <c r="B67" s="35"/>
      <c r="C67" s="35" t="s">
        <v>711</v>
      </c>
      <c r="D67" s="36" t="s">
        <v>710</v>
      </c>
      <c r="E67" s="58">
        <f>Source!CA75</f>
        <v>50</v>
      </c>
      <c r="F67" s="18"/>
      <c r="G67" s="15"/>
      <c r="H67" s="37">
        <f>SUM(U61:U68)</f>
        <v>0</v>
      </c>
      <c r="I67" s="15"/>
      <c r="J67" s="39">
        <f>Source!AU75</f>
        <v>50</v>
      </c>
      <c r="K67" s="37">
        <f>SUM(V61:V68)</f>
        <v>0</v>
      </c>
      <c r="L67" s="31"/>
    </row>
    <row r="68" spans="1:26" hidden="1" x14ac:dyDescent="0.2">
      <c r="A68" s="40"/>
      <c r="B68" s="40"/>
      <c r="C68" s="40" t="s">
        <v>712</v>
      </c>
      <c r="D68" s="41" t="s">
        <v>713</v>
      </c>
      <c r="E68" s="60">
        <f>Source!AQ75</f>
        <v>12.53</v>
      </c>
      <c r="F68" s="16"/>
      <c r="G68" s="17" t="s">
        <v>31</v>
      </c>
      <c r="H68" s="43"/>
      <c r="I68" s="17"/>
      <c r="J68" s="17"/>
      <c r="K68" s="43"/>
      <c r="L68" s="16">
        <f>Source!U75</f>
        <v>0</v>
      </c>
    </row>
    <row r="69" spans="1:26" hidden="1" x14ac:dyDescent="0.2">
      <c r="G69" s="75">
        <v>41</v>
      </c>
      <c r="H69" s="75"/>
      <c r="J69" s="75">
        <f>K63+K64+K66+K67</f>
        <v>0</v>
      </c>
      <c r="K69" s="75"/>
      <c r="L69" s="44">
        <f>Source!U75</f>
        <v>0</v>
      </c>
      <c r="O69" s="11">
        <f>G69</f>
        <v>41</v>
      </c>
      <c r="P69" s="11">
        <f>J69</f>
        <v>0</v>
      </c>
      <c r="Q69" s="10">
        <f>L69</f>
        <v>0</v>
      </c>
      <c r="W69" s="9">
        <f>IF(Source!BI75&lt;=1,H63+H64+H66+H67, 0)</f>
        <v>0</v>
      </c>
      <c r="X69" s="9">
        <f>IF(Source!BI75=2,H63+H64+H66+H67, 0)</f>
        <v>0</v>
      </c>
      <c r="Y69" s="9">
        <f>IF(Source!BI75=3,H63+H64+H66+H67, 0)</f>
        <v>0</v>
      </c>
      <c r="Z69" s="9">
        <f>IF(Source!BI75=4,H63+H64+H66+H67, 0)</f>
        <v>0</v>
      </c>
    </row>
    <row r="70" spans="1:26" ht="25.5" x14ac:dyDescent="0.2">
      <c r="A70" s="35">
        <v>1</v>
      </c>
      <c r="B70" s="35" t="str">
        <f>Source!F76</f>
        <v>11-01-002-1</v>
      </c>
      <c r="C70" s="35" t="str">
        <f>Source!G76</f>
        <v>Устройство подстилающих слоев: песчаных с уплотнением</v>
      </c>
      <c r="D70" s="36" t="s">
        <v>139</v>
      </c>
      <c r="E70" s="58">
        <f>Source!I76</f>
        <v>6.1</v>
      </c>
      <c r="F70" s="14">
        <f>Source!AL76+Source!AM76+Source!AO76</f>
        <v>140.61000000000001</v>
      </c>
      <c r="G70" s="15"/>
      <c r="H70" s="37"/>
      <c r="I70" s="15" t="str">
        <f>Source!BO76</f>
        <v/>
      </c>
      <c r="J70" s="15"/>
      <c r="K70" s="37"/>
      <c r="L70" s="31"/>
      <c r="S70" s="9">
        <f>ROUND((Source!FX76/100)*((ROUND(Source!AF76*Source!I76, 0)+ROUND(Source!AE76*Source!I76, 0))), 0)</f>
        <v>262</v>
      </c>
      <c r="T70" s="9">
        <f>Source!X76</f>
        <v>9097</v>
      </c>
      <c r="U70" s="9">
        <f>ROUND((Source!FY76/100)*((ROUND(Source!AF76*Source!I76, 0)+ROUND(Source!AE76*Source!I76, 0))), 0)</f>
        <v>160</v>
      </c>
      <c r="V70" s="9">
        <f>Source!Y76</f>
        <v>5547</v>
      </c>
    </row>
    <row r="71" spans="1:26" x14ac:dyDescent="0.2">
      <c r="A71" s="35"/>
      <c r="B71" s="35"/>
      <c r="C71" s="35" t="s">
        <v>706</v>
      </c>
      <c r="D71" s="36"/>
      <c r="E71" s="58"/>
      <c r="F71" s="14">
        <f>Source!AO76</f>
        <v>27.52</v>
      </c>
      <c r="G71" s="15" t="str">
        <f>G90</f>
        <v>)*1,15)*1,15</v>
      </c>
      <c r="H71" s="37">
        <f>ROUND(Source!AF76*Source!I76, 0)</f>
        <v>193</v>
      </c>
      <c r="I71" s="15"/>
      <c r="J71" s="15">
        <f>IF(Source!BA76&lt;&gt; 0, Source!BA76, 1)</f>
        <v>34.75</v>
      </c>
      <c r="K71" s="37">
        <f>Source!S76</f>
        <v>6709</v>
      </c>
      <c r="L71" s="31"/>
      <c r="R71" s="9">
        <f>H71</f>
        <v>193</v>
      </c>
    </row>
    <row r="72" spans="1:26" x14ac:dyDescent="0.2">
      <c r="A72" s="35"/>
      <c r="B72" s="35"/>
      <c r="C72" s="35" t="s">
        <v>89</v>
      </c>
      <c r="D72" s="36"/>
      <c r="E72" s="58"/>
      <c r="F72" s="14">
        <f>Source!AM76</f>
        <v>29.1</v>
      </c>
      <c r="G72" s="15" t="str">
        <f>G91</f>
        <v>)*1,15)*1,25</v>
      </c>
      <c r="H72" s="37">
        <f>ROUND(Source!AD76*Source!I76, 0)</f>
        <v>204</v>
      </c>
      <c r="I72" s="15"/>
      <c r="J72" s="15">
        <f>IF(Source!BB76&lt;&gt; 0, Source!BB76, 1)</f>
        <v>13.36</v>
      </c>
      <c r="K72" s="37">
        <f>Source!Q76</f>
        <v>2727</v>
      </c>
      <c r="L72" s="31"/>
    </row>
    <row r="73" spans="1:26" x14ac:dyDescent="0.2">
      <c r="A73" s="35"/>
      <c r="B73" s="35"/>
      <c r="C73" s="35" t="s">
        <v>707</v>
      </c>
      <c r="D73" s="36"/>
      <c r="E73" s="58"/>
      <c r="F73" s="14">
        <f>Source!AN76</f>
        <v>2.82</v>
      </c>
      <c r="G73" s="15" t="str">
        <f>G71</f>
        <v>)*1,15)*1,15</v>
      </c>
      <c r="H73" s="38">
        <f>ROUND(Source!AE76*Source!I76, 0)</f>
        <v>20</v>
      </c>
      <c r="I73" s="15"/>
      <c r="J73" s="15">
        <f>IF(Source!BS76&lt;&gt; 0, Source!BS76, 1)</f>
        <v>34.75</v>
      </c>
      <c r="K73" s="38">
        <f>Source!R76</f>
        <v>687</v>
      </c>
      <c r="L73" s="31"/>
      <c r="R73" s="9">
        <f>H73</f>
        <v>20</v>
      </c>
    </row>
    <row r="74" spans="1:26" x14ac:dyDescent="0.2">
      <c r="A74" s="35"/>
      <c r="B74" s="35"/>
      <c r="C74" s="35" t="s">
        <v>708</v>
      </c>
      <c r="D74" s="36"/>
      <c r="E74" s="58"/>
      <c r="F74" s="14">
        <f>Source!AL76</f>
        <v>83.99</v>
      </c>
      <c r="G74" s="15" t="s">
        <v>3</v>
      </c>
      <c r="H74" s="37">
        <f>ROUND(Source!AC76*Source!I76, 0)</f>
        <v>512</v>
      </c>
      <c r="I74" s="15"/>
      <c r="J74" s="15">
        <f>IF(Source!BC76&lt;&gt; 0, Source!BC76, 1)</f>
        <v>8.2899999999999991</v>
      </c>
      <c r="K74" s="37">
        <f>Source!P76</f>
        <v>4247</v>
      </c>
      <c r="L74" s="31"/>
    </row>
    <row r="75" spans="1:26" x14ac:dyDescent="0.2">
      <c r="A75" s="35"/>
      <c r="B75" s="35"/>
      <c r="C75" s="35" t="s">
        <v>709</v>
      </c>
      <c r="D75" s="36" t="s">
        <v>710</v>
      </c>
      <c r="E75" s="58">
        <f>Source!BZ76</f>
        <v>123</v>
      </c>
      <c r="F75" s="18"/>
      <c r="G75" s="15"/>
      <c r="H75" s="37">
        <f>SUM(S70:S79)</f>
        <v>262</v>
      </c>
      <c r="I75" s="15"/>
      <c r="J75" s="39">
        <f>Source!AT76</f>
        <v>123</v>
      </c>
      <c r="K75" s="37">
        <f>SUM(T70:T79)</f>
        <v>9097</v>
      </c>
      <c r="L75" s="31"/>
    </row>
    <row r="76" spans="1:26" x14ac:dyDescent="0.2">
      <c r="A76" s="35"/>
      <c r="B76" s="35"/>
      <c r="C76" s="35" t="s">
        <v>711</v>
      </c>
      <c r="D76" s="36" t="s">
        <v>710</v>
      </c>
      <c r="E76" s="58">
        <f>Source!CA76</f>
        <v>75</v>
      </c>
      <c r="F76" s="18"/>
      <c r="G76" s="15"/>
      <c r="H76" s="37">
        <f>SUM(U70:U79)</f>
        <v>160</v>
      </c>
      <c r="I76" s="15"/>
      <c r="J76" s="39">
        <f>Source!AU76</f>
        <v>75</v>
      </c>
      <c r="K76" s="37">
        <f>SUM(V70:V79)</f>
        <v>5547</v>
      </c>
      <c r="L76" s="31"/>
    </row>
    <row r="77" spans="1:26" x14ac:dyDescent="0.2">
      <c r="A77" s="35"/>
      <c r="B77" s="35"/>
      <c r="C77" s="35" t="s">
        <v>712</v>
      </c>
      <c r="D77" s="36" t="s">
        <v>713</v>
      </c>
      <c r="E77" s="58">
        <f>Source!AQ76</f>
        <v>3.41</v>
      </c>
      <c r="F77" s="14"/>
      <c r="G77" s="15" t="str">
        <f>G71</f>
        <v>)*1,15)*1,15</v>
      </c>
      <c r="H77" s="37"/>
      <c r="I77" s="15"/>
      <c r="J77" s="15"/>
      <c r="K77" s="37"/>
      <c r="L77" s="14">
        <f>Source!U76</f>
        <v>23.921149999999997</v>
      </c>
    </row>
    <row r="78" spans="1:26" x14ac:dyDescent="0.2">
      <c r="A78" s="35"/>
      <c r="B78" s="35" t="str">
        <f>Source!F77</f>
        <v>408-0122</v>
      </c>
      <c r="C78" s="35" t="str">
        <f>Source!G77</f>
        <v>Песок природный для строительных: работ средний</v>
      </c>
      <c r="D78" s="36" t="str">
        <f>Source!H77</f>
        <v>м3</v>
      </c>
      <c r="E78" s="58">
        <f>Source!I77</f>
        <v>-7.32</v>
      </c>
      <c r="F78" s="14">
        <f>Source!AL77+Source!AM77+Source!AO77</f>
        <v>69.83</v>
      </c>
      <c r="G78" s="46" t="s">
        <v>3</v>
      </c>
      <c r="H78" s="37">
        <f>ROUND(Source!AC77*Source!I77, 0)+ROUND(Source!AD77*Source!I77, 0)+ROUND(Source!AF77*Source!I77, 0)</f>
        <v>-511</v>
      </c>
      <c r="I78" s="15"/>
      <c r="J78" s="15">
        <f>IF(Source!BC77&lt;&gt; 0, Source!BC77, 1)</f>
        <v>8.2899999999999991</v>
      </c>
      <c r="K78" s="37">
        <f>Source!O77</f>
        <v>-4237</v>
      </c>
      <c r="L78" s="31"/>
      <c r="S78" s="9">
        <f>ROUND((Source!FX77/100)*((ROUND(Source!AF77*Source!I77, 0)+ROUND(Source!AE77*Source!I77, 0))), 0)</f>
        <v>0</v>
      </c>
      <c r="T78" s="9">
        <f>Source!X77</f>
        <v>0</v>
      </c>
      <c r="U78" s="9">
        <f>ROUND((Source!FY77/100)*((ROUND(Source!AF77*Source!I77, 0)+ROUND(Source!AE77*Source!I77, 0))), 0)</f>
        <v>0</v>
      </c>
      <c r="V78" s="9">
        <f>Source!Y77</f>
        <v>0</v>
      </c>
      <c r="W78" s="9">
        <f>IF(Source!BI77&lt;=1,H78, 0)</f>
        <v>-511</v>
      </c>
      <c r="X78" s="9">
        <f>IF(Source!BI77=2,H78, 0)</f>
        <v>0</v>
      </c>
      <c r="Y78" s="9">
        <f>IF(Source!BI77=3,H78, 0)</f>
        <v>0</v>
      </c>
      <c r="Z78" s="9">
        <f>IF(Source!BI77=4,H78, 0)</f>
        <v>0</v>
      </c>
    </row>
    <row r="79" spans="1:26" ht="25.5" x14ac:dyDescent="0.2">
      <c r="A79" s="40"/>
      <c r="B79" s="40" t="str">
        <f>Source!F78</f>
        <v>прайс-лист</v>
      </c>
      <c r="C79" s="40" t="s">
        <v>714</v>
      </c>
      <c r="D79" s="41" t="str">
        <f>Source!H78</f>
        <v>м3</v>
      </c>
      <c r="E79" s="60">
        <f>Source!I78</f>
        <v>7.32</v>
      </c>
      <c r="F79" s="16">
        <f>Source!AL78+Source!AM78+Source!AO78</f>
        <v>833.33</v>
      </c>
      <c r="G79" s="47" t="s">
        <v>3</v>
      </c>
      <c r="H79" s="43">
        <f>ROUND(Source!AC78*Source!I78, 0)+ROUND(Source!AD78*Source!I78, 0)+ROUND(Source!AF78*Source!I78, 0)</f>
        <v>6100</v>
      </c>
      <c r="I79" s="17"/>
      <c r="J79" s="17">
        <f>IF(Source!BC78&lt;&gt; 0, Source!BC78, 1)</f>
        <v>1</v>
      </c>
      <c r="K79" s="43">
        <f>Source!O78</f>
        <v>6100</v>
      </c>
      <c r="L79" s="42"/>
      <c r="S79" s="9">
        <f>ROUND((Source!FX78/100)*((ROUND(Source!AF78*Source!I78, 0)+ROUND(Source!AE78*Source!I78, 0))), 0)</f>
        <v>0</v>
      </c>
      <c r="T79" s="9">
        <f>Source!X78</f>
        <v>0</v>
      </c>
      <c r="U79" s="9">
        <f>ROUND((Source!FY78/100)*((ROUND(Source!AF78*Source!I78, 0)+ROUND(Source!AE78*Source!I78, 0))), 0)</f>
        <v>0</v>
      </c>
      <c r="V79" s="9">
        <f>Source!Y78</f>
        <v>0</v>
      </c>
      <c r="W79" s="9">
        <f>IF(Source!BI78&lt;=1,H79, 0)</f>
        <v>0</v>
      </c>
      <c r="X79" s="9">
        <f>IF(Source!BI78=2,H79, 0)</f>
        <v>0</v>
      </c>
      <c r="Y79" s="9">
        <f>IF(Source!BI78=3,H79, 0)</f>
        <v>0</v>
      </c>
      <c r="Z79" s="9">
        <f>IF(Source!BI78=4,H79, 0)</f>
        <v>6100</v>
      </c>
    </row>
    <row r="80" spans="1:26" x14ac:dyDescent="0.2">
      <c r="G80" s="75">
        <v>6920</v>
      </c>
      <c r="H80" s="75"/>
      <c r="J80" s="75">
        <f>K71+K72+K74+K75+K76+SUM(K78:K79)</f>
        <v>30190</v>
      </c>
      <c r="K80" s="75"/>
      <c r="L80" s="44">
        <f>Source!U76</f>
        <v>23.921149999999997</v>
      </c>
      <c r="O80" s="11">
        <f>G80</f>
        <v>6920</v>
      </c>
      <c r="P80" s="11">
        <f>J80</f>
        <v>30190</v>
      </c>
      <c r="Q80" s="10">
        <f>L80</f>
        <v>23.921149999999997</v>
      </c>
      <c r="W80" s="9">
        <f>IF(Source!BI76&lt;=1,H71+H72+H74+H75+H76, 0)</f>
        <v>1331</v>
      </c>
      <c r="X80" s="9">
        <f>IF(Source!BI76=2,H71+H72+H74+H75+H76, 0)</f>
        <v>0</v>
      </c>
      <c r="Y80" s="9">
        <f>IF(Source!BI76=3,H71+H72+H74+H75+H76, 0)</f>
        <v>0</v>
      </c>
      <c r="Z80" s="9">
        <f>IF(Source!BI76=4,H71+H72+H74+H75+H76, 0)</f>
        <v>0</v>
      </c>
    </row>
    <row r="81" spans="1:26" ht="25.5" hidden="1" x14ac:dyDescent="0.2">
      <c r="A81" s="35">
        <v>4</v>
      </c>
      <c r="B81" s="35" t="str">
        <f>Source!F79</f>
        <v>01-02-061-1</v>
      </c>
      <c r="C81" s="35" t="str">
        <f>Source!G79</f>
        <v>Засыпка вручную траншей, пазух котлованов и ям, группа грунтов: 1</v>
      </c>
      <c r="D81" s="36" t="str">
        <f>Source!H79</f>
        <v>100 м3 грунта</v>
      </c>
      <c r="E81" s="58">
        <f>Source!I79</f>
        <v>0</v>
      </c>
      <c r="F81" s="14">
        <f>Source!AL79+Source!AM79+Source!AO79</f>
        <v>620.39</v>
      </c>
      <c r="G81" s="15"/>
      <c r="H81" s="37"/>
      <c r="I81" s="15" t="str">
        <f>Source!BO79</f>
        <v/>
      </c>
      <c r="J81" s="15"/>
      <c r="K81" s="37"/>
      <c r="L81" s="31"/>
      <c r="S81" s="9">
        <f>ROUND((Source!FX79/100)*((ROUND(Source!AF79*Source!I79, 0)+ROUND(Source!AE79*Source!I79, 0))), 0)</f>
        <v>0</v>
      </c>
      <c r="T81" s="9">
        <f>Source!X79</f>
        <v>0</v>
      </c>
      <c r="U81" s="9">
        <f>ROUND((Source!FY79/100)*((ROUND(Source!AF79*Source!I79, 0)+ROUND(Source!AE79*Source!I79, 0))), 0)</f>
        <v>0</v>
      </c>
      <c r="V81" s="9">
        <f>Source!Y79</f>
        <v>0</v>
      </c>
    </row>
    <row r="82" spans="1:26" hidden="1" x14ac:dyDescent="0.2">
      <c r="C82" s="12" t="str">
        <f>"Объем: "&amp;Source!I79&amp;"=0,4/"&amp;"100"</f>
        <v>Объем: 0=0,4/100</v>
      </c>
    </row>
    <row r="83" spans="1:26" hidden="1" x14ac:dyDescent="0.2">
      <c r="A83" s="35"/>
      <c r="B83" s="35"/>
      <c r="C83" s="35" t="s">
        <v>706</v>
      </c>
      <c r="D83" s="36"/>
      <c r="E83" s="58"/>
      <c r="F83" s="14">
        <f>Source!AO79</f>
        <v>620.39</v>
      </c>
      <c r="G83" s="15" t="s">
        <v>31</v>
      </c>
      <c r="H83" s="37">
        <f>ROUND(Source!AF79*Source!I79, 0)</f>
        <v>0</v>
      </c>
      <c r="I83" s="15"/>
      <c r="J83" s="15">
        <f>IF(Source!BA79&lt;&gt; 0, Source!BA79, 1)</f>
        <v>34.75</v>
      </c>
      <c r="K83" s="37">
        <f>Source!S79</f>
        <v>0</v>
      </c>
      <c r="L83" s="31"/>
      <c r="R83" s="9">
        <f>H83</f>
        <v>0</v>
      </c>
    </row>
    <row r="84" spans="1:26" hidden="1" x14ac:dyDescent="0.2">
      <c r="A84" s="35"/>
      <c r="B84" s="35"/>
      <c r="C84" s="35" t="s">
        <v>709</v>
      </c>
      <c r="D84" s="36" t="s">
        <v>710</v>
      </c>
      <c r="E84" s="58">
        <f>Source!BZ79</f>
        <v>80</v>
      </c>
      <c r="F84" s="18"/>
      <c r="G84" s="15"/>
      <c r="H84" s="37">
        <f>SUM(S81:S86)</f>
        <v>0</v>
      </c>
      <c r="I84" s="15"/>
      <c r="J84" s="39">
        <f>Source!AT79</f>
        <v>80</v>
      </c>
      <c r="K84" s="37">
        <f>SUM(T81:T86)</f>
        <v>0</v>
      </c>
      <c r="L84" s="31"/>
    </row>
    <row r="85" spans="1:26" hidden="1" x14ac:dyDescent="0.2">
      <c r="A85" s="35"/>
      <c r="B85" s="35"/>
      <c r="C85" s="35" t="s">
        <v>711</v>
      </c>
      <c r="D85" s="36" t="s">
        <v>710</v>
      </c>
      <c r="E85" s="58">
        <f>Source!CA79</f>
        <v>45</v>
      </c>
      <c r="F85" s="18"/>
      <c r="G85" s="15"/>
      <c r="H85" s="37">
        <f>SUM(U81:U86)</f>
        <v>0</v>
      </c>
      <c r="I85" s="15"/>
      <c r="J85" s="39">
        <f>Source!AU79</f>
        <v>45</v>
      </c>
      <c r="K85" s="37">
        <f>SUM(V81:V86)</f>
        <v>0</v>
      </c>
      <c r="L85" s="31"/>
    </row>
    <row r="86" spans="1:26" hidden="1" x14ac:dyDescent="0.2">
      <c r="A86" s="40"/>
      <c r="B86" s="40"/>
      <c r="C86" s="40" t="s">
        <v>712</v>
      </c>
      <c r="D86" s="41" t="s">
        <v>713</v>
      </c>
      <c r="E86" s="60">
        <f>Source!AQ79</f>
        <v>88.5</v>
      </c>
      <c r="F86" s="16"/>
      <c r="G86" s="17" t="s">
        <v>31</v>
      </c>
      <c r="H86" s="43"/>
      <c r="I86" s="17"/>
      <c r="J86" s="17"/>
      <c r="K86" s="43"/>
      <c r="L86" s="16">
        <f>Source!U79</f>
        <v>0</v>
      </c>
    </row>
    <row r="87" spans="1:26" hidden="1" x14ac:dyDescent="0.2">
      <c r="G87" s="75">
        <v>6</v>
      </c>
      <c r="H87" s="75"/>
      <c r="J87" s="75">
        <f>K83+K84+K85</f>
        <v>0</v>
      </c>
      <c r="K87" s="75"/>
      <c r="L87" s="44">
        <f>Source!U79</f>
        <v>0</v>
      </c>
      <c r="O87" s="11">
        <f>G87</f>
        <v>6</v>
      </c>
      <c r="P87" s="11">
        <f>J87</f>
        <v>0</v>
      </c>
      <c r="Q87" s="10">
        <f>L87</f>
        <v>0</v>
      </c>
      <c r="W87" s="9">
        <f>IF(Source!BI79&lt;=1,H83+H84+H85, 0)</f>
        <v>0</v>
      </c>
      <c r="X87" s="9">
        <f>IF(Source!BI79=2,H83+H84+H85, 0)</f>
        <v>0</v>
      </c>
      <c r="Y87" s="9">
        <f>IF(Source!BI79=3,H83+H84+H85, 0)</f>
        <v>0</v>
      </c>
      <c r="Z87" s="9">
        <f>IF(Source!BI79=4,H83+H84+H85, 0)</f>
        <v>0</v>
      </c>
    </row>
    <row r="88" spans="1:26" ht="25.5" x14ac:dyDescent="0.2">
      <c r="A88" s="35">
        <v>2</v>
      </c>
      <c r="B88" s="35" t="str">
        <f>Source!F80</f>
        <v>26-01-055-2</v>
      </c>
      <c r="C88" s="35" t="str">
        <f>Source!G80</f>
        <v>Установка пароизоляционного слоя из: пленки полиэтиленовой</v>
      </c>
      <c r="D88" s="36" t="s">
        <v>732</v>
      </c>
      <c r="E88" s="58">
        <f>Source!I80</f>
        <v>0.19</v>
      </c>
      <c r="F88" s="14">
        <f>Source!AL80+Source!AM80+Source!AO80</f>
        <v>1729.03</v>
      </c>
      <c r="G88" s="15"/>
      <c r="H88" s="37"/>
      <c r="I88" s="15" t="str">
        <f>Source!BO80</f>
        <v/>
      </c>
      <c r="J88" s="15"/>
      <c r="K88" s="37"/>
      <c r="L88" s="31"/>
      <c r="S88" s="9">
        <f>ROUND((Source!FX80/100)*((ROUND(Source!AF80*Source!I80, 0)+ROUND(Source!AE80*Source!I80, 0))), 0)</f>
        <v>29</v>
      </c>
      <c r="T88" s="9">
        <f>Source!X80</f>
        <v>1024</v>
      </c>
      <c r="U88" s="9">
        <f>ROUND((Source!FY80/100)*((ROUND(Source!AF80*Source!I80, 0)+ROUND(Source!AE80*Source!I80, 0))), 0)</f>
        <v>20</v>
      </c>
      <c r="V88" s="9">
        <f>Source!Y80</f>
        <v>717</v>
      </c>
    </row>
    <row r="89" spans="1:26" x14ac:dyDescent="0.2">
      <c r="C89" s="12" t="str">
        <f>"Объем: "&amp;Source!I80&amp;"=19/"&amp;"100"</f>
        <v>Объем: 0,19=19/100</v>
      </c>
    </row>
    <row r="90" spans="1:26" x14ac:dyDescent="0.2">
      <c r="A90" s="35"/>
      <c r="B90" s="35"/>
      <c r="C90" s="35" t="s">
        <v>706</v>
      </c>
      <c r="D90" s="36"/>
      <c r="E90" s="58"/>
      <c r="F90" s="14">
        <f>Source!AO80</f>
        <v>117.32</v>
      </c>
      <c r="G90" s="15" t="s">
        <v>161</v>
      </c>
      <c r="H90" s="37">
        <f>ROUND(Source!AF80*Source!I80, 0)</f>
        <v>29</v>
      </c>
      <c r="I90" s="15"/>
      <c r="J90" s="15">
        <f>IF(Source!BA80&lt;&gt; 0, Source!BA80, 1)</f>
        <v>34.75</v>
      </c>
      <c r="K90" s="37">
        <f>Source!S80</f>
        <v>1024</v>
      </c>
      <c r="L90" s="31"/>
      <c r="R90" s="9">
        <f>H90</f>
        <v>29</v>
      </c>
    </row>
    <row r="91" spans="1:26" x14ac:dyDescent="0.2">
      <c r="A91" s="35"/>
      <c r="B91" s="35"/>
      <c r="C91" s="35" t="s">
        <v>89</v>
      </c>
      <c r="D91" s="36"/>
      <c r="E91" s="58"/>
      <c r="F91" s="14">
        <f>Source!AM80</f>
        <v>15.04</v>
      </c>
      <c r="G91" s="15" t="s">
        <v>160</v>
      </c>
      <c r="H91" s="37">
        <f>ROUND(Source!AD80*Source!I80, 0)</f>
        <v>4</v>
      </c>
      <c r="I91" s="15"/>
      <c r="J91" s="15">
        <f>IF(Source!BB80&lt;&gt; 0, Source!BB80, 1)</f>
        <v>13.36</v>
      </c>
      <c r="K91" s="37">
        <f>Source!Q80</f>
        <v>55</v>
      </c>
      <c r="L91" s="31"/>
    </row>
    <row r="92" spans="1:26" x14ac:dyDescent="0.2">
      <c r="A92" s="35"/>
      <c r="B92" s="35"/>
      <c r="C92" s="35" t="s">
        <v>708</v>
      </c>
      <c r="D92" s="36"/>
      <c r="E92" s="58"/>
      <c r="F92" s="14">
        <f>Source!AL80</f>
        <v>1596.67</v>
      </c>
      <c r="G92" s="15" t="s">
        <v>3</v>
      </c>
      <c r="H92" s="37">
        <f>ROUND(Source!AC80*Source!I80, 0)</f>
        <v>303</v>
      </c>
      <c r="I92" s="15"/>
      <c r="J92" s="15">
        <f>IF(Source!BC80&lt;&gt; 0, Source!BC80, 1)</f>
        <v>8.2899999999999991</v>
      </c>
      <c r="K92" s="37">
        <f>Source!P80</f>
        <v>2515</v>
      </c>
      <c r="L92" s="31"/>
    </row>
    <row r="93" spans="1:26" x14ac:dyDescent="0.2">
      <c r="A93" s="35"/>
      <c r="B93" s="35"/>
      <c r="C93" s="35" t="s">
        <v>709</v>
      </c>
      <c r="D93" s="36" t="s">
        <v>710</v>
      </c>
      <c r="E93" s="58">
        <f>Source!BZ80</f>
        <v>100</v>
      </c>
      <c r="F93" s="18"/>
      <c r="G93" s="15"/>
      <c r="H93" s="37">
        <f>SUM(S88:S95)</f>
        <v>29</v>
      </c>
      <c r="I93" s="15"/>
      <c r="J93" s="39">
        <f>Source!AT80</f>
        <v>100</v>
      </c>
      <c r="K93" s="37">
        <f>SUM(T88:T95)</f>
        <v>1024</v>
      </c>
      <c r="L93" s="31"/>
    </row>
    <row r="94" spans="1:26" x14ac:dyDescent="0.2">
      <c r="A94" s="35"/>
      <c r="B94" s="35"/>
      <c r="C94" s="35" t="s">
        <v>711</v>
      </c>
      <c r="D94" s="36" t="s">
        <v>710</v>
      </c>
      <c r="E94" s="58">
        <f>Source!CA80</f>
        <v>70</v>
      </c>
      <c r="F94" s="18"/>
      <c r="G94" s="15"/>
      <c r="H94" s="37">
        <f>SUM(U88:U95)</f>
        <v>20</v>
      </c>
      <c r="I94" s="15"/>
      <c r="J94" s="39">
        <f>Source!AU80</f>
        <v>70</v>
      </c>
      <c r="K94" s="37">
        <f>SUM(V88:V95)</f>
        <v>717</v>
      </c>
      <c r="L94" s="31"/>
    </row>
    <row r="95" spans="1:26" x14ac:dyDescent="0.2">
      <c r="A95" s="40"/>
      <c r="B95" s="40"/>
      <c r="C95" s="40" t="s">
        <v>712</v>
      </c>
      <c r="D95" s="41" t="s">
        <v>713</v>
      </c>
      <c r="E95" s="60">
        <f>Source!AQ80</f>
        <v>14.36</v>
      </c>
      <c r="F95" s="16"/>
      <c r="G95" s="17" t="s">
        <v>161</v>
      </c>
      <c r="H95" s="43"/>
      <c r="I95" s="17"/>
      <c r="J95" s="17"/>
      <c r="K95" s="43"/>
      <c r="L95" s="16">
        <f>Source!U80</f>
        <v>3.6083089999999998</v>
      </c>
    </row>
    <row r="96" spans="1:26" x14ac:dyDescent="0.2">
      <c r="G96" s="75">
        <v>385</v>
      </c>
      <c r="H96" s="75"/>
      <c r="J96" s="75">
        <f>K90+K91+K92+K93+K94</f>
        <v>5335</v>
      </c>
      <c r="K96" s="75"/>
      <c r="L96" s="44">
        <f>Source!U80</f>
        <v>3.6083089999999998</v>
      </c>
      <c r="O96" s="11">
        <f>G96</f>
        <v>385</v>
      </c>
      <c r="P96" s="11">
        <f>J96</f>
        <v>5335</v>
      </c>
      <c r="Q96" s="10">
        <f>L96</f>
        <v>3.6083089999999998</v>
      </c>
      <c r="W96" s="9">
        <f>IF(Source!BI80&lt;=1,H90+H91+H92+H93+H94, 0)</f>
        <v>385</v>
      </c>
      <c r="X96" s="9">
        <f>IF(Source!BI80=2,H90+H91+H92+H93+H94, 0)</f>
        <v>0</v>
      </c>
      <c r="Y96" s="9">
        <f>IF(Source!BI80=3,H90+H91+H92+H93+H94, 0)</f>
        <v>0</v>
      </c>
      <c r="Z96" s="9">
        <f>IF(Source!BI80=4,H90+H91+H92+H93+H94, 0)</f>
        <v>0</v>
      </c>
    </row>
    <row r="97" spans="1:26" x14ac:dyDescent="0.2">
      <c r="A97" s="35">
        <v>9</v>
      </c>
      <c r="B97" s="35" t="str">
        <f>Source!F81</f>
        <v>07-05-038-2</v>
      </c>
      <c r="C97" s="35" t="str">
        <f>Source!G81</f>
        <v>Устройство деформационных швов</v>
      </c>
      <c r="D97" s="36" t="str">
        <f>Source!H81</f>
        <v>100 м шва</v>
      </c>
      <c r="E97" s="58">
        <f>Source!I81</f>
        <v>0.15</v>
      </c>
      <c r="F97" s="14">
        <f>Source!AL81+Source!AM81+Source!AO81</f>
        <v>1281.95</v>
      </c>
      <c r="G97" s="15"/>
      <c r="H97" s="37"/>
      <c r="I97" s="15" t="str">
        <f>Source!BO81</f>
        <v/>
      </c>
      <c r="J97" s="15"/>
      <c r="K97" s="37"/>
      <c r="L97" s="31"/>
      <c r="S97" s="9">
        <f>ROUND((Source!FX81/100)*((ROUND(Source!AF81*Source!I81, 0)+ROUND(Source!AE81*Source!I81, 0))), 0)</f>
        <v>136</v>
      </c>
      <c r="T97" s="9">
        <f>Source!X81</f>
        <v>4760</v>
      </c>
      <c r="U97" s="9">
        <f>ROUND((Source!FY81/100)*((ROUND(Source!AF81*Source!I81, 0)+ROUND(Source!AE81*Source!I81, 0))), 0)</f>
        <v>88</v>
      </c>
      <c r="V97" s="9">
        <f>Source!Y81</f>
        <v>3071</v>
      </c>
    </row>
    <row r="98" spans="1:26" x14ac:dyDescent="0.2">
      <c r="C98" s="12" t="str">
        <f>"Объем: "&amp;Source!I81&amp;"=15/"&amp;"100"</f>
        <v>Объем: 0,15=15/100</v>
      </c>
    </row>
    <row r="99" spans="1:26" x14ac:dyDescent="0.2">
      <c r="A99" s="35"/>
      <c r="B99" s="35"/>
      <c r="C99" s="35" t="s">
        <v>706</v>
      </c>
      <c r="D99" s="36"/>
      <c r="E99" s="58"/>
      <c r="F99" s="14">
        <f>Source!AO81</f>
        <v>445.46</v>
      </c>
      <c r="G99" s="15" t="s">
        <v>161</v>
      </c>
      <c r="H99" s="37">
        <f>ROUND(Source!AF81*Source!I81, 0)</f>
        <v>88</v>
      </c>
      <c r="I99" s="15"/>
      <c r="J99" s="15">
        <f>IF(Source!BA81&lt;&gt; 0, Source!BA81, 1)</f>
        <v>34.75</v>
      </c>
      <c r="K99" s="37">
        <f>Source!S81</f>
        <v>3071</v>
      </c>
      <c r="L99" s="31"/>
      <c r="R99" s="9">
        <f>H99</f>
        <v>88</v>
      </c>
    </row>
    <row r="100" spans="1:26" x14ac:dyDescent="0.2">
      <c r="A100" s="35"/>
      <c r="B100" s="35"/>
      <c r="C100" s="35" t="s">
        <v>89</v>
      </c>
      <c r="D100" s="36"/>
      <c r="E100" s="58"/>
      <c r="F100" s="14">
        <f>Source!AM81</f>
        <v>5.41</v>
      </c>
      <c r="G100" s="15" t="s">
        <v>170</v>
      </c>
      <c r="H100" s="37">
        <f>ROUND(Source!AD81*Source!I81, 0)</f>
        <v>1</v>
      </c>
      <c r="I100" s="15"/>
      <c r="J100" s="15">
        <f>IF(Source!BB81&lt;&gt; 0, Source!BB81, 1)</f>
        <v>13.36</v>
      </c>
      <c r="K100" s="37">
        <f>Source!Q81</f>
        <v>16</v>
      </c>
      <c r="L100" s="31"/>
    </row>
    <row r="101" spans="1:26" x14ac:dyDescent="0.2">
      <c r="A101" s="35"/>
      <c r="B101" s="35"/>
      <c r="C101" s="35" t="s">
        <v>708</v>
      </c>
      <c r="D101" s="36"/>
      <c r="E101" s="58"/>
      <c r="F101" s="14">
        <f>Source!AL81</f>
        <v>831.08</v>
      </c>
      <c r="G101" s="15" t="s">
        <v>3</v>
      </c>
      <c r="H101" s="37">
        <f>ROUND(Source!AC81*Source!I81, 0)</f>
        <v>125</v>
      </c>
      <c r="I101" s="15"/>
      <c r="J101" s="15">
        <f>IF(Source!BC81&lt;&gt; 0, Source!BC81, 1)</f>
        <v>8.2899999999999991</v>
      </c>
      <c r="K101" s="37">
        <f>Source!P81</f>
        <v>1033</v>
      </c>
      <c r="L101" s="31"/>
    </row>
    <row r="102" spans="1:26" x14ac:dyDescent="0.2">
      <c r="A102" s="35"/>
      <c r="B102" s="35"/>
      <c r="C102" s="35" t="s">
        <v>709</v>
      </c>
      <c r="D102" s="36" t="s">
        <v>710</v>
      </c>
      <c r="E102" s="58">
        <f>Source!BZ81</f>
        <v>155</v>
      </c>
      <c r="F102" s="18"/>
      <c r="G102" s="15"/>
      <c r="H102" s="37">
        <f>SUM(S97:S104)</f>
        <v>136</v>
      </c>
      <c r="I102" s="15"/>
      <c r="J102" s="39">
        <f>Source!AT81</f>
        <v>155</v>
      </c>
      <c r="K102" s="37">
        <f>SUM(T97:T104)</f>
        <v>4760</v>
      </c>
      <c r="L102" s="31"/>
    </row>
    <row r="103" spans="1:26" x14ac:dyDescent="0.2">
      <c r="A103" s="35"/>
      <c r="B103" s="35"/>
      <c r="C103" s="35" t="s">
        <v>711</v>
      </c>
      <c r="D103" s="36" t="s">
        <v>710</v>
      </c>
      <c r="E103" s="58">
        <f>Source!CA81</f>
        <v>100</v>
      </c>
      <c r="F103" s="18"/>
      <c r="G103" s="15"/>
      <c r="H103" s="37">
        <f>SUM(U97:U104)</f>
        <v>88</v>
      </c>
      <c r="I103" s="15"/>
      <c r="J103" s="39">
        <f>Source!AU81</f>
        <v>100</v>
      </c>
      <c r="K103" s="37">
        <f>SUM(V97:V104)</f>
        <v>3071</v>
      </c>
      <c r="L103" s="31"/>
    </row>
    <row r="104" spans="1:26" x14ac:dyDescent="0.2">
      <c r="A104" s="40"/>
      <c r="B104" s="40"/>
      <c r="C104" s="40" t="s">
        <v>712</v>
      </c>
      <c r="D104" s="41" t="s">
        <v>713</v>
      </c>
      <c r="E104" s="60">
        <f>Source!AQ81</f>
        <v>53.8</v>
      </c>
      <c r="F104" s="16"/>
      <c r="G104" s="17" t="s">
        <v>161</v>
      </c>
      <c r="H104" s="43"/>
      <c r="I104" s="17"/>
      <c r="J104" s="17"/>
      <c r="K104" s="43"/>
      <c r="L104" s="16">
        <f>Source!U81</f>
        <v>10.672574999999997</v>
      </c>
    </row>
    <row r="105" spans="1:26" x14ac:dyDescent="0.2">
      <c r="G105" s="75">
        <v>438</v>
      </c>
      <c r="H105" s="75"/>
      <c r="J105" s="75">
        <f>K99+K100+K101+K102+K103</f>
        <v>11951</v>
      </c>
      <c r="K105" s="75"/>
      <c r="L105" s="44">
        <f>Source!U81</f>
        <v>10.672574999999997</v>
      </c>
      <c r="O105" s="11">
        <f>G105</f>
        <v>438</v>
      </c>
      <c r="P105" s="11">
        <f>J105</f>
        <v>11951</v>
      </c>
      <c r="Q105" s="10">
        <f>L105</f>
        <v>10.672574999999997</v>
      </c>
      <c r="W105" s="9">
        <f>IF(Source!BI81&lt;=1,H99+H100+H101+H102+H103, 0)</f>
        <v>438</v>
      </c>
      <c r="X105" s="9">
        <f>IF(Source!BI81=2,H99+H100+H101+H102+H103, 0)</f>
        <v>0</v>
      </c>
      <c r="Y105" s="9">
        <f>IF(Source!BI81=3,H99+H100+H101+H102+H103, 0)</f>
        <v>0</v>
      </c>
      <c r="Z105" s="9">
        <f>IF(Source!BI81=4,H99+H100+H101+H102+H103, 0)</f>
        <v>0</v>
      </c>
    </row>
    <row r="106" spans="1:26" ht="25.5" x14ac:dyDescent="0.2">
      <c r="A106" s="35">
        <v>10</v>
      </c>
      <c r="B106" s="35" t="str">
        <f>Source!F82</f>
        <v>06-01-005-6</v>
      </c>
      <c r="C106" s="35" t="str">
        <f>Source!G82</f>
        <v>Устройство железобетонных фундаментов общего назначения</v>
      </c>
      <c r="D106" s="36" t="s">
        <v>733</v>
      </c>
      <c r="E106" s="58">
        <f>Source!I82</f>
        <v>4.1000000000000002E-2</v>
      </c>
      <c r="F106" s="14">
        <f>Source!AL82+Source!AM82+Source!AO82</f>
        <v>100948.79999999999</v>
      </c>
      <c r="G106" s="15"/>
      <c r="H106" s="37"/>
      <c r="I106" s="15" t="str">
        <f>Source!BO82</f>
        <v/>
      </c>
      <c r="J106" s="15"/>
      <c r="K106" s="37"/>
      <c r="L106" s="31"/>
      <c r="S106" s="9">
        <f>ROUND((Source!FX82/100)*((ROUND(Source!AF82*Source!I82, 0)+ROUND(Source!AE82*Source!I82, 0))), 0)</f>
        <v>139</v>
      </c>
      <c r="T106" s="9">
        <f>Source!X82</f>
        <v>4808</v>
      </c>
      <c r="U106" s="9">
        <f>ROUND((Source!FY82/100)*((ROUND(Source!AF82*Source!I82, 0)+ROUND(Source!AE82*Source!I82, 0))), 0)</f>
        <v>86</v>
      </c>
      <c r="V106" s="9">
        <f>Source!Y82</f>
        <v>2976</v>
      </c>
    </row>
    <row r="107" spans="1:26" x14ac:dyDescent="0.2">
      <c r="C107" s="12" t="str">
        <f>"Объем: "&amp;Source!I82&amp;"=4,1/"&amp;"100"</f>
        <v>Объем: 0,041=4,1/100</v>
      </c>
    </row>
    <row r="108" spans="1:26" x14ac:dyDescent="0.2">
      <c r="A108" s="35"/>
      <c r="B108" s="35"/>
      <c r="C108" s="35" t="s">
        <v>706</v>
      </c>
      <c r="D108" s="36"/>
      <c r="E108" s="58"/>
      <c r="F108" s="14">
        <f>Source!AO82</f>
        <v>2186.42</v>
      </c>
      <c r="G108" s="15" t="s">
        <v>161</v>
      </c>
      <c r="H108" s="37">
        <f>ROUND(Source!AF82*Source!I82, 0)</f>
        <v>119</v>
      </c>
      <c r="I108" s="15"/>
      <c r="J108" s="15">
        <f>IF(Source!BA82&lt;&gt; 0, Source!BA82, 1)</f>
        <v>34.75</v>
      </c>
      <c r="K108" s="37">
        <f>Source!S82</f>
        <v>4120</v>
      </c>
      <c r="L108" s="31"/>
      <c r="R108" s="9">
        <f>H108</f>
        <v>119</v>
      </c>
    </row>
    <row r="109" spans="1:26" x14ac:dyDescent="0.2">
      <c r="A109" s="35"/>
      <c r="B109" s="35"/>
      <c r="C109" s="35" t="s">
        <v>89</v>
      </c>
      <c r="D109" s="36"/>
      <c r="E109" s="58"/>
      <c r="F109" s="14">
        <f>Source!AM82</f>
        <v>2566.59</v>
      </c>
      <c r="G109" s="15" t="s">
        <v>170</v>
      </c>
      <c r="H109" s="37">
        <f>ROUND(Source!AD82*Source!I82, 0)</f>
        <v>151</v>
      </c>
      <c r="I109" s="15"/>
      <c r="J109" s="15">
        <f>IF(Source!BB82&lt;&gt; 0, Source!BB82, 1)</f>
        <v>13.36</v>
      </c>
      <c r="K109" s="37">
        <f>Source!Q82</f>
        <v>2021</v>
      </c>
      <c r="L109" s="31"/>
    </row>
    <row r="110" spans="1:26" x14ac:dyDescent="0.2">
      <c r="A110" s="35"/>
      <c r="B110" s="35"/>
      <c r="C110" s="35" t="s">
        <v>707</v>
      </c>
      <c r="D110" s="36"/>
      <c r="E110" s="58"/>
      <c r="F110" s="14">
        <f>Source!AN82</f>
        <v>224.12</v>
      </c>
      <c r="G110" s="15" t="s">
        <v>170</v>
      </c>
      <c r="H110" s="38">
        <f>ROUND(Source!AE82*Source!I82, 0)</f>
        <v>13</v>
      </c>
      <c r="I110" s="15"/>
      <c r="J110" s="15">
        <f>IF(Source!BS82&lt;&gt; 0, Source!BS82, 1)</f>
        <v>34.75</v>
      </c>
      <c r="K110" s="38">
        <f>Source!R82</f>
        <v>459</v>
      </c>
      <c r="L110" s="31"/>
      <c r="R110" s="9">
        <f>H110</f>
        <v>13</v>
      </c>
    </row>
    <row r="111" spans="1:26" x14ac:dyDescent="0.2">
      <c r="A111" s="35"/>
      <c r="B111" s="35"/>
      <c r="C111" s="35" t="s">
        <v>708</v>
      </c>
      <c r="D111" s="36"/>
      <c r="E111" s="58"/>
      <c r="F111" s="14">
        <f>Source!AL82</f>
        <v>96195.79</v>
      </c>
      <c r="G111" s="15" t="s">
        <v>3</v>
      </c>
      <c r="H111" s="37">
        <f>ROUND(Source!AC82*Source!I82, 0)</f>
        <v>3944</v>
      </c>
      <c r="I111" s="15"/>
      <c r="J111" s="15">
        <f>IF(Source!BC82&lt;&gt; 0, Source!BC82, 1)</f>
        <v>8.2899999999999991</v>
      </c>
      <c r="K111" s="37">
        <f>Source!P82</f>
        <v>32696</v>
      </c>
      <c r="L111" s="31"/>
    </row>
    <row r="112" spans="1:26" x14ac:dyDescent="0.2">
      <c r="A112" s="35"/>
      <c r="B112" s="35"/>
      <c r="C112" s="35" t="s">
        <v>709</v>
      </c>
      <c r="D112" s="36" t="s">
        <v>710</v>
      </c>
      <c r="E112" s="58">
        <f>Source!BZ82</f>
        <v>105</v>
      </c>
      <c r="F112" s="18"/>
      <c r="G112" s="15"/>
      <c r="H112" s="37">
        <f>SUM(S106:S119)</f>
        <v>139</v>
      </c>
      <c r="I112" s="15"/>
      <c r="J112" s="39">
        <f>Source!AT82</f>
        <v>105</v>
      </c>
      <c r="K112" s="37">
        <f>SUM(T106:T119)</f>
        <v>4808</v>
      </c>
      <c r="L112" s="31"/>
    </row>
    <row r="113" spans="1:26" x14ac:dyDescent="0.2">
      <c r="A113" s="35"/>
      <c r="B113" s="35"/>
      <c r="C113" s="35" t="s">
        <v>711</v>
      </c>
      <c r="D113" s="36" t="s">
        <v>710</v>
      </c>
      <c r="E113" s="58">
        <f>Source!CA82</f>
        <v>65</v>
      </c>
      <c r="F113" s="18"/>
      <c r="G113" s="15"/>
      <c r="H113" s="37">
        <f>SUM(U106:U119)</f>
        <v>86</v>
      </c>
      <c r="I113" s="15"/>
      <c r="J113" s="39">
        <f>Source!AU82</f>
        <v>65</v>
      </c>
      <c r="K113" s="37">
        <f>SUM(V106:V119)</f>
        <v>2976</v>
      </c>
      <c r="L113" s="31"/>
    </row>
    <row r="114" spans="1:26" x14ac:dyDescent="0.2">
      <c r="A114" s="35"/>
      <c r="B114" s="35"/>
      <c r="C114" s="35" t="s">
        <v>712</v>
      </c>
      <c r="D114" s="36" t="s">
        <v>713</v>
      </c>
      <c r="E114" s="58">
        <f>Source!AQ82</f>
        <v>278.88</v>
      </c>
      <c r="F114" s="14"/>
      <c r="G114" s="15" t="s">
        <v>161</v>
      </c>
      <c r="H114" s="37"/>
      <c r="I114" s="15"/>
      <c r="J114" s="15"/>
      <c r="K114" s="37"/>
      <c r="L114" s="14">
        <f>Source!U82</f>
        <v>15.121570799999999</v>
      </c>
    </row>
    <row r="115" spans="1:26" x14ac:dyDescent="0.2">
      <c r="A115" s="35" t="s">
        <v>181</v>
      </c>
      <c r="B115" s="35" t="str">
        <f>Source!F83</f>
        <v>204-0100</v>
      </c>
      <c r="C115" s="35" t="str">
        <f>Source!G83</f>
        <v>Горячекатаная арматурная сталь класса: А-I, А-II, А-III</v>
      </c>
      <c r="D115" s="36" t="str">
        <f>Source!H83</f>
        <v>т</v>
      </c>
      <c r="E115" s="58">
        <f>Source!I83</f>
        <v>-0.13120000000000001</v>
      </c>
      <c r="F115" s="14">
        <f>Source!AL83+Source!AM83+Source!AO83</f>
        <v>5416.2</v>
      </c>
      <c r="G115" s="46" t="s">
        <v>3</v>
      </c>
      <c r="H115" s="37">
        <f>ROUND(Source!AC83*Source!I83, 0)+ROUND(Source!AD83*Source!I83, 0)+ROUND(Source!AF83*Source!I83, 0)</f>
        <v>-711</v>
      </c>
      <c r="I115" s="15"/>
      <c r="J115" s="15">
        <f>IF(Source!BC83&lt;&gt; 0, Source!BC83, 1)</f>
        <v>8.2899999999999991</v>
      </c>
      <c r="K115" s="37">
        <f>Source!O83</f>
        <v>-5891</v>
      </c>
      <c r="L115" s="31"/>
      <c r="S115" s="9">
        <f>ROUND((Source!FX83/100)*((ROUND(Source!AF83*Source!I83, 0)+ROUND(Source!AE83*Source!I83, 0))), 0)</f>
        <v>0</v>
      </c>
      <c r="T115" s="9">
        <f>Source!X83</f>
        <v>0</v>
      </c>
      <c r="U115" s="9">
        <f>ROUND((Source!FY83/100)*((ROUND(Source!AF83*Source!I83, 0)+ROUND(Source!AE83*Source!I83, 0))), 0)</f>
        <v>0</v>
      </c>
      <c r="V115" s="9">
        <f>Source!Y83</f>
        <v>0</v>
      </c>
      <c r="W115" s="9">
        <f>IF(Source!BI83&lt;=1,H115, 0)</f>
        <v>-711</v>
      </c>
      <c r="X115" s="9">
        <f>IF(Source!BI83=2,H115, 0)</f>
        <v>0</v>
      </c>
      <c r="Y115" s="9">
        <f>IF(Source!BI83=3,H115, 0)</f>
        <v>0</v>
      </c>
      <c r="Z115" s="9">
        <f>IF(Source!BI83=4,H115, 0)</f>
        <v>0</v>
      </c>
    </row>
    <row r="116" spans="1:26" ht="25.5" x14ac:dyDescent="0.2">
      <c r="A116" s="35" t="s">
        <v>186</v>
      </c>
      <c r="B116" s="35" t="str">
        <f>Source!F84</f>
        <v>401-0066</v>
      </c>
      <c r="C116" s="35" t="str">
        <f>Source!G84</f>
        <v>Бетон тяжелый, крупность заполнителя: 20 мм, класс В15 (М200)</v>
      </c>
      <c r="D116" s="36" t="str">
        <f>Source!H84</f>
        <v>м3</v>
      </c>
      <c r="E116" s="58">
        <f>Source!I84</f>
        <v>-4.1615000000000002</v>
      </c>
      <c r="F116" s="14">
        <f>Source!AL84+Source!AM84+Source!AO84</f>
        <v>747.74</v>
      </c>
      <c r="G116" s="46" t="s">
        <v>3</v>
      </c>
      <c r="H116" s="37">
        <f>ROUND(Source!AC84*Source!I84, 0)+ROUND(Source!AD84*Source!I84, 0)+ROUND(Source!AF84*Source!I84, 0)</f>
        <v>-3112</v>
      </c>
      <c r="I116" s="15"/>
      <c r="J116" s="15">
        <f>IF(Source!BC84&lt;&gt; 0, Source!BC84, 1)</f>
        <v>8.2899999999999991</v>
      </c>
      <c r="K116" s="37">
        <f>Source!O84</f>
        <v>-25796</v>
      </c>
      <c r="L116" s="31"/>
      <c r="S116" s="9">
        <f>ROUND((Source!FX84/100)*((ROUND(Source!AF84*Source!I84, 0)+ROUND(Source!AE84*Source!I84, 0))), 0)</f>
        <v>0</v>
      </c>
      <c r="T116" s="9">
        <f>Source!X84</f>
        <v>0</v>
      </c>
      <c r="U116" s="9">
        <f>ROUND((Source!FY84/100)*((ROUND(Source!AF84*Source!I84, 0)+ROUND(Source!AE84*Source!I84, 0))), 0)</f>
        <v>0</v>
      </c>
      <c r="V116" s="9">
        <f>Source!Y84</f>
        <v>0</v>
      </c>
      <c r="W116" s="9">
        <f>IF(Source!BI84&lt;=1,H116, 0)</f>
        <v>-3112</v>
      </c>
      <c r="X116" s="9">
        <f>IF(Source!BI84=2,H116, 0)</f>
        <v>0</v>
      </c>
      <c r="Y116" s="9">
        <f>IF(Source!BI84=3,H116, 0)</f>
        <v>0</v>
      </c>
      <c r="Z116" s="9">
        <f>IF(Source!BI84=4,H116, 0)</f>
        <v>0</v>
      </c>
    </row>
    <row r="117" spans="1:26" ht="25.5" x14ac:dyDescent="0.2">
      <c r="A117" s="35" t="s">
        <v>190</v>
      </c>
      <c r="B117" s="35" t="str">
        <f>Source!F85</f>
        <v>прайс-лист</v>
      </c>
      <c r="C117" s="35" t="s">
        <v>715</v>
      </c>
      <c r="D117" s="36" t="str">
        <f>Source!H85</f>
        <v>м3</v>
      </c>
      <c r="E117" s="58">
        <f>Source!I85</f>
        <v>4.1615000000000002</v>
      </c>
      <c r="F117" s="14">
        <f>Source!AL85+Source!AM85+Source!AO85</f>
        <v>8916.67</v>
      </c>
      <c r="G117" s="46" t="s">
        <v>3</v>
      </c>
      <c r="H117" s="37">
        <f>ROUND(Source!AC85*Source!I85, 0)+ROUND(Source!AD85*Source!I85, 0)+ROUND(Source!AF85*Source!I85, 0)</f>
        <v>37107</v>
      </c>
      <c r="I117" s="15"/>
      <c r="J117" s="15">
        <f>IF(Source!BC85&lt;&gt; 0, Source!BC85, 1)</f>
        <v>1</v>
      </c>
      <c r="K117" s="37">
        <f>Source!O85</f>
        <v>37107</v>
      </c>
      <c r="L117" s="31"/>
      <c r="S117" s="9">
        <f>ROUND((Source!FX85/100)*((ROUND(Source!AF85*Source!I85, 0)+ROUND(Source!AE85*Source!I85, 0))), 0)</f>
        <v>0</v>
      </c>
      <c r="T117" s="9">
        <f>Source!X85</f>
        <v>0</v>
      </c>
      <c r="U117" s="9">
        <f>ROUND((Source!FY85/100)*((ROUND(Source!AF85*Source!I85, 0)+ROUND(Source!AE85*Source!I85, 0))), 0)</f>
        <v>0</v>
      </c>
      <c r="V117" s="9">
        <f>Source!Y85</f>
        <v>0</v>
      </c>
      <c r="W117" s="9">
        <f>IF(Source!BI85&lt;=1,H117, 0)</f>
        <v>0</v>
      </c>
      <c r="X117" s="9">
        <f>IF(Source!BI85=2,H117, 0)</f>
        <v>0</v>
      </c>
      <c r="Y117" s="9">
        <f>IF(Source!BI85=3,H117, 0)</f>
        <v>0</v>
      </c>
      <c r="Z117" s="9">
        <f>IF(Source!BI85=4,H117, 0)</f>
        <v>37107</v>
      </c>
    </row>
    <row r="118" spans="1:26" ht="25.5" x14ac:dyDescent="0.2">
      <c r="A118" s="35" t="s">
        <v>193</v>
      </c>
      <c r="B118" s="35" t="str">
        <f>Source!F86</f>
        <v>прайс-лист</v>
      </c>
      <c r="C118" s="35" t="s">
        <v>716</v>
      </c>
      <c r="D118" s="36" t="str">
        <f>Source!H86</f>
        <v>т</v>
      </c>
      <c r="E118" s="58">
        <f>Source!I86</f>
        <v>0.43999999999999995</v>
      </c>
      <c r="F118" s="14">
        <f>Source!AL86+Source!AM86+Source!AO86</f>
        <v>61285</v>
      </c>
      <c r="G118" s="46" t="s">
        <v>3</v>
      </c>
      <c r="H118" s="37">
        <f>ROUND(Source!AC86*Source!I86, 0)+ROUND(Source!AD86*Source!I86, 0)+ROUND(Source!AF86*Source!I86, 0)</f>
        <v>26965</v>
      </c>
      <c r="I118" s="15"/>
      <c r="J118" s="15">
        <f>IF(Source!BC86&lt;&gt; 0, Source!BC86, 1)</f>
        <v>1</v>
      </c>
      <c r="K118" s="37">
        <f>Source!O86</f>
        <v>26965</v>
      </c>
      <c r="L118" s="31"/>
      <c r="S118" s="9">
        <f>ROUND((Source!FX86/100)*((ROUND(Source!AF86*Source!I86, 0)+ROUND(Source!AE86*Source!I86, 0))), 0)</f>
        <v>0</v>
      </c>
      <c r="T118" s="9">
        <f>Source!X86</f>
        <v>0</v>
      </c>
      <c r="U118" s="9">
        <f>ROUND((Source!FY86/100)*((ROUND(Source!AF86*Source!I86, 0)+ROUND(Source!AE86*Source!I86, 0))), 0)</f>
        <v>0</v>
      </c>
      <c r="V118" s="9">
        <f>Source!Y86</f>
        <v>0</v>
      </c>
      <c r="W118" s="9">
        <f>IF(Source!BI86&lt;=1,H118, 0)</f>
        <v>0</v>
      </c>
      <c r="X118" s="9">
        <f>IF(Source!BI86=2,H118, 0)</f>
        <v>0</v>
      </c>
      <c r="Y118" s="9">
        <f>IF(Source!BI86=3,H118, 0)</f>
        <v>0</v>
      </c>
      <c r="Z118" s="9">
        <f>IF(Source!BI86=4,H118, 0)</f>
        <v>26965</v>
      </c>
    </row>
    <row r="119" spans="1:26" ht="25.5" x14ac:dyDescent="0.2">
      <c r="A119" s="40" t="s">
        <v>195</v>
      </c>
      <c r="B119" s="40" t="str">
        <f>Source!F87</f>
        <v>204-0036</v>
      </c>
      <c r="C119" s="40" t="str">
        <f>Source!G87</f>
        <v>Надбавки к ценам заготовок за сборку и сварку каркасов и сеток: плоских, диаметром 10 мм</v>
      </c>
      <c r="D119" s="41" t="str">
        <f>Source!H87</f>
        <v>т</v>
      </c>
      <c r="E119" s="60">
        <f>Source!I87</f>
        <v>0.43999999999999995</v>
      </c>
      <c r="F119" s="16">
        <f>Source!AL87+Source!AM87+Source!AO87</f>
        <v>1360.33</v>
      </c>
      <c r="G119" s="47" t="s">
        <v>3</v>
      </c>
      <c r="H119" s="43">
        <f>ROUND(Source!AC87*Source!I87, 0)+ROUND(Source!AD87*Source!I87, 0)+ROUND(Source!AF87*Source!I87, 0)</f>
        <v>599</v>
      </c>
      <c r="I119" s="17"/>
      <c r="J119" s="17">
        <f>IF(Source!BC87&lt;&gt; 0, Source!BC87, 1)</f>
        <v>8.2899999999999991</v>
      </c>
      <c r="K119" s="43">
        <f>Source!O87</f>
        <v>4962</v>
      </c>
      <c r="L119" s="42"/>
      <c r="S119" s="9">
        <f>ROUND((Source!FX87/100)*((ROUND(Source!AF87*Source!I87, 0)+ROUND(Source!AE87*Source!I87, 0))), 0)</f>
        <v>0</v>
      </c>
      <c r="T119" s="9">
        <f>Source!X87</f>
        <v>0</v>
      </c>
      <c r="U119" s="9">
        <f>ROUND((Source!FY87/100)*((ROUND(Source!AF87*Source!I87, 0)+ROUND(Source!AE87*Source!I87, 0))), 0)</f>
        <v>0</v>
      </c>
      <c r="V119" s="9">
        <f>Source!Y87</f>
        <v>0</v>
      </c>
      <c r="W119" s="9">
        <f>IF(Source!BI87&lt;=1,H119, 0)</f>
        <v>599</v>
      </c>
      <c r="X119" s="9">
        <f>IF(Source!BI87=2,H119, 0)</f>
        <v>0</v>
      </c>
      <c r="Y119" s="9">
        <f>IF(Source!BI87=3,H119, 0)</f>
        <v>0</v>
      </c>
      <c r="Z119" s="9">
        <f>IF(Source!BI87=4,H119, 0)</f>
        <v>0</v>
      </c>
    </row>
    <row r="120" spans="1:26" x14ac:dyDescent="0.2">
      <c r="G120" s="75">
        <v>65287</v>
      </c>
      <c r="H120" s="75"/>
      <c r="J120" s="75">
        <f>K108+K109+K111+K112+K113+SUM(K115:K119)</f>
        <v>83968</v>
      </c>
      <c r="K120" s="75"/>
      <c r="L120" s="44">
        <f>Source!U82</f>
        <v>15.121570799999999</v>
      </c>
      <c r="O120" s="11">
        <f>G120</f>
        <v>65287</v>
      </c>
      <c r="P120" s="11">
        <f>J120</f>
        <v>83968</v>
      </c>
      <c r="Q120" s="10">
        <f>L120</f>
        <v>15.121570799999999</v>
      </c>
      <c r="W120" s="9">
        <f>IF(Source!BI82&lt;=1,H108+H109+H111+H112+H113, 0)</f>
        <v>4439</v>
      </c>
      <c r="X120" s="9">
        <f>IF(Source!BI82=2,H108+H109+H111+H112+H113, 0)</f>
        <v>0</v>
      </c>
      <c r="Y120" s="9">
        <f>IF(Source!BI82=3,H108+H109+H111+H112+H113, 0)</f>
        <v>0</v>
      </c>
      <c r="Z120" s="9">
        <f>IF(Source!BI82=4,H108+H109+H111+H112+H113, 0)</f>
        <v>0</v>
      </c>
    </row>
    <row r="122" spans="1:26" x14ac:dyDescent="0.2">
      <c r="A122" s="73" t="str">
        <f>CONCATENATE("Итого по подразделу: ",IF(Source!G89&lt;&gt;"Новый подраздел", Source!G89, ""))</f>
        <v>Итого по подразделу: Участок ТИП1</v>
      </c>
      <c r="B122" s="73"/>
      <c r="C122" s="73"/>
      <c r="D122" s="73"/>
      <c r="E122" s="73"/>
      <c r="F122" s="73"/>
      <c r="G122" s="74">
        <v>73077</v>
      </c>
      <c r="H122" s="74"/>
      <c r="I122" s="45"/>
      <c r="J122" s="74">
        <f>SUM(P60:P121)</f>
        <v>131444</v>
      </c>
      <c r="K122" s="74"/>
      <c r="L122" s="44">
        <f>SUM(Q60:Q121)</f>
        <v>53.323604799999991</v>
      </c>
    </row>
    <row r="126" spans="1:26" x14ac:dyDescent="0.2">
      <c r="A126" s="76" t="str">
        <f>CONCATENATE("Подраздел: ",IF(Source!G119&lt;&gt;"Новый подраздел", Source!G119, ""))</f>
        <v>Подраздел: Участок ТИП2</v>
      </c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1:26" ht="51" hidden="1" x14ac:dyDescent="0.2">
      <c r="A127" s="35">
        <v>1</v>
      </c>
      <c r="B127" s="35" t="str">
        <f>Source!F123</f>
        <v>01-02-005-1</v>
      </c>
      <c r="C127" s="35" t="str">
        <f>Source!G123</f>
        <v>Уплотнение грунта пневматическими трамбовками, группа грунтов: 1-2</v>
      </c>
      <c r="D127" s="36" t="str">
        <f>Source!H123</f>
        <v>100 м3 уплотненного грунта</v>
      </c>
      <c r="E127" s="58">
        <f>Source!I123</f>
        <v>0</v>
      </c>
      <c r="F127" s="14">
        <f>Source!AL123+Source!AM123+Source!AO123</f>
        <v>407.12</v>
      </c>
      <c r="G127" s="15"/>
      <c r="H127" s="37"/>
      <c r="I127" s="15" t="str">
        <f>Source!BO123</f>
        <v/>
      </c>
      <c r="J127" s="15"/>
      <c r="K127" s="37"/>
      <c r="L127" s="31"/>
      <c r="S127" s="9">
        <f>ROUND((Source!FX123/100)*((ROUND(Source!AF123*Source!I123, 0)+ROUND(Source!AE123*Source!I123, 0))), 0)</f>
        <v>0</v>
      </c>
      <c r="T127" s="9">
        <f>Source!X123</f>
        <v>0</v>
      </c>
      <c r="U127" s="9">
        <f>ROUND((Source!FY123/100)*((ROUND(Source!AF123*Source!I123, 0)+ROUND(Source!AE123*Source!I123, 0))), 0)</f>
        <v>0</v>
      </c>
      <c r="V127" s="9">
        <f>Source!Y123</f>
        <v>0</v>
      </c>
    </row>
    <row r="128" spans="1:26" hidden="1" x14ac:dyDescent="0.2">
      <c r="C128" s="12" t="str">
        <f>"Объем: "&amp;Source!I123&amp;"=47/"&amp;"100"</f>
        <v>Объем: 0=47/100</v>
      </c>
    </row>
    <row r="129" spans="1:26" hidden="1" x14ac:dyDescent="0.2">
      <c r="A129" s="35"/>
      <c r="B129" s="35"/>
      <c r="C129" s="35" t="s">
        <v>706</v>
      </c>
      <c r="D129" s="36"/>
      <c r="E129" s="58"/>
      <c r="F129" s="14">
        <f>Source!AO123</f>
        <v>99.86</v>
      </c>
      <c r="G129" s="15" t="s">
        <v>31</v>
      </c>
      <c r="H129" s="37">
        <f>ROUND(Source!AF123*Source!I123, 0)</f>
        <v>0</v>
      </c>
      <c r="I129" s="15"/>
      <c r="J129" s="15">
        <f>IF(Source!BA123&lt;&gt; 0, Source!BA123, 1)</f>
        <v>34.75</v>
      </c>
      <c r="K129" s="37">
        <f>Source!S123</f>
        <v>0</v>
      </c>
      <c r="L129" s="31"/>
      <c r="R129" s="9">
        <f>H129</f>
        <v>0</v>
      </c>
    </row>
    <row r="130" spans="1:26" hidden="1" x14ac:dyDescent="0.2">
      <c r="A130" s="35"/>
      <c r="B130" s="35"/>
      <c r="C130" s="35" t="s">
        <v>89</v>
      </c>
      <c r="D130" s="36"/>
      <c r="E130" s="58"/>
      <c r="F130" s="14">
        <f>Source!AM123</f>
        <v>307.26</v>
      </c>
      <c r="G130" s="15" t="s">
        <v>31</v>
      </c>
      <c r="H130" s="37">
        <f>ROUND(Source!AD123*Source!I123, 0)</f>
        <v>0</v>
      </c>
      <c r="I130" s="15"/>
      <c r="J130" s="15">
        <f>IF(Source!BB123&lt;&gt; 0, Source!BB123, 1)</f>
        <v>13.36</v>
      </c>
      <c r="K130" s="37">
        <f>Source!Q123</f>
        <v>0</v>
      </c>
      <c r="L130" s="31"/>
    </row>
    <row r="131" spans="1:26" hidden="1" x14ac:dyDescent="0.2">
      <c r="A131" s="35"/>
      <c r="B131" s="35"/>
      <c r="C131" s="35" t="s">
        <v>707</v>
      </c>
      <c r="D131" s="36"/>
      <c r="E131" s="58"/>
      <c r="F131" s="14">
        <f>Source!AN123</f>
        <v>28.58</v>
      </c>
      <c r="G131" s="15" t="s">
        <v>31</v>
      </c>
      <c r="H131" s="38">
        <f>ROUND(Source!AE123*Source!I123, 0)</f>
        <v>0</v>
      </c>
      <c r="I131" s="15"/>
      <c r="J131" s="15">
        <f>IF(Source!BS123&lt;&gt; 0, Source!BS123, 1)</f>
        <v>34.75</v>
      </c>
      <c r="K131" s="38">
        <f>Source!R123</f>
        <v>0</v>
      </c>
      <c r="L131" s="31"/>
      <c r="R131" s="9">
        <f>H131</f>
        <v>0</v>
      </c>
    </row>
    <row r="132" spans="1:26" hidden="1" x14ac:dyDescent="0.2">
      <c r="A132" s="35"/>
      <c r="B132" s="35"/>
      <c r="C132" s="35" t="s">
        <v>709</v>
      </c>
      <c r="D132" s="36" t="s">
        <v>710</v>
      </c>
      <c r="E132" s="58">
        <f>Source!BZ123</f>
        <v>95</v>
      </c>
      <c r="F132" s="18"/>
      <c r="G132" s="15"/>
      <c r="H132" s="37">
        <f>SUM(S127:S134)</f>
        <v>0</v>
      </c>
      <c r="I132" s="15"/>
      <c r="J132" s="39">
        <f>Source!AT123</f>
        <v>95</v>
      </c>
      <c r="K132" s="37">
        <f>SUM(T127:T134)</f>
        <v>0</v>
      </c>
      <c r="L132" s="31"/>
    </row>
    <row r="133" spans="1:26" hidden="1" x14ac:dyDescent="0.2">
      <c r="A133" s="35"/>
      <c r="B133" s="35"/>
      <c r="C133" s="35" t="s">
        <v>711</v>
      </c>
      <c r="D133" s="36" t="s">
        <v>710</v>
      </c>
      <c r="E133" s="58">
        <f>Source!CA123</f>
        <v>50</v>
      </c>
      <c r="F133" s="18"/>
      <c r="G133" s="15"/>
      <c r="H133" s="37">
        <f>SUM(U127:U134)</f>
        <v>0</v>
      </c>
      <c r="I133" s="15"/>
      <c r="J133" s="39">
        <f>Source!AU123</f>
        <v>50</v>
      </c>
      <c r="K133" s="37">
        <f>SUM(V127:V134)</f>
        <v>0</v>
      </c>
      <c r="L133" s="31"/>
    </row>
    <row r="134" spans="1:26" hidden="1" x14ac:dyDescent="0.2">
      <c r="A134" s="40"/>
      <c r="B134" s="40"/>
      <c r="C134" s="40" t="s">
        <v>712</v>
      </c>
      <c r="D134" s="41" t="s">
        <v>713</v>
      </c>
      <c r="E134" s="60">
        <f>Source!AQ123</f>
        <v>12.53</v>
      </c>
      <c r="F134" s="16"/>
      <c r="G134" s="17" t="s">
        <v>31</v>
      </c>
      <c r="H134" s="43"/>
      <c r="I134" s="17"/>
      <c r="J134" s="17"/>
      <c r="K134" s="43"/>
      <c r="L134" s="16">
        <f>Source!U123</f>
        <v>0</v>
      </c>
    </row>
    <row r="135" spans="1:26" hidden="1" x14ac:dyDescent="0.2">
      <c r="G135" s="75">
        <v>321</v>
      </c>
      <c r="H135" s="75"/>
      <c r="J135" s="75">
        <f>K129+K130+K132+K133</f>
        <v>0</v>
      </c>
      <c r="K135" s="75"/>
      <c r="L135" s="44">
        <f>Source!U123</f>
        <v>0</v>
      </c>
      <c r="O135" s="11">
        <f>G135</f>
        <v>321</v>
      </c>
      <c r="P135" s="11">
        <f>J135</f>
        <v>0</v>
      </c>
      <c r="Q135" s="10">
        <f>L135</f>
        <v>0</v>
      </c>
      <c r="W135" s="9">
        <f>IF(Source!BI123&lt;=1,H129+H130+H132+H133, 0)</f>
        <v>0</v>
      </c>
      <c r="X135" s="9">
        <f>IF(Source!BI123=2,H129+H130+H132+H133, 0)</f>
        <v>0</v>
      </c>
      <c r="Y135" s="9">
        <f>IF(Source!BI123=3,H129+H130+H132+H133, 0)</f>
        <v>0</v>
      </c>
      <c r="Z135" s="9">
        <f>IF(Source!BI123=4,H129+H130+H132+H133, 0)</f>
        <v>0</v>
      </c>
    </row>
    <row r="136" spans="1:26" ht="25.5" x14ac:dyDescent="0.2">
      <c r="A136" s="35">
        <v>1</v>
      </c>
      <c r="B136" s="35" t="str">
        <f>Source!F124</f>
        <v>11-01-002-1</v>
      </c>
      <c r="C136" s="35" t="str">
        <f>Source!G124</f>
        <v>Устройство подстилающих слоев: песчаных с уплотнением</v>
      </c>
      <c r="D136" s="36" t="s">
        <v>139</v>
      </c>
      <c r="E136" s="58">
        <f>Source!I124</f>
        <v>26</v>
      </c>
      <c r="F136" s="14">
        <f>Source!AL124+Source!AM124+Source!AO124</f>
        <v>140.61000000000001</v>
      </c>
      <c r="G136" s="15"/>
      <c r="H136" s="37"/>
      <c r="I136" s="15" t="str">
        <f>Source!BO124</f>
        <v/>
      </c>
      <c r="J136" s="15"/>
      <c r="K136" s="37"/>
      <c r="L136" s="31"/>
      <c r="S136" s="9">
        <f>ROUND((Source!FX124/100)*((ROUND(Source!AF124*Source!I124, 0)+ROUND(Source!AE124*Source!I124, 0))), 0)</f>
        <v>1116</v>
      </c>
      <c r="T136" s="9">
        <f>Source!X124</f>
        <v>38775</v>
      </c>
      <c r="U136" s="9">
        <f>ROUND((Source!FY124/100)*((ROUND(Source!AF124*Source!I124, 0)+ROUND(Source!AE124*Source!I124, 0))), 0)</f>
        <v>680</v>
      </c>
      <c r="V136" s="9">
        <f>Source!Y124</f>
        <v>23643</v>
      </c>
    </row>
    <row r="137" spans="1:26" x14ac:dyDescent="0.2">
      <c r="A137" s="35"/>
      <c r="B137" s="35"/>
      <c r="C137" s="35" t="s">
        <v>706</v>
      </c>
      <c r="D137" s="36"/>
      <c r="E137" s="58"/>
      <c r="F137" s="14">
        <f>Source!AO124</f>
        <v>27.52</v>
      </c>
      <c r="G137" s="15" t="str">
        <f>G156</f>
        <v>)*1,15)*1,15</v>
      </c>
      <c r="H137" s="37">
        <f>ROUND(Source!AF124*Source!I124, 0)</f>
        <v>823</v>
      </c>
      <c r="I137" s="15"/>
      <c r="J137" s="15">
        <f>IF(Source!BA124&lt;&gt; 0, Source!BA124, 1)</f>
        <v>34.75</v>
      </c>
      <c r="K137" s="37">
        <f>Source!S124</f>
        <v>28594</v>
      </c>
      <c r="L137" s="31"/>
      <c r="R137" s="9">
        <f>H137</f>
        <v>823</v>
      </c>
    </row>
    <row r="138" spans="1:26" x14ac:dyDescent="0.2">
      <c r="A138" s="35"/>
      <c r="B138" s="35"/>
      <c r="C138" s="35" t="s">
        <v>89</v>
      </c>
      <c r="D138" s="36"/>
      <c r="E138" s="58"/>
      <c r="F138" s="14">
        <f>Source!AM124</f>
        <v>29.1</v>
      </c>
      <c r="G138" s="15" t="str">
        <f>G157</f>
        <v>)*1,15)*1,25</v>
      </c>
      <c r="H138" s="37">
        <f>ROUND(Source!AD124*Source!I124, 0)</f>
        <v>870</v>
      </c>
      <c r="I138" s="15"/>
      <c r="J138" s="15">
        <f>IF(Source!BB124&lt;&gt; 0, Source!BB124, 1)</f>
        <v>13.36</v>
      </c>
      <c r="K138" s="37">
        <f>Source!Q124</f>
        <v>11624</v>
      </c>
      <c r="L138" s="31"/>
    </row>
    <row r="139" spans="1:26" x14ac:dyDescent="0.2">
      <c r="A139" s="35"/>
      <c r="B139" s="35"/>
      <c r="C139" s="35" t="s">
        <v>707</v>
      </c>
      <c r="D139" s="36"/>
      <c r="E139" s="58"/>
      <c r="F139" s="14">
        <f>Source!AN124</f>
        <v>2.82</v>
      </c>
      <c r="G139" s="15" t="str">
        <f>G137</f>
        <v>)*1,15)*1,15</v>
      </c>
      <c r="H139" s="38">
        <f>ROUND(Source!AE124*Source!I124, 0)</f>
        <v>84</v>
      </c>
      <c r="I139" s="15"/>
      <c r="J139" s="15">
        <f>IF(Source!BS124&lt;&gt; 0, Source!BS124, 1)</f>
        <v>34.75</v>
      </c>
      <c r="K139" s="38">
        <f>Source!R124</f>
        <v>2930</v>
      </c>
      <c r="L139" s="31"/>
      <c r="R139" s="9">
        <f>H139</f>
        <v>84</v>
      </c>
    </row>
    <row r="140" spans="1:26" x14ac:dyDescent="0.2">
      <c r="A140" s="35"/>
      <c r="B140" s="35"/>
      <c r="C140" s="35" t="s">
        <v>708</v>
      </c>
      <c r="D140" s="36"/>
      <c r="E140" s="58"/>
      <c r="F140" s="14">
        <f>Source!AL124</f>
        <v>83.99</v>
      </c>
      <c r="G140" s="15" t="s">
        <v>3</v>
      </c>
      <c r="H140" s="37">
        <f>ROUND(Source!AC124*Source!I124, 0)</f>
        <v>2184</v>
      </c>
      <c r="I140" s="15"/>
      <c r="J140" s="15">
        <f>IF(Source!BC124&lt;&gt; 0, Source!BC124, 1)</f>
        <v>8.2899999999999991</v>
      </c>
      <c r="K140" s="37">
        <f>Source!P124</f>
        <v>18103</v>
      </c>
      <c r="L140" s="31"/>
    </row>
    <row r="141" spans="1:26" x14ac:dyDescent="0.2">
      <c r="A141" s="35"/>
      <c r="B141" s="35"/>
      <c r="C141" s="35" t="s">
        <v>709</v>
      </c>
      <c r="D141" s="36" t="s">
        <v>710</v>
      </c>
      <c r="E141" s="58">
        <f>Source!BZ124</f>
        <v>123</v>
      </c>
      <c r="F141" s="18"/>
      <c r="G141" s="15"/>
      <c r="H141" s="37">
        <f>SUM(S136:S145)</f>
        <v>1116</v>
      </c>
      <c r="I141" s="15"/>
      <c r="J141" s="39">
        <f>Source!AT124</f>
        <v>123</v>
      </c>
      <c r="K141" s="37">
        <f>SUM(T136:T145)</f>
        <v>38775</v>
      </c>
      <c r="L141" s="31"/>
    </row>
    <row r="142" spans="1:26" x14ac:dyDescent="0.2">
      <c r="A142" s="35"/>
      <c r="B142" s="35"/>
      <c r="C142" s="35" t="s">
        <v>711</v>
      </c>
      <c r="D142" s="36" t="s">
        <v>710</v>
      </c>
      <c r="E142" s="58">
        <f>Source!CA124</f>
        <v>75</v>
      </c>
      <c r="F142" s="18"/>
      <c r="G142" s="15"/>
      <c r="H142" s="37">
        <f>SUM(U136:U145)</f>
        <v>680</v>
      </c>
      <c r="I142" s="15"/>
      <c r="J142" s="39">
        <f>Source!AU124</f>
        <v>75</v>
      </c>
      <c r="K142" s="37">
        <f>SUM(V136:V145)</f>
        <v>23643</v>
      </c>
      <c r="L142" s="31"/>
    </row>
    <row r="143" spans="1:26" x14ac:dyDescent="0.2">
      <c r="A143" s="35"/>
      <c r="B143" s="35"/>
      <c r="C143" s="35" t="s">
        <v>712</v>
      </c>
      <c r="D143" s="36" t="s">
        <v>713</v>
      </c>
      <c r="E143" s="58">
        <f>Source!AQ124</f>
        <v>3.41</v>
      </c>
      <c r="F143" s="14"/>
      <c r="G143" s="15" t="str">
        <f>G139</f>
        <v>)*1,15)*1,15</v>
      </c>
      <c r="H143" s="37"/>
      <c r="I143" s="15"/>
      <c r="J143" s="15"/>
      <c r="K143" s="37"/>
      <c r="L143" s="14">
        <f>Source!U124</f>
        <v>101.959</v>
      </c>
    </row>
    <row r="144" spans="1:26" x14ac:dyDescent="0.2">
      <c r="A144" s="35"/>
      <c r="B144" s="35" t="str">
        <f>Source!F125</f>
        <v>408-0122</v>
      </c>
      <c r="C144" s="35" t="str">
        <f>Source!G125</f>
        <v>Песок природный для строительных: работ средний</v>
      </c>
      <c r="D144" s="36" t="str">
        <f>Source!H125</f>
        <v>м3</v>
      </c>
      <c r="E144" s="58">
        <f>Source!I125</f>
        <v>-31.2</v>
      </c>
      <c r="F144" s="14">
        <f>Source!AL125+Source!AM125+Source!AO125</f>
        <v>69.83</v>
      </c>
      <c r="G144" s="46" t="s">
        <v>3</v>
      </c>
      <c r="H144" s="37">
        <f>ROUND(Source!AC125*Source!I125, 0)+ROUND(Source!AD125*Source!I125, 0)+ROUND(Source!AF125*Source!I125, 0)</f>
        <v>-2179</v>
      </c>
      <c r="I144" s="15"/>
      <c r="J144" s="15">
        <f>IF(Source!BC125&lt;&gt; 0, Source!BC125, 1)</f>
        <v>8.2899999999999991</v>
      </c>
      <c r="K144" s="37">
        <f>Source!O125</f>
        <v>-18061</v>
      </c>
      <c r="L144" s="31"/>
      <c r="S144" s="9">
        <f>ROUND((Source!FX125/100)*((ROUND(Source!AF125*Source!I125, 0)+ROUND(Source!AE125*Source!I125, 0))), 0)</f>
        <v>0</v>
      </c>
      <c r="T144" s="9">
        <f>Source!X125</f>
        <v>0</v>
      </c>
      <c r="U144" s="9">
        <f>ROUND((Source!FY125/100)*((ROUND(Source!AF125*Source!I125, 0)+ROUND(Source!AE125*Source!I125, 0))), 0)</f>
        <v>0</v>
      </c>
      <c r="V144" s="9">
        <f>Source!Y125</f>
        <v>0</v>
      </c>
      <c r="W144" s="9">
        <f>IF(Source!BI125&lt;=1,H144, 0)</f>
        <v>-2179</v>
      </c>
      <c r="X144" s="9">
        <f>IF(Source!BI125=2,H144, 0)</f>
        <v>0</v>
      </c>
      <c r="Y144" s="9">
        <f>IF(Source!BI125=3,H144, 0)</f>
        <v>0</v>
      </c>
      <c r="Z144" s="9">
        <f>IF(Source!BI125=4,H144, 0)</f>
        <v>0</v>
      </c>
    </row>
    <row r="145" spans="1:26" ht="25.5" x14ac:dyDescent="0.2">
      <c r="A145" s="40"/>
      <c r="B145" s="40" t="str">
        <f>Source!F126</f>
        <v>прайс-лист</v>
      </c>
      <c r="C145" s="40" t="s">
        <v>714</v>
      </c>
      <c r="D145" s="41" t="str">
        <f>Source!H126</f>
        <v>м3</v>
      </c>
      <c r="E145" s="60">
        <f>Source!I126</f>
        <v>31.2</v>
      </c>
      <c r="F145" s="16">
        <f>Source!AL126+Source!AM126+Source!AO126</f>
        <v>833.33</v>
      </c>
      <c r="G145" s="47" t="s">
        <v>3</v>
      </c>
      <c r="H145" s="43">
        <f>ROUND(Source!AC126*Source!I126, 0)+ROUND(Source!AD126*Source!I126, 0)+ROUND(Source!AF126*Source!I126, 0)</f>
        <v>26000</v>
      </c>
      <c r="I145" s="17"/>
      <c r="J145" s="17">
        <f>IF(Source!BC126&lt;&gt; 0, Source!BC126, 1)</f>
        <v>1</v>
      </c>
      <c r="K145" s="43">
        <f>Source!O126</f>
        <v>26000</v>
      </c>
      <c r="L145" s="42"/>
      <c r="S145" s="9">
        <f>ROUND((Source!FX126/100)*((ROUND(Source!AF126*Source!I126, 0)+ROUND(Source!AE126*Source!I126, 0))), 0)</f>
        <v>0</v>
      </c>
      <c r="T145" s="9">
        <f>Source!X126</f>
        <v>0</v>
      </c>
      <c r="U145" s="9">
        <f>ROUND((Source!FY126/100)*((ROUND(Source!AF126*Source!I126, 0)+ROUND(Source!AE126*Source!I126, 0))), 0)</f>
        <v>0</v>
      </c>
      <c r="V145" s="9">
        <f>Source!Y126</f>
        <v>0</v>
      </c>
      <c r="W145" s="9">
        <f>IF(Source!BI126&lt;=1,H145, 0)</f>
        <v>0</v>
      </c>
      <c r="X145" s="9">
        <f>IF(Source!BI126=2,H145, 0)</f>
        <v>0</v>
      </c>
      <c r="Y145" s="9">
        <f>IF(Source!BI126=3,H145, 0)</f>
        <v>0</v>
      </c>
      <c r="Z145" s="9">
        <f>IF(Source!BI126=4,H145, 0)</f>
        <v>26000</v>
      </c>
    </row>
    <row r="146" spans="1:26" x14ac:dyDescent="0.2">
      <c r="G146" s="75">
        <v>29494</v>
      </c>
      <c r="H146" s="75"/>
      <c r="J146" s="75">
        <f>K137+K138+K140+K141+K142+SUM(K144:K145)</f>
        <v>128678</v>
      </c>
      <c r="K146" s="75"/>
      <c r="L146" s="44">
        <f>Source!U124</f>
        <v>101.959</v>
      </c>
      <c r="O146" s="11">
        <f>G146</f>
        <v>29494</v>
      </c>
      <c r="P146" s="11">
        <f>J146</f>
        <v>128678</v>
      </c>
      <c r="Q146" s="10">
        <f>L146</f>
        <v>101.959</v>
      </c>
      <c r="W146" s="9">
        <f>IF(Source!BI124&lt;=1,H137+H138+H140+H141+H142, 0)</f>
        <v>5673</v>
      </c>
      <c r="X146" s="9">
        <f>IF(Source!BI124=2,H137+H138+H140+H141+H142, 0)</f>
        <v>0</v>
      </c>
      <c r="Y146" s="9">
        <f>IF(Source!BI124=3,H137+H138+H140+H141+H142, 0)</f>
        <v>0</v>
      </c>
      <c r="Z146" s="9">
        <f>IF(Source!BI124=4,H137+H138+H140+H141+H142, 0)</f>
        <v>0</v>
      </c>
    </row>
    <row r="147" spans="1:26" ht="25.5" hidden="1" x14ac:dyDescent="0.2">
      <c r="A147" s="35">
        <v>2</v>
      </c>
      <c r="B147" s="35" t="str">
        <f>Source!F127</f>
        <v>01-02-061-1</v>
      </c>
      <c r="C147" s="35" t="str">
        <f>Source!G127</f>
        <v>Засыпка вручную траншей, пазух котлованов и ям, группа грунтов: 1</v>
      </c>
      <c r="D147" s="36" t="str">
        <f>Source!H127</f>
        <v>100 м3 грунта</v>
      </c>
      <c r="E147" s="58">
        <f>Source!I127</f>
        <v>0</v>
      </c>
      <c r="F147" s="14">
        <f>Source!AL127+Source!AM127+Source!AO127</f>
        <v>620.39</v>
      </c>
      <c r="G147" s="15"/>
      <c r="H147" s="37"/>
      <c r="I147" s="15" t="str">
        <f>Source!BO127</f>
        <v/>
      </c>
      <c r="J147" s="15"/>
      <c r="K147" s="37"/>
      <c r="L147" s="31"/>
      <c r="S147" s="9">
        <f>ROUND((Source!FX127/100)*((ROUND(Source!AF127*Source!I127, 0)+ROUND(Source!AE127*Source!I127, 0))), 0)</f>
        <v>0</v>
      </c>
      <c r="T147" s="9">
        <f>Source!X127</f>
        <v>0</v>
      </c>
      <c r="U147" s="9">
        <f>ROUND((Source!FY127/100)*((ROUND(Source!AF127*Source!I127, 0)+ROUND(Source!AE127*Source!I127, 0))), 0)</f>
        <v>0</v>
      </c>
      <c r="V147" s="9">
        <f>Source!Y127</f>
        <v>0</v>
      </c>
    </row>
    <row r="148" spans="1:26" hidden="1" x14ac:dyDescent="0.2">
      <c r="C148" s="12" t="str">
        <f>"Объем: "&amp;Source!I127&amp;"=2,2/"&amp;"100"</f>
        <v>Объем: 0=2,2/100</v>
      </c>
    </row>
    <row r="149" spans="1:26" hidden="1" x14ac:dyDescent="0.2">
      <c r="A149" s="35"/>
      <c r="B149" s="35"/>
      <c r="C149" s="35" t="s">
        <v>706</v>
      </c>
      <c r="D149" s="36"/>
      <c r="E149" s="58"/>
      <c r="F149" s="14">
        <f>Source!AO127</f>
        <v>620.39</v>
      </c>
      <c r="G149" s="15" t="s">
        <v>31</v>
      </c>
      <c r="H149" s="37">
        <f>ROUND(Source!AF127*Source!I127, 0)</f>
        <v>0</v>
      </c>
      <c r="I149" s="15"/>
      <c r="J149" s="15">
        <f>IF(Source!BA127&lt;&gt; 0, Source!BA127, 1)</f>
        <v>34.75</v>
      </c>
      <c r="K149" s="37">
        <f>Source!S127</f>
        <v>0</v>
      </c>
      <c r="L149" s="31"/>
      <c r="R149" s="9">
        <f>H149</f>
        <v>0</v>
      </c>
    </row>
    <row r="150" spans="1:26" hidden="1" x14ac:dyDescent="0.2">
      <c r="A150" s="35"/>
      <c r="B150" s="35"/>
      <c r="C150" s="35" t="s">
        <v>709</v>
      </c>
      <c r="D150" s="36" t="s">
        <v>710</v>
      </c>
      <c r="E150" s="58">
        <f>Source!BZ127</f>
        <v>80</v>
      </c>
      <c r="F150" s="18"/>
      <c r="G150" s="15"/>
      <c r="H150" s="37">
        <f>SUM(S147:S152)</f>
        <v>0</v>
      </c>
      <c r="I150" s="15"/>
      <c r="J150" s="39">
        <f>Source!AT127</f>
        <v>80</v>
      </c>
      <c r="K150" s="37">
        <f>SUM(T147:T152)</f>
        <v>0</v>
      </c>
      <c r="L150" s="31"/>
    </row>
    <row r="151" spans="1:26" hidden="1" x14ac:dyDescent="0.2">
      <c r="A151" s="35"/>
      <c r="B151" s="35"/>
      <c r="C151" s="35" t="s">
        <v>711</v>
      </c>
      <c r="D151" s="36" t="s">
        <v>710</v>
      </c>
      <c r="E151" s="58">
        <f>Source!CA127</f>
        <v>45</v>
      </c>
      <c r="F151" s="18"/>
      <c r="G151" s="15"/>
      <c r="H151" s="37">
        <f>SUM(U147:U152)</f>
        <v>0</v>
      </c>
      <c r="I151" s="15"/>
      <c r="J151" s="39">
        <f>Source!AU127</f>
        <v>45</v>
      </c>
      <c r="K151" s="37">
        <f>SUM(V147:V152)</f>
        <v>0</v>
      </c>
      <c r="L151" s="31"/>
    </row>
    <row r="152" spans="1:26" hidden="1" x14ac:dyDescent="0.2">
      <c r="A152" s="40"/>
      <c r="B152" s="40"/>
      <c r="C152" s="40" t="s">
        <v>712</v>
      </c>
      <c r="D152" s="41" t="s">
        <v>713</v>
      </c>
      <c r="E152" s="60">
        <f>Source!AQ127</f>
        <v>88.5</v>
      </c>
      <c r="F152" s="16"/>
      <c r="G152" s="17" t="s">
        <v>31</v>
      </c>
      <c r="H152" s="43"/>
      <c r="I152" s="17"/>
      <c r="J152" s="17"/>
      <c r="K152" s="43"/>
      <c r="L152" s="16">
        <f>Source!U127</f>
        <v>0</v>
      </c>
    </row>
    <row r="153" spans="1:26" hidden="1" x14ac:dyDescent="0.2">
      <c r="G153" s="75">
        <v>36</v>
      </c>
      <c r="H153" s="75"/>
      <c r="J153" s="75">
        <f>K149+K150+K151</f>
        <v>0</v>
      </c>
      <c r="K153" s="75"/>
      <c r="L153" s="44">
        <f>Source!U127</f>
        <v>0</v>
      </c>
      <c r="O153" s="11">
        <f>G153</f>
        <v>36</v>
      </c>
      <c r="P153" s="11">
        <f>J153</f>
        <v>0</v>
      </c>
      <c r="Q153" s="10">
        <f>L153</f>
        <v>0</v>
      </c>
      <c r="W153" s="9">
        <f>IF(Source!BI127&lt;=1,H149+H150+H151, 0)</f>
        <v>0</v>
      </c>
      <c r="X153" s="9">
        <f>IF(Source!BI127=2,H149+H150+H151, 0)</f>
        <v>0</v>
      </c>
      <c r="Y153" s="9">
        <f>IF(Source!BI127=3,H149+H150+H151, 0)</f>
        <v>0</v>
      </c>
      <c r="Z153" s="9">
        <f>IF(Source!BI127=4,H149+H150+H151, 0)</f>
        <v>0</v>
      </c>
    </row>
    <row r="154" spans="1:26" ht="25.5" x14ac:dyDescent="0.2">
      <c r="A154" s="35">
        <v>2</v>
      </c>
      <c r="B154" s="35" t="str">
        <f>Source!F128</f>
        <v>26-01-055-2</v>
      </c>
      <c r="C154" s="35" t="str">
        <f>Source!G128</f>
        <v>Установка пароизоляционного слоя из: пленки полиэтиленовой</v>
      </c>
      <c r="D154" s="36" t="s">
        <v>731</v>
      </c>
      <c r="E154" s="58">
        <f>Source!I128</f>
        <v>2.35</v>
      </c>
      <c r="F154" s="14">
        <f>Source!AL128+Source!AM128+Source!AO128</f>
        <v>1729.03</v>
      </c>
      <c r="G154" s="15"/>
      <c r="H154" s="37"/>
      <c r="I154" s="15" t="str">
        <f>Source!BO128</f>
        <v/>
      </c>
      <c r="J154" s="15"/>
      <c r="K154" s="37"/>
      <c r="L154" s="31"/>
      <c r="S154" s="9">
        <f>ROUND((Source!FX128/100)*((ROUND(Source!AF128*Source!I128, 0)+ROUND(Source!AE128*Source!I128, 0))), 0)</f>
        <v>365</v>
      </c>
      <c r="T154" s="9">
        <f>Source!X128</f>
        <v>12670</v>
      </c>
      <c r="U154" s="9">
        <f>ROUND((Source!FY128/100)*((ROUND(Source!AF128*Source!I128, 0)+ROUND(Source!AE128*Source!I128, 0))), 0)</f>
        <v>256</v>
      </c>
      <c r="V154" s="9">
        <f>Source!Y128</f>
        <v>8869</v>
      </c>
    </row>
    <row r="155" spans="1:26" x14ac:dyDescent="0.2">
      <c r="C155" s="12" t="str">
        <f>"Объем: "&amp;Source!I128&amp;"=235/"&amp;"100"</f>
        <v>Объем: 2,35=235/100</v>
      </c>
    </row>
    <row r="156" spans="1:26" x14ac:dyDescent="0.2">
      <c r="A156" s="35"/>
      <c r="B156" s="35"/>
      <c r="C156" s="35" t="s">
        <v>706</v>
      </c>
      <c r="D156" s="36"/>
      <c r="E156" s="58"/>
      <c r="F156" s="14">
        <f>Source!AO128</f>
        <v>117.32</v>
      </c>
      <c r="G156" s="15" t="s">
        <v>161</v>
      </c>
      <c r="H156" s="37">
        <f>ROUND(Source!AF128*Source!I128, 0)</f>
        <v>365</v>
      </c>
      <c r="I156" s="15"/>
      <c r="J156" s="15">
        <f>IF(Source!BA128&lt;&gt; 0, Source!BA128, 1)</f>
        <v>34.75</v>
      </c>
      <c r="K156" s="37">
        <f>Source!S128</f>
        <v>12670</v>
      </c>
      <c r="L156" s="31"/>
      <c r="R156" s="9">
        <f>H156</f>
        <v>365</v>
      </c>
    </row>
    <row r="157" spans="1:26" x14ac:dyDescent="0.2">
      <c r="A157" s="35"/>
      <c r="B157" s="35"/>
      <c r="C157" s="35" t="s">
        <v>89</v>
      </c>
      <c r="D157" s="36"/>
      <c r="E157" s="58"/>
      <c r="F157" s="14">
        <f>Source!AM128</f>
        <v>15.04</v>
      </c>
      <c r="G157" s="15" t="s">
        <v>160</v>
      </c>
      <c r="H157" s="37">
        <f>ROUND(Source!AD128*Source!I128, 0)</f>
        <v>51</v>
      </c>
      <c r="I157" s="15"/>
      <c r="J157" s="15">
        <f>IF(Source!BB128&lt;&gt; 0, Source!BB128, 1)</f>
        <v>13.36</v>
      </c>
      <c r="K157" s="37">
        <f>Source!Q128</f>
        <v>679</v>
      </c>
      <c r="L157" s="31"/>
    </row>
    <row r="158" spans="1:26" x14ac:dyDescent="0.2">
      <c r="A158" s="35"/>
      <c r="B158" s="35"/>
      <c r="C158" s="35" t="s">
        <v>708</v>
      </c>
      <c r="D158" s="36"/>
      <c r="E158" s="58"/>
      <c r="F158" s="14">
        <f>Source!AL128</f>
        <v>1596.67</v>
      </c>
      <c r="G158" s="15" t="s">
        <v>3</v>
      </c>
      <c r="H158" s="37">
        <f>ROUND(Source!AC128*Source!I128, 0)</f>
        <v>3752</v>
      </c>
      <c r="I158" s="15"/>
      <c r="J158" s="15">
        <f>IF(Source!BC128&lt;&gt; 0, Source!BC128, 1)</f>
        <v>8.2899999999999991</v>
      </c>
      <c r="K158" s="37">
        <f>Source!P128</f>
        <v>31106</v>
      </c>
      <c r="L158" s="31"/>
    </row>
    <row r="159" spans="1:26" x14ac:dyDescent="0.2">
      <c r="A159" s="35"/>
      <c r="B159" s="35"/>
      <c r="C159" s="35" t="s">
        <v>709</v>
      </c>
      <c r="D159" s="36" t="s">
        <v>710</v>
      </c>
      <c r="E159" s="58">
        <f>Source!BZ128</f>
        <v>100</v>
      </c>
      <c r="F159" s="18"/>
      <c r="G159" s="15"/>
      <c r="H159" s="37">
        <f>SUM(S154:S161)</f>
        <v>365</v>
      </c>
      <c r="I159" s="15"/>
      <c r="J159" s="39">
        <f>Source!AT128</f>
        <v>100</v>
      </c>
      <c r="K159" s="37">
        <f>SUM(T154:T161)</f>
        <v>12670</v>
      </c>
      <c r="L159" s="31"/>
    </row>
    <row r="160" spans="1:26" x14ac:dyDescent="0.2">
      <c r="A160" s="35"/>
      <c r="B160" s="35"/>
      <c r="C160" s="35" t="s">
        <v>711</v>
      </c>
      <c r="D160" s="36" t="s">
        <v>710</v>
      </c>
      <c r="E160" s="58">
        <f>Source!CA128</f>
        <v>70</v>
      </c>
      <c r="F160" s="18"/>
      <c r="G160" s="15"/>
      <c r="H160" s="37">
        <f>SUM(U154:U161)</f>
        <v>256</v>
      </c>
      <c r="I160" s="15"/>
      <c r="J160" s="39">
        <f>Source!AU128</f>
        <v>70</v>
      </c>
      <c r="K160" s="37">
        <f>SUM(V154:V161)</f>
        <v>8869</v>
      </c>
      <c r="L160" s="31"/>
    </row>
    <row r="161" spans="1:26" x14ac:dyDescent="0.2">
      <c r="A161" s="40"/>
      <c r="B161" s="40"/>
      <c r="C161" s="40" t="s">
        <v>712</v>
      </c>
      <c r="D161" s="41" t="s">
        <v>713</v>
      </c>
      <c r="E161" s="60">
        <f>Source!AQ128</f>
        <v>14.36</v>
      </c>
      <c r="F161" s="16"/>
      <c r="G161" s="17" t="s">
        <v>161</v>
      </c>
      <c r="H161" s="43"/>
      <c r="I161" s="17"/>
      <c r="J161" s="17"/>
      <c r="K161" s="43"/>
      <c r="L161" s="16">
        <f>Source!U128</f>
        <v>44.629085000000003</v>
      </c>
    </row>
    <row r="162" spans="1:26" x14ac:dyDescent="0.2">
      <c r="G162" s="75">
        <v>4789</v>
      </c>
      <c r="H162" s="75"/>
      <c r="J162" s="75">
        <f>K156+K157+K158+K159+K160</f>
        <v>65994</v>
      </c>
      <c r="K162" s="75"/>
      <c r="L162" s="44">
        <f>Source!U128</f>
        <v>44.629085000000003</v>
      </c>
      <c r="O162" s="11">
        <f>G162</f>
        <v>4789</v>
      </c>
      <c r="P162" s="11">
        <f>J162</f>
        <v>65994</v>
      </c>
      <c r="Q162" s="10">
        <f>L162</f>
        <v>44.629085000000003</v>
      </c>
      <c r="W162" s="9">
        <f>IF(Source!BI128&lt;=1,H156+H157+H158+H159+H160, 0)</f>
        <v>4789</v>
      </c>
      <c r="X162" s="9">
        <f>IF(Source!BI128=2,H156+H157+H158+H159+H160, 0)</f>
        <v>0</v>
      </c>
      <c r="Y162" s="9">
        <f>IF(Source!BI128=3,H156+H157+H158+H159+H160, 0)</f>
        <v>0</v>
      </c>
      <c r="Z162" s="9">
        <f>IF(Source!BI128=4,H156+H157+H158+H159+H160, 0)</f>
        <v>0</v>
      </c>
    </row>
    <row r="163" spans="1:26" x14ac:dyDescent="0.2">
      <c r="A163" s="35">
        <v>3</v>
      </c>
      <c r="B163" s="35" t="str">
        <f>Source!F129</f>
        <v>07-05-038-2</v>
      </c>
      <c r="C163" s="35" t="str">
        <f>Source!G129</f>
        <v>Устройство деформационных швов</v>
      </c>
      <c r="D163" s="36" t="str">
        <f>Source!H129</f>
        <v>100 м шва</v>
      </c>
      <c r="E163" s="58">
        <f>Source!I129</f>
        <v>1.28</v>
      </c>
      <c r="F163" s="14">
        <f>Source!AL129+Source!AM129+Source!AO129</f>
        <v>1281.95</v>
      </c>
      <c r="G163" s="15"/>
      <c r="H163" s="37"/>
      <c r="I163" s="15" t="str">
        <f>Source!BO129</f>
        <v/>
      </c>
      <c r="J163" s="15"/>
      <c r="K163" s="37"/>
      <c r="L163" s="31"/>
      <c r="S163" s="9">
        <f>ROUND((Source!FX129/100)*((ROUND(Source!AF129*Source!I129, 0)+ROUND(Source!AE129*Source!I129, 0))), 0)</f>
        <v>1169</v>
      </c>
      <c r="T163" s="9">
        <f>Source!X129</f>
        <v>40616</v>
      </c>
      <c r="U163" s="9">
        <f>ROUND((Source!FY129/100)*((ROUND(Source!AF129*Source!I129, 0)+ROUND(Source!AE129*Source!I129, 0))), 0)</f>
        <v>754</v>
      </c>
      <c r="V163" s="9">
        <f>Source!Y129</f>
        <v>26204</v>
      </c>
    </row>
    <row r="164" spans="1:26" x14ac:dyDescent="0.2">
      <c r="C164" s="12" t="str">
        <f>"Объем: "&amp;Source!I129&amp;"=128/"&amp;"100"</f>
        <v>Объем: 1,28=128/100</v>
      </c>
    </row>
    <row r="165" spans="1:26" x14ac:dyDescent="0.2">
      <c r="A165" s="35"/>
      <c r="B165" s="35"/>
      <c r="C165" s="35" t="s">
        <v>706</v>
      </c>
      <c r="D165" s="36"/>
      <c r="E165" s="58"/>
      <c r="F165" s="14">
        <f>Source!AO129</f>
        <v>445.46</v>
      </c>
      <c r="G165" s="15" t="s">
        <v>161</v>
      </c>
      <c r="H165" s="37">
        <f>ROUND(Source!AF129*Source!I129, 0)</f>
        <v>754</v>
      </c>
      <c r="I165" s="15"/>
      <c r="J165" s="15">
        <f>IF(Source!BA129&lt;&gt; 0, Source!BA129, 1)</f>
        <v>34.75</v>
      </c>
      <c r="K165" s="37">
        <f>Source!S129</f>
        <v>26204</v>
      </c>
      <c r="L165" s="31"/>
      <c r="R165" s="9">
        <f>H165</f>
        <v>754</v>
      </c>
    </row>
    <row r="166" spans="1:26" x14ac:dyDescent="0.2">
      <c r="A166" s="35"/>
      <c r="B166" s="35"/>
      <c r="C166" s="35" t="s">
        <v>89</v>
      </c>
      <c r="D166" s="36"/>
      <c r="E166" s="58"/>
      <c r="F166" s="14">
        <f>Source!AM129</f>
        <v>5.41</v>
      </c>
      <c r="G166" s="15" t="s">
        <v>170</v>
      </c>
      <c r="H166" s="37">
        <f>ROUND(Source!AD129*Source!I129, 0)</f>
        <v>10</v>
      </c>
      <c r="I166" s="15"/>
      <c r="J166" s="15">
        <f>IF(Source!BB129&lt;&gt; 0, Source!BB129, 1)</f>
        <v>13.36</v>
      </c>
      <c r="K166" s="37">
        <f>Source!Q129</f>
        <v>133</v>
      </c>
      <c r="L166" s="31"/>
    </row>
    <row r="167" spans="1:26" x14ac:dyDescent="0.2">
      <c r="A167" s="35"/>
      <c r="B167" s="35"/>
      <c r="C167" s="35" t="s">
        <v>708</v>
      </c>
      <c r="D167" s="36"/>
      <c r="E167" s="58"/>
      <c r="F167" s="14">
        <f>Source!AL129</f>
        <v>831.08</v>
      </c>
      <c r="G167" s="15" t="s">
        <v>3</v>
      </c>
      <c r="H167" s="37">
        <f>ROUND(Source!AC129*Source!I129, 0)</f>
        <v>1064</v>
      </c>
      <c r="I167" s="15"/>
      <c r="J167" s="15">
        <f>IF(Source!BC129&lt;&gt; 0, Source!BC129, 1)</f>
        <v>8.2899999999999991</v>
      </c>
      <c r="K167" s="37">
        <f>Source!P129</f>
        <v>8819</v>
      </c>
      <c r="L167" s="31"/>
    </row>
    <row r="168" spans="1:26" x14ac:dyDescent="0.2">
      <c r="A168" s="35"/>
      <c r="B168" s="35"/>
      <c r="C168" s="35" t="s">
        <v>709</v>
      </c>
      <c r="D168" s="36" t="s">
        <v>710</v>
      </c>
      <c r="E168" s="58">
        <f>Source!BZ129</f>
        <v>155</v>
      </c>
      <c r="F168" s="18"/>
      <c r="G168" s="15"/>
      <c r="H168" s="37">
        <f>SUM(S163:S170)</f>
        <v>1169</v>
      </c>
      <c r="I168" s="15"/>
      <c r="J168" s="39">
        <f>Source!AT129</f>
        <v>155</v>
      </c>
      <c r="K168" s="37">
        <f>SUM(T163:T170)</f>
        <v>40616</v>
      </c>
      <c r="L168" s="31"/>
    </row>
    <row r="169" spans="1:26" x14ac:dyDescent="0.2">
      <c r="A169" s="35"/>
      <c r="B169" s="35"/>
      <c r="C169" s="35" t="s">
        <v>711</v>
      </c>
      <c r="D169" s="36" t="s">
        <v>710</v>
      </c>
      <c r="E169" s="58">
        <f>Source!CA129</f>
        <v>100</v>
      </c>
      <c r="F169" s="18"/>
      <c r="G169" s="15"/>
      <c r="H169" s="37">
        <f>SUM(U163:U170)</f>
        <v>754</v>
      </c>
      <c r="I169" s="15"/>
      <c r="J169" s="39">
        <f>Source!AU129</f>
        <v>100</v>
      </c>
      <c r="K169" s="37">
        <f>SUM(V163:V170)</f>
        <v>26204</v>
      </c>
      <c r="L169" s="31"/>
    </row>
    <row r="170" spans="1:26" x14ac:dyDescent="0.2">
      <c r="A170" s="40"/>
      <c r="B170" s="40"/>
      <c r="C170" s="40" t="s">
        <v>712</v>
      </c>
      <c r="D170" s="41" t="s">
        <v>713</v>
      </c>
      <c r="E170" s="60">
        <f>Source!AQ129</f>
        <v>53.8</v>
      </c>
      <c r="F170" s="16"/>
      <c r="G170" s="17" t="s">
        <v>161</v>
      </c>
      <c r="H170" s="43"/>
      <c r="I170" s="17"/>
      <c r="J170" s="17"/>
      <c r="K170" s="43"/>
      <c r="L170" s="16">
        <f>Source!U129</f>
        <v>91.072639999999978</v>
      </c>
    </row>
    <row r="171" spans="1:26" x14ac:dyDescent="0.2">
      <c r="G171" s="75">
        <v>3751</v>
      </c>
      <c r="H171" s="75"/>
      <c r="J171" s="75">
        <f>K165+K166+K167+K168+K169</f>
        <v>101976</v>
      </c>
      <c r="K171" s="75"/>
      <c r="L171" s="44">
        <f>Source!U129</f>
        <v>91.072639999999978</v>
      </c>
      <c r="O171" s="11">
        <f>G171</f>
        <v>3751</v>
      </c>
      <c r="P171" s="11">
        <f>J171</f>
        <v>101976</v>
      </c>
      <c r="Q171" s="10">
        <f>L171</f>
        <v>91.072639999999978</v>
      </c>
      <c r="W171" s="9">
        <f>IF(Source!BI129&lt;=1,H165+H166+H167+H168+H169, 0)</f>
        <v>3751</v>
      </c>
      <c r="X171" s="9">
        <f>IF(Source!BI129=2,H165+H166+H167+H168+H169, 0)</f>
        <v>0</v>
      </c>
      <c r="Y171" s="9">
        <f>IF(Source!BI129=3,H165+H166+H167+H168+H169, 0)</f>
        <v>0</v>
      </c>
      <c r="Z171" s="9">
        <f>IF(Source!BI129=4,H165+H166+H167+H168+H169, 0)</f>
        <v>0</v>
      </c>
    </row>
    <row r="172" spans="1:26" ht="25.5" x14ac:dyDescent="0.2">
      <c r="A172" s="35">
        <v>4</v>
      </c>
      <c r="B172" s="35" t="str">
        <f>Source!F130</f>
        <v>06-01-005-6</v>
      </c>
      <c r="C172" s="35" t="str">
        <f>Source!G130</f>
        <v>Устройство железобетонных фундаментов общего назначения</v>
      </c>
      <c r="D172" s="36" t="s">
        <v>733</v>
      </c>
      <c r="E172" s="58">
        <f>Source!I130</f>
        <v>0.26</v>
      </c>
      <c r="F172" s="14">
        <f>Source!AL130+Source!AM130+Source!AO130</f>
        <v>100948.79999999999</v>
      </c>
      <c r="G172" s="15"/>
      <c r="H172" s="37"/>
      <c r="I172" s="15" t="str">
        <f>Source!BO130</f>
        <v/>
      </c>
      <c r="J172" s="15"/>
      <c r="K172" s="37"/>
      <c r="L172" s="31"/>
      <c r="S172" s="9">
        <f>ROUND((Source!FX130/100)*((ROUND(Source!AF130*Source!I130, 0)+ROUND(Source!AE130*Source!I130, 0))), 0)</f>
        <v>2456</v>
      </c>
      <c r="T172" s="9">
        <f>Source!X130</f>
        <v>85350</v>
      </c>
      <c r="U172" s="9">
        <f>ROUND((Source!FY130/100)*((ROUND(Source!AF130*Source!I130, 0)+ROUND(Source!AE130*Source!I130, 0))), 0)</f>
        <v>1520</v>
      </c>
      <c r="V172" s="9">
        <f>Source!Y130</f>
        <v>52836</v>
      </c>
    </row>
    <row r="173" spans="1:26" x14ac:dyDescent="0.2">
      <c r="C173" s="12" t="str">
        <f>"Объем: "&amp;Source!I130&amp;"=26/"&amp;"100"</f>
        <v>Объем: 0,26=26/100</v>
      </c>
    </row>
    <row r="174" spans="1:26" x14ac:dyDescent="0.2">
      <c r="A174" s="35"/>
      <c r="B174" s="35"/>
      <c r="C174" s="35" t="s">
        <v>706</v>
      </c>
      <c r="D174" s="36"/>
      <c r="E174" s="58"/>
      <c r="F174" s="14">
        <f>Source!AO130</f>
        <v>2186.42</v>
      </c>
      <c r="G174" s="15" t="s">
        <v>161</v>
      </c>
      <c r="H174" s="37">
        <f>ROUND(Source!AF130*Source!I130, 0)</f>
        <v>2255</v>
      </c>
      <c r="I174" s="15"/>
      <c r="J174" s="15">
        <f>IF(Source!BA130&lt;&gt; 0, Source!BA130, 1)</f>
        <v>34.75</v>
      </c>
      <c r="K174" s="37">
        <f>Source!S130</f>
        <v>78375</v>
      </c>
      <c r="L174" s="31"/>
      <c r="R174" s="9">
        <f>H174</f>
        <v>2255</v>
      </c>
    </row>
    <row r="175" spans="1:26" x14ac:dyDescent="0.2">
      <c r="A175" s="35"/>
      <c r="B175" s="35"/>
      <c r="C175" s="35" t="s">
        <v>89</v>
      </c>
      <c r="D175" s="36"/>
      <c r="E175" s="58"/>
      <c r="F175" s="14">
        <f>Source!AM130</f>
        <v>2566.59</v>
      </c>
      <c r="G175" s="15" t="s">
        <v>170</v>
      </c>
      <c r="H175" s="37">
        <f>ROUND(Source!AD130*Source!I130, 0)</f>
        <v>959</v>
      </c>
      <c r="I175" s="15"/>
      <c r="J175" s="15">
        <f>IF(Source!BB130&lt;&gt; 0, Source!BB130, 1)</f>
        <v>13.36</v>
      </c>
      <c r="K175" s="37">
        <f>Source!Q130</f>
        <v>12816</v>
      </c>
      <c r="L175" s="31"/>
    </row>
    <row r="176" spans="1:26" x14ac:dyDescent="0.2">
      <c r="A176" s="35"/>
      <c r="B176" s="35"/>
      <c r="C176" s="35" t="s">
        <v>707</v>
      </c>
      <c r="D176" s="36"/>
      <c r="E176" s="58"/>
      <c r="F176" s="14">
        <f>Source!AN130</f>
        <v>224.12</v>
      </c>
      <c r="G176" s="15" t="str">
        <f>G174</f>
        <v>)*1,15)*1,15</v>
      </c>
      <c r="H176" s="38">
        <f>ROUND(Source!AE130*Source!I130, 0)</f>
        <v>84</v>
      </c>
      <c r="I176" s="15"/>
      <c r="J176" s="15">
        <f>IF(Source!BS130&lt;&gt; 0, Source!BS130, 1)</f>
        <v>34.75</v>
      </c>
      <c r="K176" s="38">
        <f>Source!R130</f>
        <v>2911</v>
      </c>
      <c r="L176" s="31"/>
      <c r="R176" s="9">
        <f>H176</f>
        <v>84</v>
      </c>
    </row>
    <row r="177" spans="1:26" x14ac:dyDescent="0.2">
      <c r="A177" s="35"/>
      <c r="B177" s="35"/>
      <c r="C177" s="35" t="s">
        <v>708</v>
      </c>
      <c r="D177" s="36"/>
      <c r="E177" s="58"/>
      <c r="F177" s="14">
        <f>Source!AL130</f>
        <v>96195.79</v>
      </c>
      <c r="G177" s="15" t="s">
        <v>3</v>
      </c>
      <c r="H177" s="37">
        <f>ROUND(Source!AC130*Source!I130, 0)</f>
        <v>25011</v>
      </c>
      <c r="I177" s="15"/>
      <c r="J177" s="15">
        <f>IF(Source!BC130&lt;&gt; 0, Source!BC130, 1)</f>
        <v>8.2899999999999991</v>
      </c>
      <c r="K177" s="37">
        <f>Source!P130</f>
        <v>207340</v>
      </c>
      <c r="L177" s="31"/>
    </row>
    <row r="178" spans="1:26" x14ac:dyDescent="0.2">
      <c r="A178" s="35"/>
      <c r="B178" s="35"/>
      <c r="C178" s="35" t="s">
        <v>709</v>
      </c>
      <c r="D178" s="36" t="s">
        <v>710</v>
      </c>
      <c r="E178" s="58">
        <f>Source!BZ130</f>
        <v>105</v>
      </c>
      <c r="F178" s="18"/>
      <c r="G178" s="15"/>
      <c r="H178" s="37">
        <f>SUM(S172:S185)</f>
        <v>2456</v>
      </c>
      <c r="I178" s="15"/>
      <c r="J178" s="39">
        <f>Source!AT130</f>
        <v>105</v>
      </c>
      <c r="K178" s="37">
        <f>SUM(T172:T185)</f>
        <v>85350</v>
      </c>
      <c r="L178" s="31"/>
    </row>
    <row r="179" spans="1:26" x14ac:dyDescent="0.2">
      <c r="A179" s="35"/>
      <c r="B179" s="35"/>
      <c r="C179" s="35" t="s">
        <v>711</v>
      </c>
      <c r="D179" s="36" t="s">
        <v>710</v>
      </c>
      <c r="E179" s="58">
        <f>Source!CA130</f>
        <v>65</v>
      </c>
      <c r="F179" s="18"/>
      <c r="G179" s="15"/>
      <c r="H179" s="37">
        <f>SUM(U172:U185)</f>
        <v>1520</v>
      </c>
      <c r="I179" s="15"/>
      <c r="J179" s="39">
        <f>Source!AU130</f>
        <v>65</v>
      </c>
      <c r="K179" s="37">
        <f>SUM(V172:V185)</f>
        <v>52836</v>
      </c>
      <c r="L179" s="31"/>
    </row>
    <row r="180" spans="1:26" x14ac:dyDescent="0.2">
      <c r="A180" s="35"/>
      <c r="B180" s="35"/>
      <c r="C180" s="35" t="s">
        <v>712</v>
      </c>
      <c r="D180" s="36" t="s">
        <v>713</v>
      </c>
      <c r="E180" s="58">
        <f>Source!AQ130</f>
        <v>278.88</v>
      </c>
      <c r="F180" s="14"/>
      <c r="G180" s="15" t="s">
        <v>161</v>
      </c>
      <c r="H180" s="37"/>
      <c r="I180" s="15"/>
      <c r="J180" s="15"/>
      <c r="K180" s="37"/>
      <c r="L180" s="14">
        <f>Source!U130</f>
        <v>287.67866399999997</v>
      </c>
    </row>
    <row r="181" spans="1:26" x14ac:dyDescent="0.2">
      <c r="A181" s="35"/>
      <c r="B181" s="35" t="str">
        <f>Source!F131</f>
        <v>204-0100</v>
      </c>
      <c r="C181" s="35" t="str">
        <f>Source!G131</f>
        <v>Горячекатаная арматурная сталь класса: А-I, А-II, А-III</v>
      </c>
      <c r="D181" s="36" t="str">
        <f>Source!H131</f>
        <v>т</v>
      </c>
      <c r="E181" s="58">
        <f>Source!I131</f>
        <v>-0.83199999999999996</v>
      </c>
      <c r="F181" s="14">
        <f>Source!AL131+Source!AM131+Source!AO131</f>
        <v>5416.2</v>
      </c>
      <c r="G181" s="46" t="s">
        <v>3</v>
      </c>
      <c r="H181" s="37">
        <f>ROUND(Source!AC131*Source!I131, 0)+ROUND(Source!AD131*Source!I131, 0)+ROUND(Source!AF131*Source!I131, 0)</f>
        <v>-4506</v>
      </c>
      <c r="I181" s="15"/>
      <c r="J181" s="15">
        <f>IF(Source!BC131&lt;&gt; 0, Source!BC131, 1)</f>
        <v>8.2899999999999991</v>
      </c>
      <c r="K181" s="37">
        <f>Source!O131</f>
        <v>-37357</v>
      </c>
      <c r="L181" s="31"/>
      <c r="S181" s="9">
        <f>ROUND((Source!FX131/100)*((ROUND(Source!AF131*Source!I131, 0)+ROUND(Source!AE131*Source!I131, 0))), 0)</f>
        <v>0</v>
      </c>
      <c r="T181" s="9">
        <f>Source!X131</f>
        <v>0</v>
      </c>
      <c r="U181" s="9">
        <f>ROUND((Source!FY131/100)*((ROUND(Source!AF131*Source!I131, 0)+ROUND(Source!AE131*Source!I131, 0))), 0)</f>
        <v>0</v>
      </c>
      <c r="V181" s="9">
        <f>Source!Y131</f>
        <v>0</v>
      </c>
      <c r="W181" s="9">
        <f>IF(Source!BI131&lt;=1,H181, 0)</f>
        <v>-4506</v>
      </c>
      <c r="X181" s="9">
        <f>IF(Source!BI131=2,H181, 0)</f>
        <v>0</v>
      </c>
      <c r="Y181" s="9">
        <f>IF(Source!BI131=3,H181, 0)</f>
        <v>0</v>
      </c>
      <c r="Z181" s="9">
        <f>IF(Source!BI131=4,H181, 0)</f>
        <v>0</v>
      </c>
    </row>
    <row r="182" spans="1:26" ht="25.5" x14ac:dyDescent="0.2">
      <c r="A182" s="35"/>
      <c r="B182" s="35" t="str">
        <f>Source!F132</f>
        <v>401-0066</v>
      </c>
      <c r="C182" s="35" t="str">
        <f>Source!G132</f>
        <v>Бетон тяжелый, крупность заполнителя: 20 мм, класс В15 (М200)</v>
      </c>
      <c r="D182" s="36" t="str">
        <f>Source!H132</f>
        <v>м3</v>
      </c>
      <c r="E182" s="58">
        <f>Source!I132</f>
        <v>-26.39</v>
      </c>
      <c r="F182" s="14">
        <f>Source!AL132+Source!AM132+Source!AO132</f>
        <v>747.74</v>
      </c>
      <c r="G182" s="46" t="s">
        <v>3</v>
      </c>
      <c r="H182" s="37">
        <f>ROUND(Source!AC132*Source!I132, 0)+ROUND(Source!AD132*Source!I132, 0)+ROUND(Source!AF132*Source!I132, 0)</f>
        <v>-19733</v>
      </c>
      <c r="I182" s="15"/>
      <c r="J182" s="15">
        <f>IF(Source!BC132&lt;&gt; 0, Source!BC132, 1)</f>
        <v>8.2899999999999991</v>
      </c>
      <c r="K182" s="37">
        <f>Source!O132</f>
        <v>-163585</v>
      </c>
      <c r="L182" s="31"/>
      <c r="S182" s="9">
        <f>ROUND((Source!FX132/100)*((ROUND(Source!AF132*Source!I132, 0)+ROUND(Source!AE132*Source!I132, 0))), 0)</f>
        <v>0</v>
      </c>
      <c r="T182" s="9">
        <f>Source!X132</f>
        <v>0</v>
      </c>
      <c r="U182" s="9">
        <f>ROUND((Source!FY132/100)*((ROUND(Source!AF132*Source!I132, 0)+ROUND(Source!AE132*Source!I132, 0))), 0)</f>
        <v>0</v>
      </c>
      <c r="V182" s="9">
        <f>Source!Y132</f>
        <v>0</v>
      </c>
      <c r="W182" s="9">
        <f>IF(Source!BI132&lt;=1,H182, 0)</f>
        <v>-19733</v>
      </c>
      <c r="X182" s="9">
        <f>IF(Source!BI132=2,H182, 0)</f>
        <v>0</v>
      </c>
      <c r="Y182" s="9">
        <f>IF(Source!BI132=3,H182, 0)</f>
        <v>0</v>
      </c>
      <c r="Z182" s="9">
        <f>IF(Source!BI132=4,H182, 0)</f>
        <v>0</v>
      </c>
    </row>
    <row r="183" spans="1:26" ht="25.5" x14ac:dyDescent="0.2">
      <c r="A183" s="35"/>
      <c r="B183" s="35" t="str">
        <f>Source!F133</f>
        <v>прайс-лист</v>
      </c>
      <c r="C183" s="35" t="s">
        <v>715</v>
      </c>
      <c r="D183" s="36" t="str">
        <f>Source!H133</f>
        <v>м3</v>
      </c>
      <c r="E183" s="58">
        <f>Source!I133</f>
        <v>26.39</v>
      </c>
      <c r="F183" s="14">
        <f>Source!AL133+Source!AM133+Source!AO133</f>
        <v>8916.67</v>
      </c>
      <c r="G183" s="46" t="s">
        <v>3</v>
      </c>
      <c r="H183" s="37">
        <f>ROUND(Source!AC133*Source!I133, 0)+ROUND(Source!AD133*Source!I133, 0)+ROUND(Source!AF133*Source!I133, 0)</f>
        <v>235311</v>
      </c>
      <c r="I183" s="15"/>
      <c r="J183" s="15">
        <f>IF(Source!BC133&lt;&gt; 0, Source!BC133, 1)</f>
        <v>1</v>
      </c>
      <c r="K183" s="37">
        <f>Source!O133</f>
        <v>235311</v>
      </c>
      <c r="L183" s="31"/>
      <c r="S183" s="9">
        <f>ROUND((Source!FX133/100)*((ROUND(Source!AF133*Source!I133, 0)+ROUND(Source!AE133*Source!I133, 0))), 0)</f>
        <v>0</v>
      </c>
      <c r="T183" s="9">
        <f>Source!X133</f>
        <v>0</v>
      </c>
      <c r="U183" s="9">
        <f>ROUND((Source!FY133/100)*((ROUND(Source!AF133*Source!I133, 0)+ROUND(Source!AE133*Source!I133, 0))), 0)</f>
        <v>0</v>
      </c>
      <c r="V183" s="9">
        <f>Source!Y133</f>
        <v>0</v>
      </c>
      <c r="W183" s="9">
        <f>IF(Source!BI133&lt;=1,H183, 0)</f>
        <v>0</v>
      </c>
      <c r="X183" s="9">
        <f>IF(Source!BI133=2,H183, 0)</f>
        <v>0</v>
      </c>
      <c r="Y183" s="9">
        <f>IF(Source!BI133=3,H183, 0)</f>
        <v>0</v>
      </c>
      <c r="Z183" s="9">
        <f>IF(Source!BI133=4,H183, 0)</f>
        <v>235311</v>
      </c>
    </row>
    <row r="184" spans="1:26" ht="25.5" x14ac:dyDescent="0.2">
      <c r="A184" s="35"/>
      <c r="B184" s="35" t="str">
        <f>Source!F134</f>
        <v>прайс-лист</v>
      </c>
      <c r="C184" s="35" t="s">
        <v>716</v>
      </c>
      <c r="D184" s="36" t="str">
        <f>Source!H134</f>
        <v>т</v>
      </c>
      <c r="E184" s="58">
        <f>Source!I134</f>
        <v>0.311</v>
      </c>
      <c r="F184" s="14">
        <f>Source!AL134+Source!AM134+Source!AO134</f>
        <v>61285</v>
      </c>
      <c r="G184" s="46" t="s">
        <v>3</v>
      </c>
      <c r="H184" s="37">
        <f>ROUND(Source!AC134*Source!I134, 0)+ROUND(Source!AD134*Source!I134, 0)+ROUND(Source!AF134*Source!I134, 0)</f>
        <v>19060</v>
      </c>
      <c r="I184" s="15"/>
      <c r="J184" s="15">
        <f>IF(Source!BC134&lt;&gt; 0, Source!BC134, 1)</f>
        <v>1</v>
      </c>
      <c r="K184" s="37">
        <f>Source!O134</f>
        <v>19060</v>
      </c>
      <c r="L184" s="31"/>
      <c r="S184" s="9">
        <f>ROUND((Source!FX134/100)*((ROUND(Source!AF134*Source!I134, 0)+ROUND(Source!AE134*Source!I134, 0))), 0)</f>
        <v>0</v>
      </c>
      <c r="T184" s="9">
        <f>Source!X134</f>
        <v>0</v>
      </c>
      <c r="U184" s="9">
        <f>ROUND((Source!FY134/100)*((ROUND(Source!AF134*Source!I134, 0)+ROUND(Source!AE134*Source!I134, 0))), 0)</f>
        <v>0</v>
      </c>
      <c r="V184" s="9">
        <f>Source!Y134</f>
        <v>0</v>
      </c>
      <c r="W184" s="9">
        <f>IF(Source!BI134&lt;=1,H184, 0)</f>
        <v>0</v>
      </c>
      <c r="X184" s="9">
        <f>IF(Source!BI134=2,H184, 0)</f>
        <v>0</v>
      </c>
      <c r="Y184" s="9">
        <f>IF(Source!BI134=3,H184, 0)</f>
        <v>0</v>
      </c>
      <c r="Z184" s="9">
        <f>IF(Source!BI134=4,H184, 0)</f>
        <v>19060</v>
      </c>
    </row>
    <row r="185" spans="1:26" ht="25.5" x14ac:dyDescent="0.2">
      <c r="A185" s="40"/>
      <c r="B185" s="40" t="str">
        <f>Source!F135</f>
        <v>204-0036</v>
      </c>
      <c r="C185" s="40" t="str">
        <f>Source!G135</f>
        <v>Надбавки к ценам заготовок за сборку и сварку каркасов и сеток: плоских, диаметром 10 мм</v>
      </c>
      <c r="D185" s="41" t="str">
        <f>Source!H135</f>
        <v>т</v>
      </c>
      <c r="E185" s="60">
        <f>Source!I135</f>
        <v>0.311</v>
      </c>
      <c r="F185" s="16">
        <f>Source!AL135+Source!AM135+Source!AO135</f>
        <v>1360.33</v>
      </c>
      <c r="G185" s="47" t="s">
        <v>3</v>
      </c>
      <c r="H185" s="43">
        <f>ROUND(Source!AC135*Source!I135, 0)+ROUND(Source!AD135*Source!I135, 0)+ROUND(Source!AF135*Source!I135, 0)</f>
        <v>423</v>
      </c>
      <c r="I185" s="17"/>
      <c r="J185" s="17">
        <f>IF(Source!BC135&lt;&gt; 0, Source!BC135, 1)</f>
        <v>8.2899999999999991</v>
      </c>
      <c r="K185" s="43">
        <f>Source!O135</f>
        <v>3507</v>
      </c>
      <c r="L185" s="42"/>
      <c r="S185" s="9">
        <f>ROUND((Source!FX135/100)*((ROUND(Source!AF135*Source!I135, 0)+ROUND(Source!AE135*Source!I135, 0))), 0)</f>
        <v>0</v>
      </c>
      <c r="T185" s="9">
        <f>Source!X135</f>
        <v>0</v>
      </c>
      <c r="U185" s="9">
        <f>ROUND((Source!FY135/100)*((ROUND(Source!AF135*Source!I135, 0)+ROUND(Source!AE135*Source!I135, 0))), 0)</f>
        <v>0</v>
      </c>
      <c r="V185" s="9">
        <f>Source!Y135</f>
        <v>0</v>
      </c>
      <c r="W185" s="9">
        <f>IF(Source!BI135&lt;=1,H185, 0)</f>
        <v>423</v>
      </c>
      <c r="X185" s="9">
        <f>IF(Source!BI135=2,H185, 0)</f>
        <v>0</v>
      </c>
      <c r="Y185" s="9">
        <f>IF(Source!BI135=3,H185, 0)</f>
        <v>0</v>
      </c>
      <c r="Z185" s="9">
        <f>IF(Source!BI135=4,H185, 0)</f>
        <v>0</v>
      </c>
    </row>
    <row r="186" spans="1:26" x14ac:dyDescent="0.2">
      <c r="G186" s="75">
        <v>262756</v>
      </c>
      <c r="H186" s="75"/>
      <c r="J186" s="75">
        <f>K174+K175+K177+K178+K179+SUM(K181:K185)</f>
        <v>493653</v>
      </c>
      <c r="K186" s="75"/>
      <c r="L186" s="44">
        <f>Source!U130</f>
        <v>287.67866399999997</v>
      </c>
      <c r="O186" s="11">
        <f>G186</f>
        <v>262756</v>
      </c>
      <c r="P186" s="11">
        <f>J186</f>
        <v>493653</v>
      </c>
      <c r="Q186" s="10">
        <f>L186</f>
        <v>287.67866399999997</v>
      </c>
      <c r="W186" s="9">
        <f>IF(Source!BI130&lt;=1,H174+H175+H177+H178+H179, 0)</f>
        <v>32201</v>
      </c>
      <c r="X186" s="9">
        <f>IF(Source!BI130=2,H174+H175+H177+H178+H179, 0)</f>
        <v>0</v>
      </c>
      <c r="Y186" s="9">
        <f>IF(Source!BI130=3,H174+H175+H177+H178+H179, 0)</f>
        <v>0</v>
      </c>
      <c r="Z186" s="9">
        <f>IF(Source!BI130=4,H174+H175+H177+H178+H179, 0)</f>
        <v>0</v>
      </c>
    </row>
    <row r="188" spans="1:26" x14ac:dyDescent="0.2">
      <c r="A188" s="73" t="str">
        <f>CONCATENATE("Итого по подразделу: ",IF(Source!G137&lt;&gt;"Новый подраздел", Source!G137, ""))</f>
        <v>Итого по подразделу: Участок ТИП2</v>
      </c>
      <c r="B188" s="73"/>
      <c r="C188" s="73"/>
      <c r="D188" s="73"/>
      <c r="E188" s="73"/>
      <c r="F188" s="73"/>
      <c r="G188" s="74">
        <v>301147</v>
      </c>
      <c r="H188" s="74"/>
      <c r="I188" s="45"/>
      <c r="J188" s="74">
        <f>SUM(P126:P187)</f>
        <v>790301</v>
      </c>
      <c r="K188" s="74"/>
      <c r="L188" s="44">
        <f>SUM(Q126:Q187)</f>
        <v>525.33938899999998</v>
      </c>
    </row>
    <row r="192" spans="1:26" x14ac:dyDescent="0.2">
      <c r="A192" s="76" t="str">
        <f>CONCATENATE("Подраздел: ",IF(Source!G167&lt;&gt;"Новый подраздел", Source!G167, ""))</f>
        <v>Подраздел: Отмостка</v>
      </c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1:26" ht="51" x14ac:dyDescent="0.2">
      <c r="A193" s="35">
        <v>1</v>
      </c>
      <c r="B193" s="35" t="str">
        <f>Source!F171</f>
        <v>01-02-005-1</v>
      </c>
      <c r="C193" s="35" t="str">
        <f>Source!G171</f>
        <v>Уплотнение грунта пневматическими трамбовками, группа грунтов: 1-2</v>
      </c>
      <c r="D193" s="36" t="str">
        <f>Source!H171</f>
        <v>100 м3 уплотненного грунта</v>
      </c>
      <c r="E193" s="58">
        <f>Source!I171</f>
        <v>0.06</v>
      </c>
      <c r="F193" s="14">
        <f>Source!AL171+Source!AM171+Source!AO171</f>
        <v>407.12</v>
      </c>
      <c r="G193" s="15"/>
      <c r="H193" s="37"/>
      <c r="I193" s="15" t="str">
        <f>Source!BO171</f>
        <v/>
      </c>
      <c r="J193" s="15"/>
      <c r="K193" s="37"/>
      <c r="L193" s="31"/>
      <c r="S193" s="9">
        <f>ROUND((Source!FX171/100)*((ROUND(Source!AF171*Source!I171, 0)+ROUND(Source!AE171*Source!I171, 0))), 0)</f>
        <v>9</v>
      </c>
      <c r="T193" s="9">
        <f>Source!X171</f>
        <v>293</v>
      </c>
      <c r="U193" s="9">
        <f>ROUND((Source!FY171/100)*((ROUND(Source!AF171*Source!I171, 0)+ROUND(Source!AE171*Source!I171, 0))), 0)</f>
        <v>5</v>
      </c>
      <c r="V193" s="9">
        <f>Source!Y171</f>
        <v>154</v>
      </c>
    </row>
    <row r="194" spans="1:26" x14ac:dyDescent="0.2">
      <c r="C194" s="12" t="str">
        <f>"Объем: "&amp;Source!I171&amp;"=6/"&amp;"100"</f>
        <v>Объем: 0,06=6/100</v>
      </c>
    </row>
    <row r="195" spans="1:26" x14ac:dyDescent="0.2">
      <c r="A195" s="35"/>
      <c r="B195" s="35"/>
      <c r="C195" s="35" t="s">
        <v>706</v>
      </c>
      <c r="D195" s="36"/>
      <c r="E195" s="58"/>
      <c r="F195" s="14">
        <f>Source!AO171</f>
        <v>99.86</v>
      </c>
      <c r="G195" s="15" t="s">
        <v>31</v>
      </c>
      <c r="H195" s="37">
        <f>ROUND(Source!AF171*Source!I171, 0)</f>
        <v>7</v>
      </c>
      <c r="I195" s="15"/>
      <c r="J195" s="15">
        <f>IF(Source!BA171&lt;&gt; 0, Source!BA171, 1)</f>
        <v>34.75</v>
      </c>
      <c r="K195" s="37">
        <f>Source!S171</f>
        <v>239</v>
      </c>
      <c r="L195" s="31"/>
      <c r="R195" s="9">
        <f>H195</f>
        <v>7</v>
      </c>
    </row>
    <row r="196" spans="1:26" x14ac:dyDescent="0.2">
      <c r="A196" s="35"/>
      <c r="B196" s="35"/>
      <c r="C196" s="35" t="s">
        <v>89</v>
      </c>
      <c r="D196" s="36"/>
      <c r="E196" s="58"/>
      <c r="F196" s="14">
        <f>Source!AM171</f>
        <v>307.26</v>
      </c>
      <c r="G196" s="15" t="s">
        <v>31</v>
      </c>
      <c r="H196" s="37">
        <f>ROUND(Source!AD171*Source!I171, 0)</f>
        <v>21</v>
      </c>
      <c r="I196" s="15"/>
      <c r="J196" s="15">
        <f>IF(Source!BB171&lt;&gt; 0, Source!BB171, 1)</f>
        <v>13.36</v>
      </c>
      <c r="K196" s="37">
        <f>Source!Q171</f>
        <v>283</v>
      </c>
      <c r="L196" s="31"/>
    </row>
    <row r="197" spans="1:26" x14ac:dyDescent="0.2">
      <c r="A197" s="35"/>
      <c r="B197" s="35"/>
      <c r="C197" s="35" t="s">
        <v>707</v>
      </c>
      <c r="D197" s="36"/>
      <c r="E197" s="58"/>
      <c r="F197" s="14">
        <f>Source!AN171</f>
        <v>28.58</v>
      </c>
      <c r="G197" s="15" t="s">
        <v>31</v>
      </c>
      <c r="H197" s="38">
        <f>ROUND(Source!AE171*Source!I171, 0)</f>
        <v>2</v>
      </c>
      <c r="I197" s="15"/>
      <c r="J197" s="15">
        <f>IF(Source!BS171&lt;&gt; 0, Source!BS171, 1)</f>
        <v>34.75</v>
      </c>
      <c r="K197" s="38">
        <f>Source!R171</f>
        <v>69</v>
      </c>
      <c r="L197" s="31"/>
      <c r="R197" s="9">
        <f>H197</f>
        <v>2</v>
      </c>
    </row>
    <row r="198" spans="1:26" x14ac:dyDescent="0.2">
      <c r="A198" s="35"/>
      <c r="B198" s="35"/>
      <c r="C198" s="35" t="s">
        <v>709</v>
      </c>
      <c r="D198" s="36" t="s">
        <v>710</v>
      </c>
      <c r="E198" s="58">
        <f>Source!BZ171</f>
        <v>95</v>
      </c>
      <c r="F198" s="18"/>
      <c r="G198" s="15"/>
      <c r="H198" s="37">
        <f>SUM(S193:S200)</f>
        <v>9</v>
      </c>
      <c r="I198" s="15"/>
      <c r="J198" s="39">
        <f>Source!AT171</f>
        <v>95</v>
      </c>
      <c r="K198" s="37">
        <f>SUM(T193:T200)</f>
        <v>293</v>
      </c>
      <c r="L198" s="31"/>
    </row>
    <row r="199" spans="1:26" x14ac:dyDescent="0.2">
      <c r="A199" s="35"/>
      <c r="B199" s="35"/>
      <c r="C199" s="35" t="s">
        <v>711</v>
      </c>
      <c r="D199" s="36" t="s">
        <v>710</v>
      </c>
      <c r="E199" s="58">
        <f>Source!CA171</f>
        <v>50</v>
      </c>
      <c r="F199" s="18"/>
      <c r="G199" s="15"/>
      <c r="H199" s="37">
        <f>SUM(U193:U200)</f>
        <v>5</v>
      </c>
      <c r="I199" s="15"/>
      <c r="J199" s="39">
        <f>Source!AU171</f>
        <v>50</v>
      </c>
      <c r="K199" s="37">
        <f>SUM(V193:V200)</f>
        <v>154</v>
      </c>
      <c r="L199" s="31"/>
    </row>
    <row r="200" spans="1:26" x14ac:dyDescent="0.2">
      <c r="A200" s="40"/>
      <c r="B200" s="40"/>
      <c r="C200" s="40" t="s">
        <v>712</v>
      </c>
      <c r="D200" s="41" t="s">
        <v>713</v>
      </c>
      <c r="E200" s="60">
        <f>Source!AQ171</f>
        <v>12.53</v>
      </c>
      <c r="F200" s="16"/>
      <c r="G200" s="17" t="s">
        <v>31</v>
      </c>
      <c r="H200" s="43"/>
      <c r="I200" s="17"/>
      <c r="J200" s="17"/>
      <c r="K200" s="43"/>
      <c r="L200" s="16">
        <f>Source!U171</f>
        <v>0.86456999999999984</v>
      </c>
    </row>
    <row r="201" spans="1:26" x14ac:dyDescent="0.2">
      <c r="G201" s="75">
        <v>42</v>
      </c>
      <c r="H201" s="75"/>
      <c r="J201" s="75">
        <f>K195+K196+K198+K199</f>
        <v>969</v>
      </c>
      <c r="K201" s="75"/>
      <c r="L201" s="44">
        <f>Source!U171</f>
        <v>0.86456999999999984</v>
      </c>
      <c r="O201" s="11">
        <f>G201</f>
        <v>42</v>
      </c>
      <c r="P201" s="11">
        <f>J201</f>
        <v>969</v>
      </c>
      <c r="Q201" s="10">
        <f>L201</f>
        <v>0.86456999999999984</v>
      </c>
      <c r="W201" s="9">
        <f>IF(Source!BI171&lt;=1,H195+H196+H198+H199, 0)</f>
        <v>42</v>
      </c>
      <c r="X201" s="9">
        <f>IF(Source!BI171=2,H195+H196+H198+H199, 0)</f>
        <v>0</v>
      </c>
      <c r="Y201" s="9">
        <f>IF(Source!BI171=3,H195+H196+H198+H199, 0)</f>
        <v>0</v>
      </c>
      <c r="Z201" s="9">
        <f>IF(Source!BI171=4,H195+H196+H198+H199, 0)</f>
        <v>0</v>
      </c>
    </row>
    <row r="202" spans="1:26" ht="25.5" x14ac:dyDescent="0.2">
      <c r="A202" s="35">
        <v>2</v>
      </c>
      <c r="B202" s="35" t="str">
        <f>Source!F172</f>
        <v>11-01-002-1</v>
      </c>
      <c r="C202" s="35" t="str">
        <f>Source!G172</f>
        <v>Устройство подстилающих слоев: песчаных с уплотнением</v>
      </c>
      <c r="D202" s="36" t="s">
        <v>139</v>
      </c>
      <c r="E202" s="58">
        <f>Source!I172</f>
        <v>2.4</v>
      </c>
      <c r="F202" s="14">
        <f>Source!AL172+Source!AM172+Source!AO172</f>
        <v>140.61000000000001</v>
      </c>
      <c r="G202" s="15"/>
      <c r="H202" s="37"/>
      <c r="I202" s="15" t="str">
        <f>Source!BO172</f>
        <v/>
      </c>
      <c r="J202" s="15"/>
      <c r="K202" s="37"/>
      <c r="L202" s="31"/>
      <c r="S202" s="9">
        <f>ROUND((Source!FX172/100)*((ROUND(Source!AF172*Source!I172, 0)+ROUND(Source!AE172*Source!I172, 0))), 0)</f>
        <v>103</v>
      </c>
      <c r="T202" s="9">
        <f>Source!X172</f>
        <v>3578</v>
      </c>
      <c r="U202" s="9">
        <f>ROUND((Source!FY172/100)*((ROUND(Source!AF172*Source!I172, 0)+ROUND(Source!AE172*Source!I172, 0))), 0)</f>
        <v>63</v>
      </c>
      <c r="V202" s="9">
        <f>Source!Y172</f>
        <v>2182</v>
      </c>
    </row>
    <row r="203" spans="1:26" x14ac:dyDescent="0.2">
      <c r="A203" s="35"/>
      <c r="B203" s="35"/>
      <c r="C203" s="35" t="s">
        <v>706</v>
      </c>
      <c r="D203" s="36"/>
      <c r="E203" s="58"/>
      <c r="F203" s="14">
        <f>Source!AO172</f>
        <v>27.52</v>
      </c>
      <c r="G203" s="15" t="str">
        <f>G174</f>
        <v>)*1,15)*1,15</v>
      </c>
      <c r="H203" s="37">
        <f>ROUND(Source!AF172*Source!I172, 0)</f>
        <v>76</v>
      </c>
      <c r="I203" s="15"/>
      <c r="J203" s="15">
        <f>IF(Source!BA172&lt;&gt; 0, Source!BA172, 1)</f>
        <v>34.75</v>
      </c>
      <c r="K203" s="37">
        <f>Source!S172</f>
        <v>2639</v>
      </c>
      <c r="L203" s="31"/>
      <c r="R203" s="9">
        <f>H203</f>
        <v>76</v>
      </c>
    </row>
    <row r="204" spans="1:26" x14ac:dyDescent="0.2">
      <c r="A204" s="35"/>
      <c r="B204" s="35"/>
      <c r="C204" s="35" t="s">
        <v>89</v>
      </c>
      <c r="D204" s="36"/>
      <c r="E204" s="58"/>
      <c r="F204" s="14">
        <f>Source!AM172</f>
        <v>29.1</v>
      </c>
      <c r="G204" s="15" t="str">
        <f>G175</f>
        <v>)*1,25)*1,15</v>
      </c>
      <c r="H204" s="37">
        <f>ROUND(Source!AD172*Source!I172, 0)</f>
        <v>80</v>
      </c>
      <c r="I204" s="15"/>
      <c r="J204" s="15">
        <f>IF(Source!BB172&lt;&gt; 0, Source!BB172, 1)</f>
        <v>13.36</v>
      </c>
      <c r="K204" s="37">
        <f>Source!Q172</f>
        <v>1073</v>
      </c>
      <c r="L204" s="31"/>
    </row>
    <row r="205" spans="1:26" x14ac:dyDescent="0.2">
      <c r="A205" s="35"/>
      <c r="B205" s="35"/>
      <c r="C205" s="35" t="s">
        <v>707</v>
      </c>
      <c r="D205" s="36"/>
      <c r="E205" s="58"/>
      <c r="F205" s="14">
        <f>Source!AN172</f>
        <v>2.82</v>
      </c>
      <c r="G205" s="15" t="str">
        <f>G180</f>
        <v>)*1,15)*1,15</v>
      </c>
      <c r="H205" s="38">
        <f>ROUND(Source!AE172*Source!I172, 0)</f>
        <v>8</v>
      </c>
      <c r="I205" s="15"/>
      <c r="J205" s="15">
        <f>IF(Source!BS172&lt;&gt; 0, Source!BS172, 1)</f>
        <v>34.75</v>
      </c>
      <c r="K205" s="38">
        <f>Source!R172</f>
        <v>270</v>
      </c>
      <c r="L205" s="31"/>
      <c r="R205" s="9">
        <f>H205</f>
        <v>8</v>
      </c>
    </row>
    <row r="206" spans="1:26" x14ac:dyDescent="0.2">
      <c r="A206" s="35"/>
      <c r="B206" s="35"/>
      <c r="C206" s="35" t="s">
        <v>708</v>
      </c>
      <c r="D206" s="36"/>
      <c r="E206" s="58"/>
      <c r="F206" s="14">
        <f>Source!AL172</f>
        <v>83.99</v>
      </c>
      <c r="G206" s="15" t="s">
        <v>3</v>
      </c>
      <c r="H206" s="37">
        <f>ROUND(Source!AC172*Source!I172, 0)</f>
        <v>202</v>
      </c>
      <c r="I206" s="15"/>
      <c r="J206" s="15">
        <f>IF(Source!BC172&lt;&gt; 0, Source!BC172, 1)</f>
        <v>8.2899999999999991</v>
      </c>
      <c r="K206" s="37">
        <f>Source!P172</f>
        <v>1671</v>
      </c>
      <c r="L206" s="31"/>
    </row>
    <row r="207" spans="1:26" x14ac:dyDescent="0.2">
      <c r="A207" s="35"/>
      <c r="B207" s="35"/>
      <c r="C207" s="35" t="s">
        <v>709</v>
      </c>
      <c r="D207" s="36" t="s">
        <v>710</v>
      </c>
      <c r="E207" s="58">
        <f>Source!BZ172</f>
        <v>123</v>
      </c>
      <c r="F207" s="18"/>
      <c r="G207" s="15"/>
      <c r="H207" s="37">
        <f>SUM(S202:S211)</f>
        <v>103</v>
      </c>
      <c r="I207" s="15"/>
      <c r="J207" s="39">
        <f>Source!AT172</f>
        <v>123</v>
      </c>
      <c r="K207" s="37">
        <f>SUM(T202:T211)</f>
        <v>3578</v>
      </c>
      <c r="L207" s="31"/>
    </row>
    <row r="208" spans="1:26" x14ac:dyDescent="0.2">
      <c r="A208" s="35"/>
      <c r="B208" s="35"/>
      <c r="C208" s="35" t="s">
        <v>711</v>
      </c>
      <c r="D208" s="36" t="s">
        <v>710</v>
      </c>
      <c r="E208" s="58">
        <f>Source!CA172</f>
        <v>75</v>
      </c>
      <c r="F208" s="18"/>
      <c r="G208" s="15"/>
      <c r="H208" s="37">
        <f>SUM(U202:U211)</f>
        <v>63</v>
      </c>
      <c r="I208" s="15"/>
      <c r="J208" s="39">
        <f>Source!AU172</f>
        <v>75</v>
      </c>
      <c r="K208" s="37">
        <f>SUM(V202:V211)</f>
        <v>2182</v>
      </c>
      <c r="L208" s="31"/>
    </row>
    <row r="209" spans="1:26" x14ac:dyDescent="0.2">
      <c r="A209" s="35"/>
      <c r="B209" s="35"/>
      <c r="C209" s="35" t="s">
        <v>712</v>
      </c>
      <c r="D209" s="36" t="s">
        <v>713</v>
      </c>
      <c r="E209" s="58">
        <f>Source!AQ172</f>
        <v>3.41</v>
      </c>
      <c r="F209" s="14"/>
      <c r="G209" s="15" t="s">
        <v>31</v>
      </c>
      <c r="H209" s="37"/>
      <c r="I209" s="15"/>
      <c r="J209" s="15"/>
      <c r="K209" s="37"/>
      <c r="L209" s="14">
        <f>Source!U172</f>
        <v>9.4116</v>
      </c>
    </row>
    <row r="210" spans="1:26" x14ac:dyDescent="0.2">
      <c r="A210" s="35"/>
      <c r="B210" s="35" t="str">
        <f>Source!F173</f>
        <v>408-0122</v>
      </c>
      <c r="C210" s="35" t="str">
        <f>Source!G173</f>
        <v>Песок природный для строительных: работ средний</v>
      </c>
      <c r="D210" s="36" t="str">
        <f>Source!H173</f>
        <v>м3</v>
      </c>
      <c r="E210" s="58">
        <f>Source!I173</f>
        <v>-2.88</v>
      </c>
      <c r="F210" s="14">
        <f>Source!AL173+Source!AM173+Source!AO173</f>
        <v>69.83</v>
      </c>
      <c r="G210" s="46" t="s">
        <v>3</v>
      </c>
      <c r="H210" s="37">
        <f>ROUND(Source!AC173*Source!I173, 0)+ROUND(Source!AD173*Source!I173, 0)+ROUND(Source!AF173*Source!I173, 0)</f>
        <v>-201</v>
      </c>
      <c r="I210" s="15"/>
      <c r="J210" s="15">
        <f>IF(Source!BC173&lt;&gt; 0, Source!BC173, 1)</f>
        <v>8.2899999999999991</v>
      </c>
      <c r="K210" s="37">
        <f>Source!O173</f>
        <v>-1667</v>
      </c>
      <c r="L210" s="31"/>
      <c r="S210" s="9">
        <f>ROUND((Source!FX173/100)*((ROUND(Source!AF173*Source!I173, 0)+ROUND(Source!AE173*Source!I173, 0))), 0)</f>
        <v>0</v>
      </c>
      <c r="T210" s="9">
        <f>Source!X173</f>
        <v>0</v>
      </c>
      <c r="U210" s="9">
        <f>ROUND((Source!FY173/100)*((ROUND(Source!AF173*Source!I173, 0)+ROUND(Source!AE173*Source!I173, 0))), 0)</f>
        <v>0</v>
      </c>
      <c r="V210" s="9">
        <f>Source!Y173</f>
        <v>0</v>
      </c>
      <c r="W210" s="9">
        <f>IF(Source!BI173&lt;=1,H210, 0)</f>
        <v>-201</v>
      </c>
      <c r="X210" s="9">
        <f>IF(Source!BI173=2,H210, 0)</f>
        <v>0</v>
      </c>
      <c r="Y210" s="9">
        <f>IF(Source!BI173=3,H210, 0)</f>
        <v>0</v>
      </c>
      <c r="Z210" s="9">
        <f>IF(Source!BI173=4,H210, 0)</f>
        <v>0</v>
      </c>
    </row>
    <row r="211" spans="1:26" ht="25.5" x14ac:dyDescent="0.2">
      <c r="A211" s="40"/>
      <c r="B211" s="40" t="str">
        <f>Source!F174</f>
        <v>прайс-лист</v>
      </c>
      <c r="C211" s="40" t="s">
        <v>714</v>
      </c>
      <c r="D211" s="41" t="str">
        <f>Source!H174</f>
        <v>м3</v>
      </c>
      <c r="E211" s="60">
        <f>Source!I174</f>
        <v>2.88</v>
      </c>
      <c r="F211" s="16">
        <f>Source!AL174+Source!AM174+Source!AO174</f>
        <v>833.33</v>
      </c>
      <c r="G211" s="47" t="s">
        <v>3</v>
      </c>
      <c r="H211" s="43">
        <f>ROUND(Source!AC174*Source!I174, 0)+ROUND(Source!AD174*Source!I174, 0)+ROUND(Source!AF174*Source!I174, 0)</f>
        <v>2400</v>
      </c>
      <c r="I211" s="17"/>
      <c r="J211" s="17">
        <f>IF(Source!BC174&lt;&gt; 0, Source!BC174, 1)</f>
        <v>1</v>
      </c>
      <c r="K211" s="43">
        <f>Source!O174</f>
        <v>2400</v>
      </c>
      <c r="L211" s="42"/>
      <c r="S211" s="9">
        <f>ROUND((Source!FX174/100)*((ROUND(Source!AF174*Source!I174, 0)+ROUND(Source!AE174*Source!I174, 0))), 0)</f>
        <v>0</v>
      </c>
      <c r="T211" s="9">
        <f>Source!X174</f>
        <v>0</v>
      </c>
      <c r="U211" s="9">
        <f>ROUND((Source!FY174/100)*((ROUND(Source!AF174*Source!I174, 0)+ROUND(Source!AE174*Source!I174, 0))), 0)</f>
        <v>0</v>
      </c>
      <c r="V211" s="9">
        <f>Source!Y174</f>
        <v>0</v>
      </c>
      <c r="W211" s="9">
        <f>IF(Source!BI174&lt;=1,H211, 0)</f>
        <v>0</v>
      </c>
      <c r="X211" s="9">
        <f>IF(Source!BI174=2,H211, 0)</f>
        <v>0</v>
      </c>
      <c r="Y211" s="9">
        <f>IF(Source!BI174=3,H211, 0)</f>
        <v>0</v>
      </c>
      <c r="Z211" s="9">
        <f>IF(Source!BI174=4,H211, 0)</f>
        <v>2400</v>
      </c>
    </row>
    <row r="212" spans="1:26" x14ac:dyDescent="0.2">
      <c r="G212" s="75">
        <v>3404</v>
      </c>
      <c r="H212" s="75"/>
      <c r="J212" s="75">
        <f>K203+K204+K206+K207+K208+SUM(K210:K211)</f>
        <v>11876</v>
      </c>
      <c r="K212" s="75"/>
      <c r="L212" s="44">
        <f>Source!U172</f>
        <v>9.4116</v>
      </c>
      <c r="O212" s="11">
        <f>G212</f>
        <v>3404</v>
      </c>
      <c r="P212" s="11">
        <f>J212</f>
        <v>11876</v>
      </c>
      <c r="Q212" s="10">
        <f>L212</f>
        <v>9.4116</v>
      </c>
      <c r="W212" s="9">
        <f>IF(Source!BI172&lt;=1,H203+H204+H206+H207+H208, 0)</f>
        <v>524</v>
      </c>
      <c r="X212" s="9">
        <f>IF(Source!BI172=2,H203+H204+H206+H207+H208, 0)</f>
        <v>0</v>
      </c>
      <c r="Y212" s="9">
        <f>IF(Source!BI172=3,H203+H204+H206+H207+H208, 0)</f>
        <v>0</v>
      </c>
      <c r="Z212" s="9">
        <f>IF(Source!BI172=4,H203+H204+H206+H207+H208, 0)</f>
        <v>0</v>
      </c>
    </row>
    <row r="213" spans="1:26" ht="25.5" x14ac:dyDescent="0.2">
      <c r="A213" s="35">
        <v>3</v>
      </c>
      <c r="B213" s="35" t="str">
        <f>Source!F175</f>
        <v>08-01-003-3</v>
      </c>
      <c r="C213" s="35" t="str">
        <f>Source!G175</f>
        <v>Гидроизоляция горизонтальных поверхностей полиэтиленовой пленкой</v>
      </c>
      <c r="D213" s="36" t="s">
        <v>731</v>
      </c>
      <c r="E213" s="58">
        <f>Source!I175</f>
        <v>0.24</v>
      </c>
      <c r="F213" s="14">
        <f>Source!AL175+Source!AM175+Source!AO175</f>
        <v>4550.3399999999992</v>
      </c>
      <c r="G213" s="15"/>
      <c r="H213" s="37"/>
      <c r="I213" s="15" t="str">
        <f>Source!BO175</f>
        <v/>
      </c>
      <c r="J213" s="15"/>
      <c r="K213" s="37"/>
      <c r="L213" s="31"/>
      <c r="S213" s="9">
        <f>ROUND((Source!FX175/100)*((ROUND(Source!AF175*Source!I175, 0)+ROUND(Source!AE175*Source!I175, 0))), 0)</f>
        <v>62</v>
      </c>
      <c r="T213" s="9">
        <f>Source!X175</f>
        <v>2156</v>
      </c>
      <c r="U213" s="9">
        <f>ROUND((Source!FY175/100)*((ROUND(Source!AF175*Source!I175, 0)+ROUND(Source!AE175*Source!I175, 0))), 0)</f>
        <v>41</v>
      </c>
      <c r="V213" s="9">
        <f>Source!Y175</f>
        <v>1414</v>
      </c>
    </row>
    <row r="214" spans="1:26" x14ac:dyDescent="0.2">
      <c r="C214" s="12" t="str">
        <f>"Объем: "&amp;Source!I175&amp;"=30/"&amp;"100"</f>
        <v>Объем: 0,24=30/100</v>
      </c>
    </row>
    <row r="215" spans="1:26" x14ac:dyDescent="0.2">
      <c r="A215" s="35"/>
      <c r="B215" s="35"/>
      <c r="C215" s="35" t="s">
        <v>706</v>
      </c>
      <c r="D215" s="36"/>
      <c r="E215" s="58"/>
      <c r="F215" s="14">
        <f>Source!AO175</f>
        <v>160.19999999999999</v>
      </c>
      <c r="G215" s="15" t="s">
        <v>161</v>
      </c>
      <c r="H215" s="37">
        <f>ROUND(Source!AF175*Source!I175, 0)</f>
        <v>51</v>
      </c>
      <c r="I215" s="15"/>
      <c r="J215" s="15">
        <f>IF(Source!BA175&lt;&gt; 0, Source!BA175, 1)</f>
        <v>34.75</v>
      </c>
      <c r="K215" s="37">
        <f>Source!S175</f>
        <v>1767</v>
      </c>
      <c r="L215" s="31"/>
      <c r="R215" s="9">
        <f>H215</f>
        <v>51</v>
      </c>
    </row>
    <row r="216" spans="1:26" x14ac:dyDescent="0.2">
      <c r="A216" s="35"/>
      <c r="B216" s="35"/>
      <c r="C216" s="35" t="s">
        <v>89</v>
      </c>
      <c r="D216" s="36"/>
      <c r="E216" s="58"/>
      <c r="F216" s="14">
        <f>Source!AM175</f>
        <v>144.4</v>
      </c>
      <c r="G216" s="15" t="s">
        <v>160</v>
      </c>
      <c r="H216" s="37">
        <f>ROUND(Source!AD175*Source!I175, 0)</f>
        <v>50</v>
      </c>
      <c r="I216" s="15"/>
      <c r="J216" s="15">
        <f>IF(Source!BB175&lt;&gt; 0, Source!BB175, 1)</f>
        <v>13.36</v>
      </c>
      <c r="K216" s="37">
        <f>Source!Q175</f>
        <v>666</v>
      </c>
      <c r="L216" s="31"/>
    </row>
    <row r="217" spans="1:26" x14ac:dyDescent="0.2">
      <c r="A217" s="35"/>
      <c r="B217" s="35"/>
      <c r="C217" s="35" t="s">
        <v>708</v>
      </c>
      <c r="D217" s="36"/>
      <c r="E217" s="58"/>
      <c r="F217" s="14">
        <f>Source!AL175</f>
        <v>4245.74</v>
      </c>
      <c r="G217" s="15" t="s">
        <v>3</v>
      </c>
      <c r="H217" s="37">
        <f>ROUND(Source!AC175*Source!I175, 0)</f>
        <v>1019</v>
      </c>
      <c r="I217" s="15"/>
      <c r="J217" s="15">
        <f>IF(Source!BC175&lt;&gt; 0, Source!BC175, 1)</f>
        <v>8.2899999999999991</v>
      </c>
      <c r="K217" s="37">
        <f>Source!P175</f>
        <v>8447</v>
      </c>
      <c r="L217" s="31"/>
    </row>
    <row r="218" spans="1:26" x14ac:dyDescent="0.2">
      <c r="A218" s="35"/>
      <c r="B218" s="35"/>
      <c r="C218" s="35" t="s">
        <v>709</v>
      </c>
      <c r="D218" s="36" t="s">
        <v>710</v>
      </c>
      <c r="E218" s="58">
        <f>Source!BZ175</f>
        <v>122</v>
      </c>
      <c r="F218" s="18"/>
      <c r="G218" s="15"/>
      <c r="H218" s="37">
        <f>SUM(S213:S220)</f>
        <v>62</v>
      </c>
      <c r="I218" s="15"/>
      <c r="J218" s="39">
        <f>Source!AT175</f>
        <v>122</v>
      </c>
      <c r="K218" s="37">
        <f>SUM(T213:T220)</f>
        <v>2156</v>
      </c>
      <c r="L218" s="31"/>
    </row>
    <row r="219" spans="1:26" x14ac:dyDescent="0.2">
      <c r="A219" s="35"/>
      <c r="B219" s="35"/>
      <c r="C219" s="35" t="s">
        <v>711</v>
      </c>
      <c r="D219" s="36" t="s">
        <v>710</v>
      </c>
      <c r="E219" s="58">
        <f>Source!CA175</f>
        <v>80</v>
      </c>
      <c r="F219" s="18"/>
      <c r="G219" s="15"/>
      <c r="H219" s="37">
        <f>SUM(U213:U220)</f>
        <v>41</v>
      </c>
      <c r="I219" s="15"/>
      <c r="J219" s="39">
        <f>Source!AU175</f>
        <v>80</v>
      </c>
      <c r="K219" s="37">
        <f>SUM(V213:V220)</f>
        <v>1414</v>
      </c>
      <c r="L219" s="31"/>
    </row>
    <row r="220" spans="1:26" x14ac:dyDescent="0.2">
      <c r="A220" s="40"/>
      <c r="B220" s="40"/>
      <c r="C220" s="40" t="s">
        <v>712</v>
      </c>
      <c r="D220" s="41" t="s">
        <v>713</v>
      </c>
      <c r="E220" s="60">
        <f>Source!AQ175</f>
        <v>20.100000000000001</v>
      </c>
      <c r="F220" s="16"/>
      <c r="G220" s="17" t="s">
        <v>161</v>
      </c>
      <c r="H220" s="43"/>
      <c r="I220" s="17"/>
      <c r="J220" s="17"/>
      <c r="K220" s="43"/>
      <c r="L220" s="16">
        <f>Source!U175</f>
        <v>6.3797399999999982</v>
      </c>
    </row>
    <row r="221" spans="1:26" x14ac:dyDescent="0.2">
      <c r="G221" s="75">
        <v>1529</v>
      </c>
      <c r="H221" s="75"/>
      <c r="J221" s="75">
        <f>K215+K216+K217+K218+K219</f>
        <v>14450</v>
      </c>
      <c r="K221" s="75"/>
      <c r="L221" s="44">
        <f>Source!U175</f>
        <v>6.3797399999999982</v>
      </c>
      <c r="O221" s="11">
        <f>G221</f>
        <v>1529</v>
      </c>
      <c r="P221" s="11">
        <f>J221</f>
        <v>14450</v>
      </c>
      <c r="Q221" s="10">
        <f>L221</f>
        <v>6.3797399999999982</v>
      </c>
      <c r="W221" s="9">
        <f>IF(Source!BI175&lt;=1,H215+H216+H217+H218+H219, 0)</f>
        <v>1223</v>
      </c>
      <c r="X221" s="9">
        <f>IF(Source!BI175=2,H215+H216+H217+H218+H219, 0)</f>
        <v>0</v>
      </c>
      <c r="Y221" s="9">
        <f>IF(Source!BI175=3,H215+H216+H217+H218+H219, 0)</f>
        <v>0</v>
      </c>
      <c r="Z221" s="9">
        <f>IF(Source!BI175=4,H215+H216+H217+H218+H219, 0)</f>
        <v>0</v>
      </c>
    </row>
    <row r="222" spans="1:26" x14ac:dyDescent="0.2">
      <c r="A222" s="35">
        <v>4</v>
      </c>
      <c r="B222" s="35" t="str">
        <f>Source!F176</f>
        <v>06-01-005-6</v>
      </c>
      <c r="C222" s="35" t="str">
        <f>Source!G176</f>
        <v>Устройство железобетонных оснований В25</v>
      </c>
      <c r="D222" s="36" t="s">
        <v>733</v>
      </c>
      <c r="E222" s="58">
        <f>Source!I176</f>
        <v>2.4E-2</v>
      </c>
      <c r="F222" s="14">
        <f>Source!AL176+Source!AM176+Source!AO176</f>
        <v>100948.79999999999</v>
      </c>
      <c r="G222" s="15"/>
      <c r="H222" s="37"/>
      <c r="I222" s="15" t="str">
        <f>Source!BO176</f>
        <v/>
      </c>
      <c r="J222" s="15"/>
      <c r="K222" s="37"/>
      <c r="L222" s="31"/>
      <c r="S222" s="9">
        <f>ROUND((Source!FX176/100)*((ROUND(Source!AF176*Source!I176, 0)+ROUND(Source!AE176*Source!I176, 0))), 0)</f>
        <v>373</v>
      </c>
      <c r="T222" s="9">
        <f>Source!X176</f>
        <v>12943</v>
      </c>
      <c r="U222" s="9">
        <f>ROUND((Source!FY176/100)*((ROUND(Source!AF176*Source!I176, 0)+ROUND(Source!AE176*Source!I176, 0))), 0)</f>
        <v>231</v>
      </c>
      <c r="V222" s="9">
        <f>Source!Y176</f>
        <v>8013</v>
      </c>
    </row>
    <row r="223" spans="1:26" x14ac:dyDescent="0.2">
      <c r="C223" s="12" t="str">
        <f>"Объем: "&amp;Source!I176&amp;"=6/"&amp;"100"</f>
        <v>Объем: 0,024=6/100</v>
      </c>
    </row>
    <row r="224" spans="1:26" x14ac:dyDescent="0.2">
      <c r="A224" s="35"/>
      <c r="B224" s="35"/>
      <c r="C224" s="35" t="s">
        <v>706</v>
      </c>
      <c r="D224" s="36"/>
      <c r="E224" s="58"/>
      <c r="F224" s="14">
        <f>Source!AO176</f>
        <v>2186.42</v>
      </c>
      <c r="G224" s="15" t="s">
        <v>161</v>
      </c>
      <c r="H224" s="37">
        <f>ROUND(Source!AF176*Source!I176, 0)</f>
        <v>347</v>
      </c>
      <c r="I224" s="15"/>
      <c r="J224" s="15">
        <f>IF(Source!BA176&lt;&gt; 0, Source!BA176, 1)</f>
        <v>34.75</v>
      </c>
      <c r="K224" s="37">
        <f>Source!S176</f>
        <v>12058</v>
      </c>
      <c r="L224" s="31"/>
      <c r="R224" s="9">
        <f>H224</f>
        <v>347</v>
      </c>
    </row>
    <row r="225" spans="1:26" x14ac:dyDescent="0.2">
      <c r="A225" s="35"/>
      <c r="B225" s="35"/>
      <c r="C225" s="35" t="s">
        <v>89</v>
      </c>
      <c r="D225" s="36"/>
      <c r="E225" s="58"/>
      <c r="F225" s="14">
        <f>Source!AM176</f>
        <v>2566.59</v>
      </c>
      <c r="G225" s="15" t="s">
        <v>170</v>
      </c>
      <c r="H225" s="37">
        <f>ROUND(Source!AD176*Source!I176, 0)</f>
        <v>89</v>
      </c>
      <c r="I225" s="15"/>
      <c r="J225" s="15">
        <f>IF(Source!BB176&lt;&gt; 0, Source!BB176, 1)</f>
        <v>13.36</v>
      </c>
      <c r="K225" s="37">
        <f>Source!Q176</f>
        <v>1183</v>
      </c>
      <c r="L225" s="31"/>
    </row>
    <row r="226" spans="1:26" x14ac:dyDescent="0.2">
      <c r="A226" s="35"/>
      <c r="B226" s="35"/>
      <c r="C226" s="35" t="s">
        <v>707</v>
      </c>
      <c r="D226" s="36"/>
      <c r="E226" s="58"/>
      <c r="F226" s="14">
        <f>Source!AN176</f>
        <v>224.12</v>
      </c>
      <c r="G226" s="15" t="s">
        <v>170</v>
      </c>
      <c r="H226" s="38">
        <f>ROUND(Source!AE176*Source!I176, 0)</f>
        <v>8</v>
      </c>
      <c r="I226" s="15"/>
      <c r="J226" s="15">
        <f>IF(Source!BS176&lt;&gt; 0, Source!BS176, 1)</f>
        <v>34.75</v>
      </c>
      <c r="K226" s="38">
        <f>Source!R176</f>
        <v>269</v>
      </c>
      <c r="L226" s="31"/>
      <c r="R226" s="9">
        <f>H226</f>
        <v>8</v>
      </c>
    </row>
    <row r="227" spans="1:26" x14ac:dyDescent="0.2">
      <c r="A227" s="35"/>
      <c r="B227" s="35"/>
      <c r="C227" s="35" t="s">
        <v>708</v>
      </c>
      <c r="D227" s="36"/>
      <c r="E227" s="58"/>
      <c r="F227" s="14">
        <f>Source!AL176</f>
        <v>96195.79</v>
      </c>
      <c r="G227" s="15" t="s">
        <v>3</v>
      </c>
      <c r="H227" s="37">
        <f>ROUND(Source!AC176*Source!I176, 0)</f>
        <v>2309</v>
      </c>
      <c r="I227" s="15"/>
      <c r="J227" s="15">
        <f>IF(Source!BC176&lt;&gt; 0, Source!BC176, 1)</f>
        <v>8.2899999999999991</v>
      </c>
      <c r="K227" s="37">
        <f>Source!P176</f>
        <v>19139</v>
      </c>
      <c r="L227" s="31"/>
    </row>
    <row r="228" spans="1:26" x14ac:dyDescent="0.2">
      <c r="A228" s="35"/>
      <c r="B228" s="35"/>
      <c r="C228" s="35" t="s">
        <v>709</v>
      </c>
      <c r="D228" s="36" t="s">
        <v>710</v>
      </c>
      <c r="E228" s="58">
        <f>Source!BZ176</f>
        <v>105</v>
      </c>
      <c r="F228" s="18"/>
      <c r="G228" s="15"/>
      <c r="H228" s="37">
        <f>SUM(S222:S235)</f>
        <v>373</v>
      </c>
      <c r="I228" s="15"/>
      <c r="J228" s="39">
        <f>Source!AT176</f>
        <v>105</v>
      </c>
      <c r="K228" s="37">
        <f>SUM(T222:T235)</f>
        <v>12943</v>
      </c>
      <c r="L228" s="31"/>
    </row>
    <row r="229" spans="1:26" x14ac:dyDescent="0.2">
      <c r="A229" s="35"/>
      <c r="B229" s="35"/>
      <c r="C229" s="35" t="s">
        <v>711</v>
      </c>
      <c r="D229" s="36" t="s">
        <v>710</v>
      </c>
      <c r="E229" s="58">
        <f>Source!CA176</f>
        <v>65</v>
      </c>
      <c r="F229" s="18"/>
      <c r="G229" s="15"/>
      <c r="H229" s="37">
        <f>SUM(U222:U235)</f>
        <v>231</v>
      </c>
      <c r="I229" s="15"/>
      <c r="J229" s="39">
        <f>Source!AU176</f>
        <v>65</v>
      </c>
      <c r="K229" s="37">
        <f>SUM(V222:V235)</f>
        <v>8013</v>
      </c>
      <c r="L229" s="31"/>
    </row>
    <row r="230" spans="1:26" x14ac:dyDescent="0.2">
      <c r="A230" s="35"/>
      <c r="B230" s="35"/>
      <c r="C230" s="35" t="s">
        <v>712</v>
      </c>
      <c r="D230" s="36" t="s">
        <v>713</v>
      </c>
      <c r="E230" s="58">
        <f>Source!AQ176</f>
        <v>278.88</v>
      </c>
      <c r="F230" s="14"/>
      <c r="G230" s="15" t="s">
        <v>161</v>
      </c>
      <c r="H230" s="37"/>
      <c r="I230" s="15"/>
      <c r="J230" s="15"/>
      <c r="K230" s="37"/>
      <c r="L230" s="14">
        <f>Source!U176</f>
        <v>44.258255999999996</v>
      </c>
    </row>
    <row r="231" spans="1:26" x14ac:dyDescent="0.2">
      <c r="A231" s="35"/>
      <c r="B231" s="35" t="str">
        <f>Source!F177</f>
        <v>204-0100</v>
      </c>
      <c r="C231" s="35" t="str">
        <f>Source!G177</f>
        <v>Горячекатаная арматурная сталь класса: А-I, А-II, А-III</v>
      </c>
      <c r="D231" s="36" t="str">
        <f>Source!H177</f>
        <v>т</v>
      </c>
      <c r="E231" s="58">
        <f>Source!I177</f>
        <v>-7.6800000000000007E-2</v>
      </c>
      <c r="F231" s="14">
        <f>Source!AL177+Source!AM177+Source!AO177</f>
        <v>5416.2</v>
      </c>
      <c r="G231" s="46" t="s">
        <v>3</v>
      </c>
      <c r="H231" s="37">
        <f>ROUND(Source!AC177*Source!I177, 0)+ROUND(Source!AD177*Source!I177, 0)+ROUND(Source!AF177*Source!I177, 0)</f>
        <v>-416</v>
      </c>
      <c r="I231" s="15"/>
      <c r="J231" s="15">
        <f>IF(Source!BC177&lt;&gt; 0, Source!BC177, 1)</f>
        <v>8.2899999999999991</v>
      </c>
      <c r="K231" s="37">
        <f>Source!O177</f>
        <v>-3448</v>
      </c>
      <c r="L231" s="31"/>
      <c r="S231" s="9">
        <f>ROUND((Source!FX177/100)*((ROUND(Source!AF177*Source!I177, 0)+ROUND(Source!AE177*Source!I177, 0))), 0)</f>
        <v>0</v>
      </c>
      <c r="T231" s="9">
        <f>Source!X177</f>
        <v>0</v>
      </c>
      <c r="U231" s="9">
        <f>ROUND((Source!FY177/100)*((ROUND(Source!AF177*Source!I177, 0)+ROUND(Source!AE177*Source!I177, 0))), 0)</f>
        <v>0</v>
      </c>
      <c r="V231" s="9">
        <f>Source!Y177</f>
        <v>0</v>
      </c>
      <c r="W231" s="9">
        <f>IF(Source!BI177&lt;=1,H231, 0)</f>
        <v>-416</v>
      </c>
      <c r="X231" s="9">
        <f>IF(Source!BI177=2,H231, 0)</f>
        <v>0</v>
      </c>
      <c r="Y231" s="9">
        <f>IF(Source!BI177=3,H231, 0)</f>
        <v>0</v>
      </c>
      <c r="Z231" s="9">
        <f>IF(Source!BI177=4,H231, 0)</f>
        <v>0</v>
      </c>
    </row>
    <row r="232" spans="1:26" ht="25.5" x14ac:dyDescent="0.2">
      <c r="A232" s="35"/>
      <c r="B232" s="35" t="str">
        <f>Source!F178</f>
        <v>401-0066</v>
      </c>
      <c r="C232" s="35" t="str">
        <f>Source!G178</f>
        <v>Бетон тяжелый, крупность заполнителя: 20 мм, класс В15 (М200)</v>
      </c>
      <c r="D232" s="36" t="str">
        <f>Source!H178</f>
        <v>м3</v>
      </c>
      <c r="E232" s="58">
        <f>Source!I178</f>
        <v>-2.4359999999999999</v>
      </c>
      <c r="F232" s="14">
        <f>Source!AL178+Source!AM178+Source!AO178</f>
        <v>747.74</v>
      </c>
      <c r="G232" s="46" t="s">
        <v>3</v>
      </c>
      <c r="H232" s="37">
        <f>ROUND(Source!AC178*Source!I178, 0)+ROUND(Source!AD178*Source!I178, 0)+ROUND(Source!AF178*Source!I178, 0)</f>
        <v>-1821</v>
      </c>
      <c r="I232" s="15"/>
      <c r="J232" s="15">
        <f>IF(Source!BC178&lt;&gt; 0, Source!BC178, 1)</f>
        <v>8.2899999999999991</v>
      </c>
      <c r="K232" s="37">
        <f>Source!O178</f>
        <v>-15100</v>
      </c>
      <c r="L232" s="31"/>
      <c r="S232" s="9">
        <f>ROUND((Source!FX178/100)*((ROUND(Source!AF178*Source!I178, 0)+ROUND(Source!AE178*Source!I178, 0))), 0)</f>
        <v>0</v>
      </c>
      <c r="T232" s="9">
        <f>Source!X178</f>
        <v>0</v>
      </c>
      <c r="U232" s="9">
        <f>ROUND((Source!FY178/100)*((ROUND(Source!AF178*Source!I178, 0)+ROUND(Source!AE178*Source!I178, 0))), 0)</f>
        <v>0</v>
      </c>
      <c r="V232" s="9">
        <f>Source!Y178</f>
        <v>0</v>
      </c>
      <c r="W232" s="9">
        <f>IF(Source!BI178&lt;=1,H232, 0)</f>
        <v>-1821</v>
      </c>
      <c r="X232" s="9">
        <f>IF(Source!BI178=2,H232, 0)</f>
        <v>0</v>
      </c>
      <c r="Y232" s="9">
        <f>IF(Source!BI178=3,H232, 0)</f>
        <v>0</v>
      </c>
      <c r="Z232" s="9">
        <f>IF(Source!BI178=4,H232, 0)</f>
        <v>0</v>
      </c>
    </row>
    <row r="233" spans="1:26" ht="25.5" x14ac:dyDescent="0.2">
      <c r="A233" s="35"/>
      <c r="B233" s="35" t="str">
        <f>Source!F179</f>
        <v>прайс-лист</v>
      </c>
      <c r="C233" s="35" t="s">
        <v>717</v>
      </c>
      <c r="D233" s="36" t="str">
        <f>Source!H179</f>
        <v>м3</v>
      </c>
      <c r="E233" s="58">
        <f>Source!I179</f>
        <v>2.4359999999999999</v>
      </c>
      <c r="F233" s="14">
        <f>Source!AL179+Source!AM179+Source!AO179</f>
        <v>6916.67</v>
      </c>
      <c r="G233" s="46" t="s">
        <v>3</v>
      </c>
      <c r="H233" s="37">
        <f>ROUND(Source!AC179*Source!I179, 0)+ROUND(Source!AD179*Source!I179, 0)+ROUND(Source!AF179*Source!I179, 0)</f>
        <v>16849</v>
      </c>
      <c r="I233" s="15"/>
      <c r="J233" s="15">
        <f>IF(Source!BC179&lt;&gt; 0, Source!BC179, 1)</f>
        <v>1</v>
      </c>
      <c r="K233" s="37">
        <f>Source!O179</f>
        <v>16849</v>
      </c>
      <c r="L233" s="31"/>
      <c r="S233" s="9">
        <f>ROUND((Source!FX179/100)*((ROUND(Source!AF179*Source!I179, 0)+ROUND(Source!AE179*Source!I179, 0))), 0)</f>
        <v>0</v>
      </c>
      <c r="T233" s="9">
        <f>Source!X179</f>
        <v>0</v>
      </c>
      <c r="U233" s="9">
        <f>ROUND((Source!FY179/100)*((ROUND(Source!AF179*Source!I179, 0)+ROUND(Source!AE179*Source!I179, 0))), 0)</f>
        <v>0</v>
      </c>
      <c r="V233" s="9">
        <f>Source!Y179</f>
        <v>0</v>
      </c>
      <c r="W233" s="9">
        <f>IF(Source!BI179&lt;=1,H233, 0)</f>
        <v>0</v>
      </c>
      <c r="X233" s="9">
        <f>IF(Source!BI179=2,H233, 0)</f>
        <v>0</v>
      </c>
      <c r="Y233" s="9">
        <f>IF(Source!BI179=3,H233, 0)</f>
        <v>0</v>
      </c>
      <c r="Z233" s="9">
        <f>IF(Source!BI179=4,H233, 0)</f>
        <v>16849</v>
      </c>
    </row>
    <row r="234" spans="1:26" ht="25.5" x14ac:dyDescent="0.2">
      <c r="A234" s="35"/>
      <c r="B234" s="35" t="str">
        <f>Source!F180</f>
        <v>прайс-лист</v>
      </c>
      <c r="C234" s="35" t="s">
        <v>718</v>
      </c>
      <c r="D234" s="36" t="str">
        <f>Source!H180</f>
        <v>т</v>
      </c>
      <c r="E234" s="58">
        <f>Source!I180</f>
        <v>1.7599999999999998E-2</v>
      </c>
      <c r="F234" s="14">
        <f>Source!AL180+Source!AM180+Source!AO180</f>
        <v>58333.33</v>
      </c>
      <c r="G234" s="46" t="s">
        <v>3</v>
      </c>
      <c r="H234" s="37">
        <f>ROUND(Source!AC180*Source!I180, 0)+ROUND(Source!AD180*Source!I180, 0)+ROUND(Source!AF180*Source!I180, 0)</f>
        <v>1027</v>
      </c>
      <c r="I234" s="15"/>
      <c r="J234" s="15">
        <f>IF(Source!BC180&lt;&gt; 0, Source!BC180, 1)</f>
        <v>1</v>
      </c>
      <c r="K234" s="37">
        <f>Source!O180</f>
        <v>1027</v>
      </c>
      <c r="L234" s="31"/>
      <c r="S234" s="9">
        <f>ROUND((Source!FX180/100)*((ROUND(Source!AF180*Source!I180, 0)+ROUND(Source!AE180*Source!I180, 0))), 0)</f>
        <v>0</v>
      </c>
      <c r="T234" s="9">
        <f>Source!X180</f>
        <v>0</v>
      </c>
      <c r="U234" s="9">
        <f>ROUND((Source!FY180/100)*((ROUND(Source!AF180*Source!I180, 0)+ROUND(Source!AE180*Source!I180, 0))), 0)</f>
        <v>0</v>
      </c>
      <c r="V234" s="9">
        <f>Source!Y180</f>
        <v>0</v>
      </c>
      <c r="W234" s="9">
        <f>IF(Source!BI180&lt;=1,H234, 0)</f>
        <v>0</v>
      </c>
      <c r="X234" s="9">
        <f>IF(Source!BI180=2,H234, 0)</f>
        <v>0</v>
      </c>
      <c r="Y234" s="9">
        <f>IF(Source!BI180=3,H234, 0)</f>
        <v>0</v>
      </c>
      <c r="Z234" s="9">
        <f>IF(Source!BI180=4,H234, 0)</f>
        <v>1027</v>
      </c>
    </row>
    <row r="235" spans="1:26" ht="25.5" x14ac:dyDescent="0.2">
      <c r="A235" s="40"/>
      <c r="B235" s="40" t="str">
        <f>Source!F181</f>
        <v>204-0036</v>
      </c>
      <c r="C235" s="40" t="str">
        <f>Source!G181</f>
        <v>Надбавки к ценам заготовок за сборку и сварку каркасов и сеток: плоских, диаметром 10 мм</v>
      </c>
      <c r="D235" s="41" t="str">
        <f>Source!H181</f>
        <v>т</v>
      </c>
      <c r="E235" s="60">
        <f>Source!I181</f>
        <v>1.7599999999999998E-2</v>
      </c>
      <c r="F235" s="16">
        <f>Source!AL181+Source!AM181+Source!AO181</f>
        <v>1360.33</v>
      </c>
      <c r="G235" s="47" t="s">
        <v>3</v>
      </c>
      <c r="H235" s="43">
        <f>ROUND(Source!AC181*Source!I181, 0)+ROUND(Source!AD181*Source!I181, 0)+ROUND(Source!AF181*Source!I181, 0)</f>
        <v>24</v>
      </c>
      <c r="I235" s="17"/>
      <c r="J235" s="17">
        <f>IF(Source!BC181&lt;&gt; 0, Source!BC181, 1)</f>
        <v>8.2899999999999991</v>
      </c>
      <c r="K235" s="43">
        <f>Source!O181</f>
        <v>198</v>
      </c>
      <c r="L235" s="42"/>
      <c r="S235" s="9">
        <f>ROUND((Source!FX181/100)*((ROUND(Source!AF181*Source!I181, 0)+ROUND(Source!AE181*Source!I181, 0))), 0)</f>
        <v>0</v>
      </c>
      <c r="T235" s="9">
        <f>Source!X181</f>
        <v>0</v>
      </c>
      <c r="U235" s="9">
        <f>ROUND((Source!FY181/100)*((ROUND(Source!AF181*Source!I181, 0)+ROUND(Source!AE181*Source!I181, 0))), 0)</f>
        <v>0</v>
      </c>
      <c r="V235" s="9">
        <f>Source!Y181</f>
        <v>0</v>
      </c>
      <c r="W235" s="9">
        <f>IF(Source!BI181&lt;=1,H235, 0)</f>
        <v>24</v>
      </c>
      <c r="X235" s="9">
        <f>IF(Source!BI181=2,H235, 0)</f>
        <v>0</v>
      </c>
      <c r="Y235" s="9">
        <f>IF(Source!BI181=3,H235, 0)</f>
        <v>0</v>
      </c>
      <c r="Z235" s="9">
        <f>IF(Source!BI181=4,H235, 0)</f>
        <v>0</v>
      </c>
    </row>
    <row r="236" spans="1:26" x14ac:dyDescent="0.2">
      <c r="G236" s="75">
        <v>47522</v>
      </c>
      <c r="H236" s="75"/>
      <c r="J236" s="75">
        <f>K224+K225+K227+K228+K229+SUM(K231:K235)</f>
        <v>52862</v>
      </c>
      <c r="K236" s="75"/>
      <c r="L236" s="44">
        <f>Source!U176</f>
        <v>44.258255999999996</v>
      </c>
      <c r="O236" s="11">
        <f>G236</f>
        <v>47522</v>
      </c>
      <c r="P236" s="11">
        <f>J236</f>
        <v>52862</v>
      </c>
      <c r="Q236" s="10">
        <f>L236</f>
        <v>44.258255999999996</v>
      </c>
      <c r="W236" s="9">
        <f>IF(Source!BI176&lt;=1,H224+H225+H227+H228+H229, 0)</f>
        <v>3349</v>
      </c>
      <c r="X236" s="9">
        <f>IF(Source!BI176=2,H224+H225+H227+H228+H229, 0)</f>
        <v>0</v>
      </c>
      <c r="Y236" s="9">
        <f>IF(Source!BI176=3,H224+H225+H227+H228+H229, 0)</f>
        <v>0</v>
      </c>
      <c r="Z236" s="9">
        <f>IF(Source!BI176=4,H224+H225+H227+H228+H229, 0)</f>
        <v>0</v>
      </c>
    </row>
    <row r="238" spans="1:26" x14ac:dyDescent="0.2">
      <c r="A238" s="73" t="str">
        <f>CONCATENATE("Итого по подразделу: ",IF(Source!G183&lt;&gt;"Новый подраздел", Source!G183, ""))</f>
        <v>Итого по подразделу: Отмостка</v>
      </c>
      <c r="B238" s="73"/>
      <c r="C238" s="73"/>
      <c r="D238" s="73"/>
      <c r="E238" s="73"/>
      <c r="F238" s="73"/>
      <c r="G238" s="74">
        <v>52497</v>
      </c>
      <c r="H238" s="74"/>
      <c r="I238" s="45"/>
      <c r="J238" s="74">
        <f>SUM(P192:P237)</f>
        <v>80157</v>
      </c>
      <c r="K238" s="74"/>
      <c r="L238" s="44">
        <f>SUM(Q192:Q237)</f>
        <v>60.914165999999994</v>
      </c>
    </row>
    <row r="242" spans="1:31" x14ac:dyDescent="0.2">
      <c r="A242" s="73" t="str">
        <f>CONCATENATE("Итого по разделу: ",IF(Source!G213&lt;&gt;"Новый раздел", Source!G213, ""))</f>
        <v>Итого по разделу: Бетонные работы</v>
      </c>
      <c r="B242" s="73"/>
      <c r="C242" s="73"/>
      <c r="D242" s="73"/>
      <c r="E242" s="73"/>
      <c r="F242" s="73"/>
      <c r="G242" s="74">
        <v>426721</v>
      </c>
      <c r="H242" s="74"/>
      <c r="I242" s="45"/>
      <c r="J242" s="74">
        <f>SUM(P58:P241)</f>
        <v>1001902</v>
      </c>
      <c r="K242" s="74"/>
      <c r="L242" s="44">
        <f>SUM(Q58:Q241)</f>
        <v>639.57715979999978</v>
      </c>
    </row>
    <row r="246" spans="1:31" x14ac:dyDescent="0.2">
      <c r="A246" s="76" t="str">
        <f>CONCATENATE("Раздел: ",IF(Source!G243&lt;&gt;"Новый раздел", Source!G243, ""))</f>
        <v>Раздел: Выполнение работпо монтажу асфальтовыхпокрытий дорог , систем ливневой канализации и бордюрных камней</v>
      </c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AE246" s="48" t="str">
        <f>CONCATENATE("Раздел: ",IF(Source!G243&lt;&gt;"Новый раздел", Source!G243, ""))</f>
        <v>Раздел: Выполнение работпо монтажу асфальтовыхпокрытий дорог , систем ливневой канализации и бордюрных камней</v>
      </c>
    </row>
    <row r="248" spans="1:31" x14ac:dyDescent="0.2">
      <c r="A248" s="76" t="str">
        <f>CONCATENATE("Подраздел: ",IF(Source!G247&lt;&gt;"Новый подраздел", Source!G247, ""))</f>
        <v>Подраздел: Подготовительные работы</v>
      </c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1:31" ht="38.25" x14ac:dyDescent="0.2">
      <c r="A249" s="35">
        <v>1</v>
      </c>
      <c r="B249" s="35" t="str">
        <f>Source!F251</f>
        <v>68-12-4</v>
      </c>
      <c r="C249" s="35" t="str">
        <f>Source!G251</f>
        <v>Разборка покрытий и оснований: асфальтобетонных с помощью молотков отбойных</v>
      </c>
      <c r="D249" s="36" t="str">
        <f>Source!H251</f>
        <v>100 м3 конструкций</v>
      </c>
      <c r="E249" s="58">
        <f>Source!I251</f>
        <v>0.6</v>
      </c>
      <c r="F249" s="14">
        <f>Source!AL251+Source!AM251+Source!AO251</f>
        <v>6232.64</v>
      </c>
      <c r="G249" s="15"/>
      <c r="H249" s="37"/>
      <c r="I249" s="15" t="str">
        <f>Source!BO251</f>
        <v/>
      </c>
      <c r="J249" s="15"/>
      <c r="K249" s="37"/>
      <c r="L249" s="31"/>
      <c r="S249" s="9">
        <f>ROUND((Source!FX251/100)*((ROUND(Source!AF251*Source!I251, 0)+ROUND(Source!AE251*Source!I251, 0))), 0)</f>
        <v>1641</v>
      </c>
      <c r="T249" s="9">
        <f>Source!X251</f>
        <v>57027</v>
      </c>
      <c r="U249" s="9">
        <f>ROUND((Source!FY251/100)*((ROUND(Source!AF251*Source!I251, 0)+ROUND(Source!AE251*Source!I251, 0))), 0)</f>
        <v>947</v>
      </c>
      <c r="V249" s="9">
        <f>Source!Y251</f>
        <v>32900</v>
      </c>
    </row>
    <row r="250" spans="1:31" x14ac:dyDescent="0.2">
      <c r="C250" s="12" t="str">
        <f>"Объем: "&amp;Source!I251&amp;"=60/"&amp;"100"</f>
        <v>Объем: 0,6=60/100</v>
      </c>
    </row>
    <row r="251" spans="1:31" x14ac:dyDescent="0.2">
      <c r="A251" s="35"/>
      <c r="B251" s="35"/>
      <c r="C251" s="35" t="s">
        <v>706</v>
      </c>
      <c r="D251" s="36"/>
      <c r="E251" s="58"/>
      <c r="F251" s="14">
        <f>Source!AO251</f>
        <v>1890.83</v>
      </c>
      <c r="G251" s="15" t="s">
        <v>31</v>
      </c>
      <c r="H251" s="37">
        <f>ROUND(Source!AF251*Source!I251, 0)</f>
        <v>1305</v>
      </c>
      <c r="I251" s="15"/>
      <c r="J251" s="15">
        <f>IF(Source!BA251&lt;&gt; 0, Source!BA251, 1)</f>
        <v>34.75</v>
      </c>
      <c r="K251" s="37">
        <f>Source!S251</f>
        <v>45337</v>
      </c>
      <c r="L251" s="31"/>
      <c r="R251" s="9">
        <f>H251</f>
        <v>1305</v>
      </c>
    </row>
    <row r="252" spans="1:31" x14ac:dyDescent="0.2">
      <c r="A252" s="35"/>
      <c r="B252" s="35"/>
      <c r="C252" s="35" t="s">
        <v>89</v>
      </c>
      <c r="D252" s="36"/>
      <c r="E252" s="58"/>
      <c r="F252" s="14">
        <f>Source!AM251</f>
        <v>4341.8100000000004</v>
      </c>
      <c r="G252" s="15" t="s">
        <v>31</v>
      </c>
      <c r="H252" s="37">
        <f>ROUND(Source!AD251*Source!I251, 0)</f>
        <v>2996</v>
      </c>
      <c r="I252" s="15"/>
      <c r="J252" s="15">
        <f>IF(Source!BB251&lt;&gt; 0, Source!BB251, 1)</f>
        <v>13.36</v>
      </c>
      <c r="K252" s="37">
        <f>Source!Q251</f>
        <v>40025</v>
      </c>
      <c r="L252" s="31"/>
    </row>
    <row r="253" spans="1:31" x14ac:dyDescent="0.2">
      <c r="A253" s="35"/>
      <c r="B253" s="35"/>
      <c r="C253" s="35" t="s">
        <v>707</v>
      </c>
      <c r="D253" s="36"/>
      <c r="E253" s="58"/>
      <c r="F253" s="14">
        <f>Source!AN251</f>
        <v>396.1</v>
      </c>
      <c r="G253" s="15" t="s">
        <v>31</v>
      </c>
      <c r="H253" s="38">
        <f>ROUND(Source!AE251*Source!I251, 0)</f>
        <v>273</v>
      </c>
      <c r="I253" s="15"/>
      <c r="J253" s="15">
        <f>IF(Source!BS251&lt;&gt; 0, Source!BS251, 1)</f>
        <v>34.75</v>
      </c>
      <c r="K253" s="38">
        <f>Source!R251</f>
        <v>9497</v>
      </c>
      <c r="L253" s="31"/>
      <c r="R253" s="9">
        <f>H253</f>
        <v>273</v>
      </c>
    </row>
    <row r="254" spans="1:31" x14ac:dyDescent="0.2">
      <c r="A254" s="35"/>
      <c r="B254" s="35"/>
      <c r="C254" s="35" t="s">
        <v>709</v>
      </c>
      <c r="D254" s="36" t="s">
        <v>710</v>
      </c>
      <c r="E254" s="58">
        <f>Source!BZ251</f>
        <v>104</v>
      </c>
      <c r="F254" s="18"/>
      <c r="G254" s="15"/>
      <c r="H254" s="37">
        <f>SUM(S249:S256)</f>
        <v>1641</v>
      </c>
      <c r="I254" s="15"/>
      <c r="J254" s="39">
        <f>Source!AT251</f>
        <v>104</v>
      </c>
      <c r="K254" s="37">
        <f>SUM(T249:T256)</f>
        <v>57027</v>
      </c>
      <c r="L254" s="31"/>
    </row>
    <row r="255" spans="1:31" x14ac:dyDescent="0.2">
      <c r="A255" s="35"/>
      <c r="B255" s="35"/>
      <c r="C255" s="35" t="s">
        <v>711</v>
      </c>
      <c r="D255" s="36" t="s">
        <v>710</v>
      </c>
      <c r="E255" s="58">
        <f>Source!CA251</f>
        <v>60</v>
      </c>
      <c r="F255" s="18"/>
      <c r="G255" s="15"/>
      <c r="H255" s="37">
        <f>SUM(U249:U256)</f>
        <v>947</v>
      </c>
      <c r="I255" s="15"/>
      <c r="J255" s="39">
        <f>Source!AU251</f>
        <v>60</v>
      </c>
      <c r="K255" s="37">
        <f>SUM(V249:V256)</f>
        <v>32900</v>
      </c>
      <c r="L255" s="31"/>
    </row>
    <row r="256" spans="1:31" x14ac:dyDescent="0.2">
      <c r="A256" s="40"/>
      <c r="B256" s="40"/>
      <c r="C256" s="40" t="s">
        <v>712</v>
      </c>
      <c r="D256" s="41" t="s">
        <v>713</v>
      </c>
      <c r="E256" s="60">
        <f>Source!AQ251</f>
        <v>243.35</v>
      </c>
      <c r="F256" s="16"/>
      <c r="G256" s="17" t="s">
        <v>31</v>
      </c>
      <c r="H256" s="43"/>
      <c r="I256" s="17"/>
      <c r="J256" s="17"/>
      <c r="K256" s="43"/>
      <c r="L256" s="16">
        <f>Source!U251</f>
        <v>167.91149999999996</v>
      </c>
    </row>
    <row r="257" spans="1:26" x14ac:dyDescent="0.2">
      <c r="G257" s="75">
        <v>6889</v>
      </c>
      <c r="H257" s="75"/>
      <c r="J257" s="75">
        <f>K251+K252+K254+K255</f>
        <v>175289</v>
      </c>
      <c r="K257" s="75"/>
      <c r="L257" s="44">
        <f>Source!U251</f>
        <v>167.91149999999996</v>
      </c>
      <c r="O257" s="11">
        <f>G257</f>
        <v>6889</v>
      </c>
      <c r="P257" s="11">
        <f>J257</f>
        <v>175289</v>
      </c>
      <c r="Q257" s="10">
        <f>L257</f>
        <v>167.91149999999996</v>
      </c>
      <c r="W257" s="9">
        <f>IF(Source!BI251&lt;=1,H251+H252+H254+H255, 0)</f>
        <v>6889</v>
      </c>
      <c r="X257" s="9">
        <f>IF(Source!BI251=2,H251+H252+H254+H255, 0)</f>
        <v>0</v>
      </c>
      <c r="Y257" s="9">
        <f>IF(Source!BI251=3,H251+H252+H254+H255, 0)</f>
        <v>0</v>
      </c>
      <c r="Z257" s="9">
        <f>IF(Source!BI251=4,H251+H252+H254+H255, 0)</f>
        <v>0</v>
      </c>
    </row>
    <row r="258" spans="1:26" ht="25.5" x14ac:dyDescent="0.2">
      <c r="A258" s="35">
        <v>2</v>
      </c>
      <c r="B258" s="35" t="str">
        <f>Source!F252</f>
        <v>51-5-1</v>
      </c>
      <c r="C258" s="35" t="str">
        <f>Source!G252</f>
        <v>Разборка асфальтобетонных покрытий механизированная (экскаватором)</v>
      </c>
      <c r="D258" s="36" t="str">
        <f>Source!H252</f>
        <v>100 м2 основания</v>
      </c>
      <c r="E258" s="58">
        <f>Source!I252</f>
        <v>0.1</v>
      </c>
      <c r="F258" s="14">
        <f>Source!AL252+Source!AM252+Source!AO252</f>
        <v>2312</v>
      </c>
      <c r="G258" s="15"/>
      <c r="H258" s="37"/>
      <c r="I258" s="15" t="str">
        <f>Source!BO252</f>
        <v/>
      </c>
      <c r="J258" s="15"/>
      <c r="K258" s="37"/>
      <c r="L258" s="31"/>
      <c r="S258" s="9">
        <f>ROUND((Source!FX252/100)*((ROUND(Source!AF252*Source!I252, 0)+ROUND(Source!AE252*Source!I252, 0))), 0)</f>
        <v>124</v>
      </c>
      <c r="T258" s="9">
        <f>Source!X252</f>
        <v>4310</v>
      </c>
      <c r="U258" s="9">
        <f>ROUND((Source!FY252/100)*((ROUND(Source!AF252*Source!I252, 0)+ROUND(Source!AE252*Source!I252, 0))), 0)</f>
        <v>76</v>
      </c>
      <c r="V258" s="9">
        <f>Source!Y252</f>
        <v>2652</v>
      </c>
    </row>
    <row r="259" spans="1:26" x14ac:dyDescent="0.2">
      <c r="C259" s="12" t="str">
        <f>"Объем: "&amp;Source!I252&amp;"=10/"&amp;"100"</f>
        <v>Объем: 0,1=10/100</v>
      </c>
    </row>
    <row r="260" spans="1:26" x14ac:dyDescent="0.2">
      <c r="A260" s="35"/>
      <c r="B260" s="35"/>
      <c r="C260" s="35" t="s">
        <v>706</v>
      </c>
      <c r="D260" s="36"/>
      <c r="E260" s="58"/>
      <c r="F260" s="14">
        <f>Source!AO252</f>
        <v>1285.3900000000001</v>
      </c>
      <c r="G260" s="15" t="s">
        <v>31</v>
      </c>
      <c r="H260" s="37">
        <f>ROUND(Source!AF252*Source!I252, 0)</f>
        <v>148</v>
      </c>
      <c r="I260" s="15"/>
      <c r="J260" s="15">
        <f>IF(Source!BA252&lt;&gt; 0, Source!BA252, 1)</f>
        <v>34.75</v>
      </c>
      <c r="K260" s="37">
        <f>Source!S252</f>
        <v>5137</v>
      </c>
      <c r="L260" s="31"/>
      <c r="R260" s="9">
        <f>H260</f>
        <v>148</v>
      </c>
    </row>
    <row r="261" spans="1:26" x14ac:dyDescent="0.2">
      <c r="A261" s="35"/>
      <c r="B261" s="35"/>
      <c r="C261" s="35" t="s">
        <v>89</v>
      </c>
      <c r="D261" s="36"/>
      <c r="E261" s="58"/>
      <c r="F261" s="14">
        <f>Source!AM252</f>
        <v>1026.6099999999999</v>
      </c>
      <c r="G261" s="15" t="s">
        <v>47</v>
      </c>
      <c r="H261" s="37">
        <f>ROUND(Source!AD252*Source!I252, 0)</f>
        <v>118</v>
      </c>
      <c r="I261" s="15"/>
      <c r="J261" s="15">
        <f>IF(Source!BB252&lt;&gt; 0, Source!BB252, 1)</f>
        <v>13.36</v>
      </c>
      <c r="K261" s="37">
        <f>Source!Q252</f>
        <v>1577</v>
      </c>
      <c r="L261" s="31"/>
    </row>
    <row r="262" spans="1:26" x14ac:dyDescent="0.2">
      <c r="A262" s="35"/>
      <c r="B262" s="35"/>
      <c r="C262" s="35" t="s">
        <v>707</v>
      </c>
      <c r="D262" s="36"/>
      <c r="E262" s="58"/>
      <c r="F262" s="14">
        <f>Source!AN252</f>
        <v>96.98</v>
      </c>
      <c r="G262" s="15" t="s">
        <v>47</v>
      </c>
      <c r="H262" s="38">
        <f>ROUND(Source!AE252*Source!I252, 0)</f>
        <v>11</v>
      </c>
      <c r="I262" s="15"/>
      <c r="J262" s="15">
        <f>IF(Source!BS252&lt;&gt; 0, Source!BS252, 1)</f>
        <v>34.75</v>
      </c>
      <c r="K262" s="38">
        <f>Source!R252</f>
        <v>388</v>
      </c>
      <c r="L262" s="31"/>
      <c r="R262" s="9">
        <f>H262</f>
        <v>11</v>
      </c>
    </row>
    <row r="263" spans="1:26" x14ac:dyDescent="0.2">
      <c r="A263" s="35"/>
      <c r="B263" s="35"/>
      <c r="C263" s="35" t="s">
        <v>709</v>
      </c>
      <c r="D263" s="36" t="s">
        <v>710</v>
      </c>
      <c r="E263" s="58">
        <f>Source!BZ252</f>
        <v>78</v>
      </c>
      <c r="F263" s="18"/>
      <c r="G263" s="15"/>
      <c r="H263" s="37">
        <f>SUM(S258:S265)</f>
        <v>124</v>
      </c>
      <c r="I263" s="15"/>
      <c r="J263" s="39">
        <f>Source!AT252</f>
        <v>78</v>
      </c>
      <c r="K263" s="37">
        <f>SUM(T258:T265)</f>
        <v>4310</v>
      </c>
      <c r="L263" s="31"/>
    </row>
    <row r="264" spans="1:26" x14ac:dyDescent="0.2">
      <c r="A264" s="35"/>
      <c r="B264" s="35"/>
      <c r="C264" s="35" t="s">
        <v>711</v>
      </c>
      <c r="D264" s="36" t="s">
        <v>710</v>
      </c>
      <c r="E264" s="58">
        <f>Source!CA252</f>
        <v>48</v>
      </c>
      <c r="F264" s="18"/>
      <c r="G264" s="15"/>
      <c r="H264" s="37">
        <f>SUM(U258:U265)</f>
        <v>76</v>
      </c>
      <c r="I264" s="15"/>
      <c r="J264" s="39">
        <f>Source!AU252</f>
        <v>48</v>
      </c>
      <c r="K264" s="37">
        <f>SUM(V258:V265)</f>
        <v>2652</v>
      </c>
      <c r="L264" s="31"/>
    </row>
    <row r="265" spans="1:26" x14ac:dyDescent="0.2">
      <c r="A265" s="40"/>
      <c r="B265" s="40"/>
      <c r="C265" s="40" t="s">
        <v>712</v>
      </c>
      <c r="D265" s="41" t="s">
        <v>713</v>
      </c>
      <c r="E265" s="60">
        <f>Source!AQ252</f>
        <v>173</v>
      </c>
      <c r="F265" s="16"/>
      <c r="G265" s="17" t="s">
        <v>31</v>
      </c>
      <c r="H265" s="43"/>
      <c r="I265" s="17"/>
      <c r="J265" s="17"/>
      <c r="K265" s="43"/>
      <c r="L265" s="16">
        <f>Source!U252</f>
        <v>19.895</v>
      </c>
    </row>
    <row r="266" spans="1:26" x14ac:dyDescent="0.2">
      <c r="G266" s="75">
        <v>466</v>
      </c>
      <c r="H266" s="75"/>
      <c r="J266" s="75">
        <f>K260+K261+K263+K264</f>
        <v>13676</v>
      </c>
      <c r="K266" s="75"/>
      <c r="L266" s="44">
        <f>Source!U252</f>
        <v>19.895</v>
      </c>
      <c r="O266" s="11">
        <f>G266</f>
        <v>466</v>
      </c>
      <c r="P266" s="11">
        <f>J266</f>
        <v>13676</v>
      </c>
      <c r="Q266" s="10">
        <f>L266</f>
        <v>19.895</v>
      </c>
      <c r="W266" s="9">
        <f>IF(Source!BI252&lt;=1,H260+H261+H263+H264, 0)</f>
        <v>466</v>
      </c>
      <c r="X266" s="9">
        <f>IF(Source!BI252=2,H260+H261+H263+H264, 0)</f>
        <v>0</v>
      </c>
      <c r="Y266" s="9">
        <f>IF(Source!BI252=3,H260+H261+H263+H264, 0)</f>
        <v>0</v>
      </c>
      <c r="Z266" s="9">
        <f>IF(Source!BI252=4,H260+H261+H263+H264, 0)</f>
        <v>0</v>
      </c>
    </row>
    <row r="267" spans="1:26" ht="38.25" x14ac:dyDescent="0.2">
      <c r="A267" s="35">
        <v>3</v>
      </c>
      <c r="B267" s="35" t="str">
        <f>Source!F253</f>
        <v>68-12-2</v>
      </c>
      <c r="C267" s="35" t="str">
        <f>Source!G253</f>
        <v>Разборка покрытий и оснований: щебеночных</v>
      </c>
      <c r="D267" s="36" t="str">
        <f>Source!H253</f>
        <v>100 м3 конструкций</v>
      </c>
      <c r="E267" s="58">
        <f>Source!I253</f>
        <v>2.7</v>
      </c>
      <c r="F267" s="14">
        <f>Source!AL253+Source!AM253+Source!AO253</f>
        <v>584.79999999999995</v>
      </c>
      <c r="G267" s="15"/>
      <c r="H267" s="37"/>
      <c r="I267" s="15" t="str">
        <f>Source!BO253</f>
        <v/>
      </c>
      <c r="J267" s="15"/>
      <c r="K267" s="37"/>
      <c r="L267" s="31"/>
      <c r="S267" s="9">
        <f>ROUND((Source!FX253/100)*((ROUND(Source!AF253*Source!I253, 0)+ROUND(Source!AE253*Source!I253, 0))), 0)</f>
        <v>615</v>
      </c>
      <c r="T267" s="9">
        <f>Source!X253</f>
        <v>21361</v>
      </c>
      <c r="U267" s="9">
        <f>ROUND((Source!FY253/100)*((ROUND(Source!AF253*Source!I253, 0)+ROUND(Source!AE253*Source!I253, 0))), 0)</f>
        <v>355</v>
      </c>
      <c r="V267" s="9">
        <f>Source!Y253</f>
        <v>12323</v>
      </c>
    </row>
    <row r="268" spans="1:26" x14ac:dyDescent="0.2">
      <c r="C268" s="12" t="str">
        <f>"Объем: "&amp;Source!I253&amp;"=270/"&amp;"100"</f>
        <v>Объем: 2,7=270/100</v>
      </c>
    </row>
    <row r="269" spans="1:26" x14ac:dyDescent="0.2">
      <c r="A269" s="35"/>
      <c r="B269" s="35"/>
      <c r="C269" s="35" t="s">
        <v>706</v>
      </c>
      <c r="D269" s="36"/>
      <c r="E269" s="58"/>
      <c r="F269" s="14">
        <f>Source!AO253</f>
        <v>135.19999999999999</v>
      </c>
      <c r="G269" s="15" t="s">
        <v>31</v>
      </c>
      <c r="H269" s="37">
        <f>ROUND(Source!AF253*Source!I253, 0)</f>
        <v>420</v>
      </c>
      <c r="I269" s="15"/>
      <c r="J269" s="15">
        <f>IF(Source!BA253&lt;&gt; 0, Source!BA253, 1)</f>
        <v>34.75</v>
      </c>
      <c r="K269" s="37">
        <f>Source!S253</f>
        <v>14588</v>
      </c>
      <c r="L269" s="31"/>
      <c r="R269" s="9">
        <f>H269</f>
        <v>420</v>
      </c>
    </row>
    <row r="270" spans="1:26" x14ac:dyDescent="0.2">
      <c r="A270" s="35"/>
      <c r="B270" s="35"/>
      <c r="C270" s="35" t="s">
        <v>89</v>
      </c>
      <c r="D270" s="36"/>
      <c r="E270" s="58"/>
      <c r="F270" s="14">
        <f>Source!AM253</f>
        <v>449.6</v>
      </c>
      <c r="G270" s="15" t="s">
        <v>31</v>
      </c>
      <c r="H270" s="37">
        <f>ROUND(Source!AD253*Source!I253, 0)</f>
        <v>1396</v>
      </c>
      <c r="I270" s="15"/>
      <c r="J270" s="15">
        <f>IF(Source!BB253&lt;&gt; 0, Source!BB253, 1)</f>
        <v>13.36</v>
      </c>
      <c r="K270" s="37">
        <f>Source!Q253</f>
        <v>18651</v>
      </c>
      <c r="L270" s="31"/>
    </row>
    <row r="271" spans="1:26" x14ac:dyDescent="0.2">
      <c r="A271" s="35"/>
      <c r="B271" s="35"/>
      <c r="C271" s="35" t="s">
        <v>707</v>
      </c>
      <c r="D271" s="36"/>
      <c r="E271" s="58"/>
      <c r="F271" s="14">
        <f>Source!AN253</f>
        <v>55.15</v>
      </c>
      <c r="G271" s="15" t="s">
        <v>31</v>
      </c>
      <c r="H271" s="38">
        <f>ROUND(Source!AE253*Source!I253, 0)</f>
        <v>171</v>
      </c>
      <c r="I271" s="15"/>
      <c r="J271" s="15">
        <f>IF(Source!BS253&lt;&gt; 0, Source!BS253, 1)</f>
        <v>34.75</v>
      </c>
      <c r="K271" s="38">
        <f>Source!R253</f>
        <v>5951</v>
      </c>
      <c r="L271" s="31"/>
      <c r="R271" s="9">
        <f>H271</f>
        <v>171</v>
      </c>
    </row>
    <row r="272" spans="1:26" x14ac:dyDescent="0.2">
      <c r="A272" s="35"/>
      <c r="B272" s="35"/>
      <c r="C272" s="35" t="s">
        <v>709</v>
      </c>
      <c r="D272" s="36" t="s">
        <v>710</v>
      </c>
      <c r="E272" s="58">
        <f>Source!BZ253</f>
        <v>104</v>
      </c>
      <c r="F272" s="18"/>
      <c r="G272" s="15"/>
      <c r="H272" s="37">
        <f>SUM(S267:S274)</f>
        <v>615</v>
      </c>
      <c r="I272" s="15"/>
      <c r="J272" s="39">
        <f>Source!AT253</f>
        <v>104</v>
      </c>
      <c r="K272" s="37">
        <f>SUM(T267:T274)</f>
        <v>21361</v>
      </c>
      <c r="L272" s="31"/>
    </row>
    <row r="273" spans="1:26" x14ac:dyDescent="0.2">
      <c r="A273" s="35"/>
      <c r="B273" s="35"/>
      <c r="C273" s="35" t="s">
        <v>711</v>
      </c>
      <c r="D273" s="36" t="s">
        <v>710</v>
      </c>
      <c r="E273" s="58">
        <f>Source!CA253</f>
        <v>60</v>
      </c>
      <c r="F273" s="18"/>
      <c r="G273" s="15"/>
      <c r="H273" s="37">
        <f>SUM(U267:U274)</f>
        <v>355</v>
      </c>
      <c r="I273" s="15"/>
      <c r="J273" s="39">
        <f>Source!AU253</f>
        <v>60</v>
      </c>
      <c r="K273" s="37">
        <f>SUM(V267:V274)</f>
        <v>12323</v>
      </c>
      <c r="L273" s="31"/>
    </row>
    <row r="274" spans="1:26" x14ac:dyDescent="0.2">
      <c r="A274" s="40"/>
      <c r="B274" s="40"/>
      <c r="C274" s="40" t="s">
        <v>712</v>
      </c>
      <c r="D274" s="41" t="s">
        <v>713</v>
      </c>
      <c r="E274" s="60">
        <f>Source!AQ253</f>
        <v>18.37</v>
      </c>
      <c r="F274" s="16"/>
      <c r="G274" s="17" t="s">
        <v>31</v>
      </c>
      <c r="H274" s="43"/>
      <c r="I274" s="17"/>
      <c r="J274" s="17"/>
      <c r="K274" s="43"/>
      <c r="L274" s="16">
        <f>Source!U253</f>
        <v>57.038850000000004</v>
      </c>
    </row>
    <row r="275" spans="1:26" x14ac:dyDescent="0.2">
      <c r="G275" s="75">
        <v>2786</v>
      </c>
      <c r="H275" s="75"/>
      <c r="J275" s="75">
        <f>K269+K270+K272+K273</f>
        <v>66923</v>
      </c>
      <c r="K275" s="75"/>
      <c r="L275" s="44">
        <f>Source!U253</f>
        <v>57.038850000000004</v>
      </c>
      <c r="O275" s="11">
        <f>G275</f>
        <v>2786</v>
      </c>
      <c r="P275" s="11">
        <f>J275</f>
        <v>66923</v>
      </c>
      <c r="Q275" s="10">
        <f>L275</f>
        <v>57.038850000000004</v>
      </c>
      <c r="W275" s="9">
        <f>IF(Source!BI253&lt;=1,H269+H270+H272+H273, 0)</f>
        <v>2786</v>
      </c>
      <c r="X275" s="9">
        <f>IF(Source!BI253=2,H269+H270+H272+H273, 0)</f>
        <v>0</v>
      </c>
      <c r="Y275" s="9">
        <f>IF(Source!BI253=3,H269+H270+H272+H273, 0)</f>
        <v>0</v>
      </c>
      <c r="Z275" s="9">
        <f>IF(Source!BI253=4,H269+H270+H272+H273, 0)</f>
        <v>0</v>
      </c>
    </row>
    <row r="276" spans="1:26" ht="25.5" x14ac:dyDescent="0.2">
      <c r="A276" s="35">
        <v>4</v>
      </c>
      <c r="B276" s="35" t="str">
        <f>Source!F254</f>
        <v>01-01-014-5</v>
      </c>
      <c r="C276" s="35" t="str">
        <f>Source!G254</f>
        <v>Планировка  грунта экскаваторами с погрузкой в автомобили-самосвалы экскаваторами</v>
      </c>
      <c r="D276" s="36" t="str">
        <f>Source!H254</f>
        <v>1000 м3 грунта</v>
      </c>
      <c r="E276" s="58">
        <f>Source!I254</f>
        <v>0.41799999999999998</v>
      </c>
      <c r="F276" s="14">
        <f>Source!AL254+Source!AM254+Source!AO254</f>
        <v>5155.5599999999995</v>
      </c>
      <c r="G276" s="15"/>
      <c r="H276" s="37"/>
      <c r="I276" s="15" t="str">
        <f>Source!BO254</f>
        <v/>
      </c>
      <c r="J276" s="15"/>
      <c r="K276" s="37"/>
      <c r="L276" s="31"/>
      <c r="S276" s="9">
        <f>ROUND((Source!FX254/100)*((ROUND(Source!AF254*Source!I254, 0)+ROUND(Source!AE254*Source!I254, 0))), 0)</f>
        <v>550</v>
      </c>
      <c r="T276" s="9">
        <f>Source!X254</f>
        <v>19121</v>
      </c>
      <c r="U276" s="9">
        <f>ROUND((Source!FY254/100)*((ROUND(Source!AF254*Source!I254, 0)+ROUND(Source!AE254*Source!I254, 0))), 0)</f>
        <v>290</v>
      </c>
      <c r="V276" s="9">
        <f>Source!Y254</f>
        <v>10064</v>
      </c>
    </row>
    <row r="277" spans="1:26" x14ac:dyDescent="0.2">
      <c r="C277" s="12" t="str">
        <f>"Объем: "&amp;Source!I254&amp;"=418/"&amp;"1000"</f>
        <v>Объем: 0,418=418/1000</v>
      </c>
    </row>
    <row r="278" spans="1:26" x14ac:dyDescent="0.2">
      <c r="A278" s="35"/>
      <c r="B278" s="35"/>
      <c r="C278" s="35" t="s">
        <v>706</v>
      </c>
      <c r="D278" s="36"/>
      <c r="E278" s="58"/>
      <c r="F278" s="14">
        <f>Source!AO254</f>
        <v>228.32</v>
      </c>
      <c r="G278" s="15" t="s">
        <v>31</v>
      </c>
      <c r="H278" s="37">
        <f>ROUND(Source!AF254*Source!I254, 0)</f>
        <v>110</v>
      </c>
      <c r="I278" s="15"/>
      <c r="J278" s="15">
        <f>IF(Source!BA254&lt;&gt; 0, Source!BA254, 1)</f>
        <v>34.75</v>
      </c>
      <c r="K278" s="37">
        <f>Source!S254</f>
        <v>3814</v>
      </c>
      <c r="L278" s="31"/>
      <c r="R278" s="9">
        <f>H278</f>
        <v>110</v>
      </c>
    </row>
    <row r="279" spans="1:26" x14ac:dyDescent="0.2">
      <c r="A279" s="35"/>
      <c r="B279" s="35"/>
      <c r="C279" s="35" t="s">
        <v>89</v>
      </c>
      <c r="D279" s="36"/>
      <c r="E279" s="58"/>
      <c r="F279" s="14">
        <f>Source!AM254</f>
        <v>4922.58</v>
      </c>
      <c r="G279" s="15" t="s">
        <v>31</v>
      </c>
      <c r="H279" s="37">
        <f>ROUND(Source!AD254*Source!I254, 0)</f>
        <v>2366</v>
      </c>
      <c r="I279" s="15"/>
      <c r="J279" s="15">
        <f>IF(Source!BB254&lt;&gt; 0, Source!BB254, 1)</f>
        <v>13.36</v>
      </c>
      <c r="K279" s="37">
        <f>Source!Q254</f>
        <v>31614</v>
      </c>
      <c r="L279" s="31"/>
    </row>
    <row r="280" spans="1:26" x14ac:dyDescent="0.2">
      <c r="A280" s="35"/>
      <c r="B280" s="35"/>
      <c r="C280" s="35" t="s">
        <v>707</v>
      </c>
      <c r="D280" s="36"/>
      <c r="E280" s="58"/>
      <c r="F280" s="14">
        <f>Source!AN254</f>
        <v>976.58</v>
      </c>
      <c r="G280" s="15" t="s">
        <v>31</v>
      </c>
      <c r="H280" s="38">
        <f>ROUND(Source!AE254*Source!I254, 0)</f>
        <v>469</v>
      </c>
      <c r="I280" s="15"/>
      <c r="J280" s="15">
        <f>IF(Source!BS254&lt;&gt; 0, Source!BS254, 1)</f>
        <v>34.75</v>
      </c>
      <c r="K280" s="38">
        <f>Source!R254</f>
        <v>16313</v>
      </c>
      <c r="L280" s="31"/>
      <c r="R280" s="9">
        <f>H280</f>
        <v>469</v>
      </c>
    </row>
    <row r="281" spans="1:26" x14ac:dyDescent="0.2">
      <c r="A281" s="35"/>
      <c r="B281" s="35"/>
      <c r="C281" s="35" t="s">
        <v>708</v>
      </c>
      <c r="D281" s="36"/>
      <c r="E281" s="58"/>
      <c r="F281" s="14">
        <f>Source!AL254</f>
        <v>4.66</v>
      </c>
      <c r="G281" s="15" t="s">
        <v>3</v>
      </c>
      <c r="H281" s="37">
        <f>ROUND(Source!AC254*Source!I254, 0)</f>
        <v>2</v>
      </c>
      <c r="I281" s="15"/>
      <c r="J281" s="15">
        <f>IF(Source!BC254&lt;&gt; 0, Source!BC254, 1)</f>
        <v>8.2899999999999991</v>
      </c>
      <c r="K281" s="37">
        <f>Source!P254</f>
        <v>16</v>
      </c>
      <c r="L281" s="31"/>
    </row>
    <row r="282" spans="1:26" x14ac:dyDescent="0.2">
      <c r="A282" s="35"/>
      <c r="B282" s="35"/>
      <c r="C282" s="35" t="s">
        <v>709</v>
      </c>
      <c r="D282" s="36" t="s">
        <v>710</v>
      </c>
      <c r="E282" s="58">
        <f>Source!BZ254</f>
        <v>95</v>
      </c>
      <c r="F282" s="18"/>
      <c r="G282" s="15"/>
      <c r="H282" s="37">
        <f>SUM(S276:S284)</f>
        <v>550</v>
      </c>
      <c r="I282" s="15"/>
      <c r="J282" s="39">
        <f>Source!AT254</f>
        <v>95</v>
      </c>
      <c r="K282" s="37">
        <f>SUM(T276:T284)</f>
        <v>19121</v>
      </c>
      <c r="L282" s="31"/>
    </row>
    <row r="283" spans="1:26" x14ac:dyDescent="0.2">
      <c r="A283" s="35"/>
      <c r="B283" s="35"/>
      <c r="C283" s="35" t="s">
        <v>711</v>
      </c>
      <c r="D283" s="36" t="s">
        <v>710</v>
      </c>
      <c r="E283" s="58">
        <f>Source!CA254</f>
        <v>50</v>
      </c>
      <c r="F283" s="18"/>
      <c r="G283" s="15"/>
      <c r="H283" s="37">
        <f>SUM(U276:U284)</f>
        <v>290</v>
      </c>
      <c r="I283" s="15"/>
      <c r="J283" s="39">
        <f>Source!AU254</f>
        <v>50</v>
      </c>
      <c r="K283" s="37">
        <f>SUM(V276:V284)</f>
        <v>10064</v>
      </c>
      <c r="L283" s="31"/>
    </row>
    <row r="284" spans="1:26" x14ac:dyDescent="0.2">
      <c r="A284" s="40"/>
      <c r="B284" s="40"/>
      <c r="C284" s="40" t="s">
        <v>712</v>
      </c>
      <c r="D284" s="41" t="s">
        <v>713</v>
      </c>
      <c r="E284" s="60">
        <f>Source!AQ254</f>
        <v>31.32</v>
      </c>
      <c r="F284" s="16"/>
      <c r="G284" s="17" t="s">
        <v>31</v>
      </c>
      <c r="H284" s="43"/>
      <c r="I284" s="17"/>
      <c r="J284" s="17"/>
      <c r="K284" s="43"/>
      <c r="L284" s="16">
        <f>Source!U254</f>
        <v>15.055524</v>
      </c>
    </row>
    <row r="285" spans="1:26" x14ac:dyDescent="0.2">
      <c r="G285" s="75">
        <v>3318</v>
      </c>
      <c r="H285" s="75"/>
      <c r="J285" s="75">
        <f>K278+K279+K281+K282+K283</f>
        <v>64629</v>
      </c>
      <c r="K285" s="75"/>
      <c r="L285" s="44">
        <f>Source!U254</f>
        <v>15.055524</v>
      </c>
      <c r="O285" s="11">
        <f>G285</f>
        <v>3318</v>
      </c>
      <c r="P285" s="11">
        <f>J285</f>
        <v>64629</v>
      </c>
      <c r="Q285" s="10">
        <f>L285</f>
        <v>15.055524</v>
      </c>
      <c r="W285" s="9">
        <f>IF(Source!BI254&lt;=1,H278+H279+H281+H282+H283, 0)</f>
        <v>3318</v>
      </c>
      <c r="X285" s="9">
        <f>IF(Source!BI254=2,H278+H279+H281+H282+H283, 0)</f>
        <v>0</v>
      </c>
      <c r="Y285" s="9">
        <f>IF(Source!BI254=3,H278+H279+H281+H282+H283, 0)</f>
        <v>0</v>
      </c>
      <c r="Z285" s="9">
        <f>IF(Source!BI254=4,H278+H279+H281+H282+H283, 0)</f>
        <v>0</v>
      </c>
    </row>
    <row r="286" spans="1:26" ht="25.5" x14ac:dyDescent="0.2">
      <c r="A286" s="35">
        <v>6</v>
      </c>
      <c r="B286" s="35" t="str">
        <f>Source!F255</f>
        <v>01-02-057-2</v>
      </c>
      <c r="C286" s="35" t="str">
        <f>Source!G255</f>
        <v>Доработка грунта вручную</v>
      </c>
      <c r="D286" s="36" t="str">
        <f>Source!H255</f>
        <v>100 м3 грунта</v>
      </c>
      <c r="E286" s="58">
        <f>Source!I255</f>
        <v>0.14000000000000001</v>
      </c>
      <c r="F286" s="14">
        <f>Source!AL255+Source!AM255+Source!AO255</f>
        <v>1122.6600000000001</v>
      </c>
      <c r="G286" s="15"/>
      <c r="H286" s="37"/>
      <c r="I286" s="15" t="str">
        <f>Source!BO255</f>
        <v/>
      </c>
      <c r="J286" s="15"/>
      <c r="K286" s="37"/>
      <c r="L286" s="31"/>
      <c r="S286" s="9">
        <f>ROUND((Source!FX255/100)*((ROUND(Source!AF255*Source!I255, 0)+ROUND(Source!AE255*Source!I255, 0))), 0)</f>
        <v>145</v>
      </c>
      <c r="T286" s="9">
        <f>Source!X255</f>
        <v>5025</v>
      </c>
      <c r="U286" s="9">
        <f>ROUND((Source!FY255/100)*((ROUND(Source!AF255*Source!I255, 0)+ROUND(Source!AE255*Source!I255, 0))), 0)</f>
        <v>81</v>
      </c>
      <c r="V286" s="9">
        <f>Source!Y255</f>
        <v>2826</v>
      </c>
    </row>
    <row r="287" spans="1:26" x14ac:dyDescent="0.2">
      <c r="C287" s="12" t="str">
        <f>"Объем: "&amp;Source!I255&amp;"=14/"&amp;"100"</f>
        <v>Объем: 0,14=14/100</v>
      </c>
    </row>
    <row r="288" spans="1:26" x14ac:dyDescent="0.2">
      <c r="A288" s="35"/>
      <c r="B288" s="35"/>
      <c r="C288" s="35" t="s">
        <v>706</v>
      </c>
      <c r="D288" s="36"/>
      <c r="E288" s="58"/>
      <c r="F288" s="14">
        <f>Source!AO255</f>
        <v>1122.6600000000001</v>
      </c>
      <c r="G288" s="15" t="s">
        <v>31</v>
      </c>
      <c r="H288" s="37">
        <f>ROUND(Source!AF255*Source!I255, 0)</f>
        <v>181</v>
      </c>
      <c r="I288" s="15"/>
      <c r="J288" s="15">
        <f>IF(Source!BA255&lt;&gt; 0, Source!BA255, 1)</f>
        <v>34.75</v>
      </c>
      <c r="K288" s="37">
        <f>Source!S255</f>
        <v>6281</v>
      </c>
      <c r="L288" s="31"/>
      <c r="R288" s="9">
        <f>H288</f>
        <v>181</v>
      </c>
    </row>
    <row r="289" spans="1:26" x14ac:dyDescent="0.2">
      <c r="A289" s="35"/>
      <c r="B289" s="35"/>
      <c r="C289" s="35" t="s">
        <v>709</v>
      </c>
      <c r="D289" s="36" t="s">
        <v>710</v>
      </c>
      <c r="E289" s="58">
        <f>Source!BZ255</f>
        <v>80</v>
      </c>
      <c r="F289" s="18"/>
      <c r="G289" s="15"/>
      <c r="H289" s="37">
        <f>SUM(S286:S291)</f>
        <v>145</v>
      </c>
      <c r="I289" s="15"/>
      <c r="J289" s="39">
        <f>Source!AT255</f>
        <v>80</v>
      </c>
      <c r="K289" s="37">
        <f>SUM(T286:T291)</f>
        <v>5025</v>
      </c>
      <c r="L289" s="31"/>
    </row>
    <row r="290" spans="1:26" x14ac:dyDescent="0.2">
      <c r="A290" s="35"/>
      <c r="B290" s="35"/>
      <c r="C290" s="35" t="s">
        <v>711</v>
      </c>
      <c r="D290" s="36" t="s">
        <v>710</v>
      </c>
      <c r="E290" s="58">
        <f>Source!CA255</f>
        <v>45</v>
      </c>
      <c r="F290" s="18"/>
      <c r="G290" s="15"/>
      <c r="H290" s="37">
        <f>SUM(U286:U291)</f>
        <v>81</v>
      </c>
      <c r="I290" s="15"/>
      <c r="J290" s="39">
        <f>Source!AU255</f>
        <v>45</v>
      </c>
      <c r="K290" s="37">
        <f>SUM(V286:V291)</f>
        <v>2826</v>
      </c>
      <c r="L290" s="31"/>
    </row>
    <row r="291" spans="1:26" x14ac:dyDescent="0.2">
      <c r="A291" s="40"/>
      <c r="B291" s="40"/>
      <c r="C291" s="40" t="s">
        <v>712</v>
      </c>
      <c r="D291" s="41" t="s">
        <v>713</v>
      </c>
      <c r="E291" s="60">
        <f>Source!AQ255</f>
        <v>154</v>
      </c>
      <c r="F291" s="16"/>
      <c r="G291" s="17" t="s">
        <v>31</v>
      </c>
      <c r="H291" s="43"/>
      <c r="I291" s="17"/>
      <c r="J291" s="17"/>
      <c r="K291" s="43"/>
      <c r="L291" s="16">
        <f>Source!U255</f>
        <v>24.794</v>
      </c>
    </row>
    <row r="292" spans="1:26" x14ac:dyDescent="0.2">
      <c r="G292" s="75">
        <v>407</v>
      </c>
      <c r="H292" s="75"/>
      <c r="J292" s="75">
        <f>K288+K289+K290</f>
        <v>14132</v>
      </c>
      <c r="K292" s="75"/>
      <c r="L292" s="44">
        <f>Source!U255</f>
        <v>24.794</v>
      </c>
      <c r="O292" s="11">
        <f>G292</f>
        <v>407</v>
      </c>
      <c r="P292" s="11">
        <f>J292</f>
        <v>14132</v>
      </c>
      <c r="Q292" s="10">
        <f>L292</f>
        <v>24.794</v>
      </c>
      <c r="W292" s="9">
        <f>IF(Source!BI255&lt;=1,H288+H289+H290, 0)</f>
        <v>407</v>
      </c>
      <c r="X292" s="9">
        <f>IF(Source!BI255=2,H288+H289+H290, 0)</f>
        <v>0</v>
      </c>
      <c r="Y292" s="9">
        <f>IF(Source!BI255=3,H288+H289+H290, 0)</f>
        <v>0</v>
      </c>
      <c r="Z292" s="9">
        <f>IF(Source!BI255=4,H288+H289+H290, 0)</f>
        <v>0</v>
      </c>
    </row>
    <row r="293" spans="1:26" ht="38.25" x14ac:dyDescent="0.2">
      <c r="A293" s="35">
        <v>7</v>
      </c>
      <c r="B293" s="35" t="str">
        <f>Source!F256</f>
        <v>т03-21-001-10</v>
      </c>
      <c r="C293" s="35" t="str">
        <f>Source!G256</f>
        <v>Перевозка  лишнего грунта автомобилями-самосвалами грузоподъемностью 10 т работающих  на расстояние до 10 км</v>
      </c>
      <c r="D293" s="36" t="str">
        <f>Source!H256</f>
        <v>1 Т ГРУЗА</v>
      </c>
      <c r="E293" s="58">
        <f>Source!I256</f>
        <v>669.3</v>
      </c>
      <c r="F293" s="14">
        <f>Source!AL256+Source!AM256+Source!AO256</f>
        <v>8.0399999999999991</v>
      </c>
      <c r="G293" s="15"/>
      <c r="H293" s="37"/>
      <c r="I293" s="15" t="str">
        <f>Source!BO256</f>
        <v/>
      </c>
      <c r="J293" s="15"/>
      <c r="K293" s="37"/>
      <c r="L293" s="31"/>
      <c r="S293" s="9">
        <f>ROUND((Source!FX256/100)*((ROUND(Source!AF256*Source!I256, 0)+ROUND(Source!AE256*Source!I256, 0))), 0)</f>
        <v>0</v>
      </c>
      <c r="T293" s="9">
        <f>Source!X256</f>
        <v>0</v>
      </c>
      <c r="U293" s="9">
        <f>ROUND((Source!FY256/100)*((ROUND(Source!AF256*Source!I256, 0)+ROUND(Source!AE256*Source!I256, 0))), 0)</f>
        <v>0</v>
      </c>
      <c r="V293" s="9">
        <f>Source!Y256</f>
        <v>0</v>
      </c>
    </row>
    <row r="294" spans="1:26" x14ac:dyDescent="0.2">
      <c r="A294" s="40"/>
      <c r="B294" s="40"/>
      <c r="C294" s="40" t="s">
        <v>89</v>
      </c>
      <c r="D294" s="41"/>
      <c r="E294" s="60"/>
      <c r="F294" s="16">
        <f>Source!AM256</f>
        <v>8.0399999999999991</v>
      </c>
      <c r="G294" s="17" t="s">
        <v>3</v>
      </c>
      <c r="H294" s="43">
        <f>ROUND(Source!AD256*Source!I256, 0)</f>
        <v>5381</v>
      </c>
      <c r="I294" s="17"/>
      <c r="J294" s="17">
        <f>IF(Source!BB256&lt;&gt; 0, Source!BB256, 1)</f>
        <v>13.36</v>
      </c>
      <c r="K294" s="43">
        <f>Source!Q256</f>
        <v>71892</v>
      </c>
      <c r="L294" s="42"/>
    </row>
    <row r="295" spans="1:26" x14ac:dyDescent="0.2">
      <c r="G295" s="75">
        <v>5381</v>
      </c>
      <c r="H295" s="75"/>
      <c r="J295" s="75">
        <f>K294</f>
        <v>71892</v>
      </c>
      <c r="K295" s="75"/>
      <c r="L295" s="44">
        <f>Source!U256</f>
        <v>0</v>
      </c>
      <c r="O295" s="11">
        <f>G295</f>
        <v>5381</v>
      </c>
      <c r="P295" s="11">
        <f>J295</f>
        <v>71892</v>
      </c>
      <c r="Q295" s="10">
        <f>L295</f>
        <v>0</v>
      </c>
      <c r="W295" s="9">
        <f>IF(Source!BI256&lt;=1,H294, 0)</f>
        <v>5381</v>
      </c>
      <c r="X295" s="9">
        <f>IF(Source!BI256=2,H294, 0)</f>
        <v>0</v>
      </c>
      <c r="Y295" s="9">
        <f>IF(Source!BI256=3,H294, 0)</f>
        <v>0</v>
      </c>
      <c r="Z295" s="9">
        <f>IF(Source!BI256=4,H294, 0)</f>
        <v>0</v>
      </c>
    </row>
    <row r="297" spans="1:26" x14ac:dyDescent="0.2">
      <c r="A297" s="78" t="str">
        <f>CONCATENATE("Итого по подразделу: ",IF(Source!G258&lt;&gt;"Новый подраздел", Source!G258, ""))</f>
        <v>Итого по подразделу: Подготовительные работы</v>
      </c>
      <c r="B297" s="78"/>
      <c r="C297" s="78"/>
      <c r="D297" s="78"/>
      <c r="E297" s="78"/>
      <c r="F297" s="78"/>
      <c r="G297" s="79">
        <v>19247</v>
      </c>
      <c r="H297" s="79"/>
      <c r="I297" s="80"/>
      <c r="J297" s="79">
        <f>SUM(P248:P296)</f>
        <v>406541</v>
      </c>
      <c r="K297" s="79"/>
      <c r="L297" s="81">
        <f>SUM(Q248:Q296)</f>
        <v>284.69487399999997</v>
      </c>
    </row>
    <row r="301" spans="1:26" x14ac:dyDescent="0.2">
      <c r="A301" s="76" t="str">
        <f>CONCATENATE("Подраздел: ",IF(Source!G288&lt;&gt;"Новый подраздел", Source!G288, ""))</f>
        <v>Подраздел: Устройство бортового камня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</row>
    <row r="302" spans="1:26" ht="51" x14ac:dyDescent="0.2">
      <c r="A302" s="35">
        <v>1</v>
      </c>
      <c r="B302" s="35" t="str">
        <f>Source!F292</f>
        <v>01-02-005-1</v>
      </c>
      <c r="C302" s="35" t="str">
        <f>Source!G292</f>
        <v>Уплотнение грунта пневматическими трамбовками, группа грунтов: 1-2</v>
      </c>
      <c r="D302" s="36" t="str">
        <f>Source!H292</f>
        <v>100 м3 уплотненного грунта</v>
      </c>
      <c r="E302" s="58">
        <f>Source!I292</f>
        <v>0.05</v>
      </c>
      <c r="F302" s="14">
        <f>Source!AL292+Source!AM292+Source!AO292</f>
        <v>407.12</v>
      </c>
      <c r="G302" s="15"/>
      <c r="H302" s="37"/>
      <c r="I302" s="15" t="str">
        <f>Source!BO292</f>
        <v/>
      </c>
      <c r="J302" s="15"/>
      <c r="K302" s="37"/>
      <c r="L302" s="31"/>
      <c r="S302" s="9">
        <f>ROUND((Source!FX292/100)*((ROUND(Source!AF292*Source!I292, 0)+ROUND(Source!AE292*Source!I292, 0))), 0)</f>
        <v>8</v>
      </c>
      <c r="T302" s="9">
        <f>Source!X292</f>
        <v>244</v>
      </c>
      <c r="U302" s="9">
        <f>ROUND((Source!FY292/100)*((ROUND(Source!AF292*Source!I292, 0)+ROUND(Source!AE292*Source!I292, 0))), 0)</f>
        <v>4</v>
      </c>
      <c r="V302" s="9">
        <f>Source!Y292</f>
        <v>129</v>
      </c>
    </row>
    <row r="303" spans="1:26" x14ac:dyDescent="0.2">
      <c r="C303" s="12" t="str">
        <f>"Объем: "&amp;Source!I292&amp;"=5/"&amp;"100"</f>
        <v>Объем: 0,05=5/100</v>
      </c>
    </row>
    <row r="304" spans="1:26" x14ac:dyDescent="0.2">
      <c r="A304" s="35"/>
      <c r="B304" s="35"/>
      <c r="C304" s="35" t="s">
        <v>706</v>
      </c>
      <c r="D304" s="36"/>
      <c r="E304" s="58"/>
      <c r="F304" s="14">
        <f>Source!AO292</f>
        <v>99.86</v>
      </c>
      <c r="G304" s="15" t="s">
        <v>31</v>
      </c>
      <c r="H304" s="37">
        <f>ROUND(Source!AF292*Source!I292, 0)</f>
        <v>6</v>
      </c>
      <c r="I304" s="15"/>
      <c r="J304" s="15">
        <f>IF(Source!BA292&lt;&gt; 0, Source!BA292, 1)</f>
        <v>34.75</v>
      </c>
      <c r="K304" s="37">
        <f>Source!S292</f>
        <v>200</v>
      </c>
      <c r="L304" s="31"/>
      <c r="R304" s="9">
        <f>H304</f>
        <v>6</v>
      </c>
    </row>
    <row r="305" spans="1:26" x14ac:dyDescent="0.2">
      <c r="A305" s="35"/>
      <c r="B305" s="35"/>
      <c r="C305" s="35" t="s">
        <v>89</v>
      </c>
      <c r="D305" s="36"/>
      <c r="E305" s="58"/>
      <c r="F305" s="14">
        <f>Source!AM292</f>
        <v>307.26</v>
      </c>
      <c r="G305" s="15" t="s">
        <v>31</v>
      </c>
      <c r="H305" s="37">
        <f>ROUND(Source!AD292*Source!I292, 0)</f>
        <v>18</v>
      </c>
      <c r="I305" s="15"/>
      <c r="J305" s="15">
        <f>IF(Source!BB292&lt;&gt; 0, Source!BB292, 1)</f>
        <v>13.36</v>
      </c>
      <c r="K305" s="37">
        <f>Source!Q292</f>
        <v>236</v>
      </c>
      <c r="L305" s="31"/>
    </row>
    <row r="306" spans="1:26" x14ac:dyDescent="0.2">
      <c r="A306" s="35"/>
      <c r="B306" s="35"/>
      <c r="C306" s="35" t="s">
        <v>707</v>
      </c>
      <c r="D306" s="36"/>
      <c r="E306" s="58"/>
      <c r="F306" s="14">
        <f>Source!AN292</f>
        <v>28.58</v>
      </c>
      <c r="G306" s="15" t="s">
        <v>31</v>
      </c>
      <c r="H306" s="38">
        <f>ROUND(Source!AE292*Source!I292, 0)</f>
        <v>2</v>
      </c>
      <c r="I306" s="15"/>
      <c r="J306" s="15">
        <f>IF(Source!BS292&lt;&gt; 0, Source!BS292, 1)</f>
        <v>34.75</v>
      </c>
      <c r="K306" s="38">
        <f>Source!R292</f>
        <v>57</v>
      </c>
      <c r="L306" s="31"/>
      <c r="R306" s="9">
        <f>H306</f>
        <v>2</v>
      </c>
    </row>
    <row r="307" spans="1:26" x14ac:dyDescent="0.2">
      <c r="A307" s="35"/>
      <c r="B307" s="35"/>
      <c r="C307" s="35" t="s">
        <v>709</v>
      </c>
      <c r="D307" s="36" t="s">
        <v>710</v>
      </c>
      <c r="E307" s="58">
        <f>Source!BZ292</f>
        <v>95</v>
      </c>
      <c r="F307" s="18"/>
      <c r="G307" s="15"/>
      <c r="H307" s="37">
        <f>SUM(S302:S309)</f>
        <v>8</v>
      </c>
      <c r="I307" s="15"/>
      <c r="J307" s="39">
        <f>Source!AT292</f>
        <v>95</v>
      </c>
      <c r="K307" s="37">
        <f>SUM(T302:T309)</f>
        <v>244</v>
      </c>
      <c r="L307" s="31"/>
    </row>
    <row r="308" spans="1:26" x14ac:dyDescent="0.2">
      <c r="A308" s="35"/>
      <c r="B308" s="35"/>
      <c r="C308" s="35" t="s">
        <v>711</v>
      </c>
      <c r="D308" s="36" t="s">
        <v>710</v>
      </c>
      <c r="E308" s="58">
        <f>Source!CA292</f>
        <v>50</v>
      </c>
      <c r="F308" s="18"/>
      <c r="G308" s="15"/>
      <c r="H308" s="37">
        <f>SUM(U302:U309)</f>
        <v>4</v>
      </c>
      <c r="I308" s="15"/>
      <c r="J308" s="39">
        <f>Source!AU292</f>
        <v>50</v>
      </c>
      <c r="K308" s="37">
        <f>SUM(V302:V309)</f>
        <v>129</v>
      </c>
      <c r="L308" s="31"/>
    </row>
    <row r="309" spans="1:26" x14ac:dyDescent="0.2">
      <c r="A309" s="40"/>
      <c r="B309" s="40"/>
      <c r="C309" s="40" t="s">
        <v>712</v>
      </c>
      <c r="D309" s="41" t="s">
        <v>713</v>
      </c>
      <c r="E309" s="60">
        <f>Source!AQ292</f>
        <v>12.53</v>
      </c>
      <c r="F309" s="16"/>
      <c r="G309" s="17" t="s">
        <v>31</v>
      </c>
      <c r="H309" s="43"/>
      <c r="I309" s="17"/>
      <c r="J309" s="17"/>
      <c r="K309" s="43"/>
      <c r="L309" s="16">
        <f>Source!U292</f>
        <v>0.72047499999999998</v>
      </c>
    </row>
    <row r="310" spans="1:26" x14ac:dyDescent="0.2">
      <c r="G310" s="75">
        <v>36</v>
      </c>
      <c r="H310" s="75"/>
      <c r="J310" s="75">
        <f>K304+K305+K307+K308</f>
        <v>809</v>
      </c>
      <c r="K310" s="75"/>
      <c r="L310" s="44">
        <f>Source!U292</f>
        <v>0.72047499999999998</v>
      </c>
      <c r="O310" s="11">
        <f>G310</f>
        <v>36</v>
      </c>
      <c r="P310" s="11">
        <f>J310</f>
        <v>809</v>
      </c>
      <c r="Q310" s="10">
        <f>L310</f>
        <v>0.72047499999999998</v>
      </c>
      <c r="W310" s="9">
        <f>IF(Source!BI292&lt;=1,H304+H305+H307+H308, 0)</f>
        <v>36</v>
      </c>
      <c r="X310" s="9">
        <f>IF(Source!BI292=2,H304+H305+H307+H308, 0)</f>
        <v>0</v>
      </c>
      <c r="Y310" s="9">
        <f>IF(Source!BI292=3,H304+H305+H307+H308, 0)</f>
        <v>0</v>
      </c>
      <c r="Z310" s="9">
        <f>IF(Source!BI292=4,H304+H305+H307+H308, 0)</f>
        <v>0</v>
      </c>
    </row>
    <row r="311" spans="1:26" ht="51" x14ac:dyDescent="0.2">
      <c r="A311" s="35">
        <v>2</v>
      </c>
      <c r="B311" s="35" t="str">
        <f>Source!F293</f>
        <v>11-01-002-1</v>
      </c>
      <c r="C311" s="35" t="str">
        <f>Source!G293</f>
        <v>Устройство подстилающих слоев: песчаных с уплотнением</v>
      </c>
      <c r="D311" s="36" t="str">
        <f>Source!H293</f>
        <v>1 м3 подстилающего слоя</v>
      </c>
      <c r="E311" s="58">
        <f>Source!I293</f>
        <v>4.0999999999999996</v>
      </c>
      <c r="F311" s="14">
        <f>Source!AL293+Source!AM293+Source!AO293</f>
        <v>140.61000000000001</v>
      </c>
      <c r="G311" s="15"/>
      <c r="H311" s="37"/>
      <c r="I311" s="15" t="str">
        <f>Source!BO293</f>
        <v/>
      </c>
      <c r="J311" s="15"/>
      <c r="K311" s="37"/>
      <c r="L311" s="31"/>
      <c r="S311" s="9">
        <f>ROUND((Source!FX293/100)*((ROUND(Source!AF293*Source!I293, 0)+ROUND(Source!AE293*Source!I293, 0))), 0)</f>
        <v>176</v>
      </c>
      <c r="T311" s="9">
        <f>Source!X293</f>
        <v>6114</v>
      </c>
      <c r="U311" s="9">
        <f>ROUND((Source!FY293/100)*((ROUND(Source!AF293*Source!I293, 0)+ROUND(Source!AE293*Source!I293, 0))), 0)</f>
        <v>107</v>
      </c>
      <c r="V311" s="9">
        <f>Source!Y293</f>
        <v>3728</v>
      </c>
    </row>
    <row r="312" spans="1:26" x14ac:dyDescent="0.2">
      <c r="A312" s="35"/>
      <c r="B312" s="35"/>
      <c r="C312" s="35" t="s">
        <v>706</v>
      </c>
      <c r="D312" s="36"/>
      <c r="E312" s="58"/>
      <c r="F312" s="14">
        <f>Source!AO293</f>
        <v>27.52</v>
      </c>
      <c r="G312" s="15" t="s">
        <v>31</v>
      </c>
      <c r="H312" s="37">
        <f>ROUND(Source!AF293*Source!I293, 0)</f>
        <v>130</v>
      </c>
      <c r="I312" s="15"/>
      <c r="J312" s="15">
        <f>IF(Source!BA293&lt;&gt; 0, Source!BA293, 1)</f>
        <v>34.75</v>
      </c>
      <c r="K312" s="37">
        <f>Source!S293</f>
        <v>4509</v>
      </c>
      <c r="L312" s="31"/>
      <c r="R312" s="9">
        <f>H312</f>
        <v>130</v>
      </c>
    </row>
    <row r="313" spans="1:26" x14ac:dyDescent="0.2">
      <c r="A313" s="35"/>
      <c r="B313" s="35"/>
      <c r="C313" s="35" t="s">
        <v>89</v>
      </c>
      <c r="D313" s="36"/>
      <c r="E313" s="58"/>
      <c r="F313" s="14">
        <f>Source!AM293</f>
        <v>29.1</v>
      </c>
      <c r="G313" s="15" t="s">
        <v>31</v>
      </c>
      <c r="H313" s="37">
        <f>ROUND(Source!AD293*Source!I293, 0)</f>
        <v>137</v>
      </c>
      <c r="I313" s="15"/>
      <c r="J313" s="15">
        <f>IF(Source!BB293&lt;&gt; 0, Source!BB293, 1)</f>
        <v>13.36</v>
      </c>
      <c r="K313" s="37">
        <f>Source!Q293</f>
        <v>1833</v>
      </c>
      <c r="L313" s="31"/>
    </row>
    <row r="314" spans="1:26" x14ac:dyDescent="0.2">
      <c r="A314" s="35"/>
      <c r="B314" s="35"/>
      <c r="C314" s="35" t="s">
        <v>707</v>
      </c>
      <c r="D314" s="36"/>
      <c r="E314" s="58"/>
      <c r="F314" s="14">
        <f>Source!AN293</f>
        <v>2.82</v>
      </c>
      <c r="G314" s="15" t="s">
        <v>31</v>
      </c>
      <c r="H314" s="38">
        <f>ROUND(Source!AE293*Source!I293, 0)</f>
        <v>13</v>
      </c>
      <c r="I314" s="15"/>
      <c r="J314" s="15">
        <f>IF(Source!BS293&lt;&gt; 0, Source!BS293, 1)</f>
        <v>34.75</v>
      </c>
      <c r="K314" s="38">
        <f>Source!R293</f>
        <v>462</v>
      </c>
      <c r="L314" s="31"/>
      <c r="R314" s="9">
        <f>H314</f>
        <v>13</v>
      </c>
    </row>
    <row r="315" spans="1:26" x14ac:dyDescent="0.2">
      <c r="A315" s="35"/>
      <c r="B315" s="35"/>
      <c r="C315" s="35" t="s">
        <v>708</v>
      </c>
      <c r="D315" s="36"/>
      <c r="E315" s="58"/>
      <c r="F315" s="14">
        <f>Source!AL293</f>
        <v>83.99</v>
      </c>
      <c r="G315" s="15" t="s">
        <v>3</v>
      </c>
      <c r="H315" s="37">
        <f>ROUND(Source!AC293*Source!I293, 0)</f>
        <v>344</v>
      </c>
      <c r="I315" s="15"/>
      <c r="J315" s="15">
        <f>IF(Source!BC293&lt;&gt; 0, Source!BC293, 1)</f>
        <v>8.2899999999999991</v>
      </c>
      <c r="K315" s="37">
        <f>Source!P293</f>
        <v>2855</v>
      </c>
      <c r="L315" s="31"/>
    </row>
    <row r="316" spans="1:26" x14ac:dyDescent="0.2">
      <c r="A316" s="35"/>
      <c r="B316" s="35"/>
      <c r="C316" s="35" t="s">
        <v>709</v>
      </c>
      <c r="D316" s="36" t="s">
        <v>710</v>
      </c>
      <c r="E316" s="58">
        <f>Source!BZ293</f>
        <v>123</v>
      </c>
      <c r="F316" s="18"/>
      <c r="G316" s="15"/>
      <c r="H316" s="37">
        <f>SUM(S311:S320)</f>
        <v>176</v>
      </c>
      <c r="I316" s="15"/>
      <c r="J316" s="39">
        <f>Source!AT293</f>
        <v>123</v>
      </c>
      <c r="K316" s="37">
        <f>SUM(T311:T320)</f>
        <v>6114</v>
      </c>
      <c r="L316" s="31"/>
    </row>
    <row r="317" spans="1:26" x14ac:dyDescent="0.2">
      <c r="A317" s="35"/>
      <c r="B317" s="35"/>
      <c r="C317" s="35" t="s">
        <v>711</v>
      </c>
      <c r="D317" s="36" t="s">
        <v>710</v>
      </c>
      <c r="E317" s="58">
        <f>Source!CA293</f>
        <v>75</v>
      </c>
      <c r="F317" s="18"/>
      <c r="G317" s="15"/>
      <c r="H317" s="37">
        <f>SUM(U311:U320)</f>
        <v>107</v>
      </c>
      <c r="I317" s="15"/>
      <c r="J317" s="39">
        <f>Source!AU293</f>
        <v>75</v>
      </c>
      <c r="K317" s="37">
        <f>SUM(V311:V320)</f>
        <v>3728</v>
      </c>
      <c r="L317" s="31"/>
    </row>
    <row r="318" spans="1:26" x14ac:dyDescent="0.2">
      <c r="A318" s="35"/>
      <c r="B318" s="35"/>
      <c r="C318" s="35" t="s">
        <v>712</v>
      </c>
      <c r="D318" s="36" t="s">
        <v>713</v>
      </c>
      <c r="E318" s="58">
        <f>Source!AQ293</f>
        <v>3.41</v>
      </c>
      <c r="F318" s="14"/>
      <c r="G318" s="15" t="s">
        <v>31</v>
      </c>
      <c r="H318" s="37"/>
      <c r="I318" s="15"/>
      <c r="J318" s="15"/>
      <c r="K318" s="37"/>
      <c r="L318" s="14">
        <f>Source!U293</f>
        <v>16.078149999999997</v>
      </c>
    </row>
    <row r="319" spans="1:26" x14ac:dyDescent="0.2">
      <c r="A319" s="35"/>
      <c r="B319" s="35" t="str">
        <f>Source!F294</f>
        <v>408-0122</v>
      </c>
      <c r="C319" s="35" t="str">
        <f>Source!G294</f>
        <v>Песок природный для строительных: работ средний</v>
      </c>
      <c r="D319" s="36" t="str">
        <f>Source!H294</f>
        <v>м3</v>
      </c>
      <c r="E319" s="58">
        <f>Source!I294</f>
        <v>-4.92</v>
      </c>
      <c r="F319" s="14">
        <f>Source!AL294+Source!AM294+Source!AO294</f>
        <v>69.83</v>
      </c>
      <c r="G319" s="46" t="s">
        <v>3</v>
      </c>
      <c r="H319" s="37">
        <f>ROUND(Source!AC294*Source!I294, 0)+ROUND(Source!AD294*Source!I294, 0)+ROUND(Source!AF294*Source!I294, 0)</f>
        <v>-344</v>
      </c>
      <c r="I319" s="15"/>
      <c r="J319" s="15">
        <f>IF(Source!BC294&lt;&gt; 0, Source!BC294, 1)</f>
        <v>8.2899999999999991</v>
      </c>
      <c r="K319" s="37">
        <f>Source!O294</f>
        <v>-2848</v>
      </c>
      <c r="L319" s="31"/>
      <c r="S319" s="9">
        <f>ROUND((Source!FX294/100)*((ROUND(Source!AF294*Source!I294, 0)+ROUND(Source!AE294*Source!I294, 0))), 0)</f>
        <v>0</v>
      </c>
      <c r="T319" s="9">
        <f>Source!X294</f>
        <v>0</v>
      </c>
      <c r="U319" s="9">
        <f>ROUND((Source!FY294/100)*((ROUND(Source!AF294*Source!I294, 0)+ROUND(Source!AE294*Source!I294, 0))), 0)</f>
        <v>0</v>
      </c>
      <c r="V319" s="9">
        <f>Source!Y294</f>
        <v>0</v>
      </c>
      <c r="W319" s="9">
        <f>IF(Source!BI294&lt;=1,H319, 0)</f>
        <v>-344</v>
      </c>
      <c r="X319" s="9">
        <f>IF(Source!BI294=2,H319, 0)</f>
        <v>0</v>
      </c>
      <c r="Y319" s="9">
        <f>IF(Source!BI294=3,H319, 0)</f>
        <v>0</v>
      </c>
      <c r="Z319" s="9">
        <f>IF(Source!BI294=4,H319, 0)</f>
        <v>0</v>
      </c>
    </row>
    <row r="320" spans="1:26" ht="25.5" x14ac:dyDescent="0.2">
      <c r="A320" s="40"/>
      <c r="B320" s="40" t="str">
        <f>Source!F295</f>
        <v>прайс-лист</v>
      </c>
      <c r="C320" s="40" t="s">
        <v>714</v>
      </c>
      <c r="D320" s="41" t="str">
        <f>Source!H295</f>
        <v>м3</v>
      </c>
      <c r="E320" s="60">
        <f>Source!I295</f>
        <v>4.92</v>
      </c>
      <c r="F320" s="16">
        <f>Source!AL295+Source!AM295+Source!AO295</f>
        <v>833.33</v>
      </c>
      <c r="G320" s="47" t="s">
        <v>3</v>
      </c>
      <c r="H320" s="43">
        <f>ROUND(Source!AC295*Source!I295, 0)+ROUND(Source!AD295*Source!I295, 0)+ROUND(Source!AF295*Source!I295, 0)</f>
        <v>4100</v>
      </c>
      <c r="I320" s="17"/>
      <c r="J320" s="17">
        <f>IF(Source!BC295&lt;&gt; 0, Source!BC295, 1)</f>
        <v>1</v>
      </c>
      <c r="K320" s="43">
        <f>Source!O295</f>
        <v>4100</v>
      </c>
      <c r="L320" s="42"/>
      <c r="S320" s="9">
        <f>ROUND((Source!FX295/100)*((ROUND(Source!AF295*Source!I295, 0)+ROUND(Source!AE295*Source!I295, 0))), 0)</f>
        <v>0</v>
      </c>
      <c r="T320" s="9">
        <f>Source!X295</f>
        <v>0</v>
      </c>
      <c r="U320" s="9">
        <f>ROUND((Source!FY295/100)*((ROUND(Source!AF295*Source!I295, 0)+ROUND(Source!AE295*Source!I295, 0))), 0)</f>
        <v>0</v>
      </c>
      <c r="V320" s="9">
        <f>Source!Y295</f>
        <v>0</v>
      </c>
      <c r="W320" s="9">
        <f>IF(Source!BI295&lt;=1,H320, 0)</f>
        <v>0</v>
      </c>
      <c r="X320" s="9">
        <f>IF(Source!BI295=2,H320, 0)</f>
        <v>0</v>
      </c>
      <c r="Y320" s="9">
        <f>IF(Source!BI295=3,H320, 0)</f>
        <v>0</v>
      </c>
      <c r="Z320" s="9">
        <f>IF(Source!BI295=4,H320, 0)</f>
        <v>4100</v>
      </c>
    </row>
    <row r="321" spans="1:32" x14ac:dyDescent="0.2">
      <c r="G321" s="75">
        <v>4650</v>
      </c>
      <c r="H321" s="75"/>
      <c r="J321" s="75">
        <f>K312+K313+K315+K316+K317+SUM(K319:K320)</f>
        <v>20291</v>
      </c>
      <c r="K321" s="75"/>
      <c r="L321" s="44">
        <f>Source!U293</f>
        <v>16.078149999999997</v>
      </c>
      <c r="O321" s="11">
        <f>G321</f>
        <v>4650</v>
      </c>
      <c r="P321" s="11">
        <f>J321</f>
        <v>20291</v>
      </c>
      <c r="Q321" s="10">
        <f>L321</f>
        <v>16.078149999999997</v>
      </c>
      <c r="W321" s="9">
        <f>IF(Source!BI293&lt;=1,H312+H313+H315+H316+H317, 0)</f>
        <v>894</v>
      </c>
      <c r="X321" s="9">
        <f>IF(Source!BI293=2,H312+H313+H315+H316+H317, 0)</f>
        <v>0</v>
      </c>
      <c r="Y321" s="9">
        <f>IF(Source!BI293=3,H312+H313+H315+H316+H317, 0)</f>
        <v>0</v>
      </c>
      <c r="Z321" s="9">
        <f>IF(Source!BI293=4,H312+H313+H315+H316+H317, 0)</f>
        <v>0</v>
      </c>
    </row>
    <row r="322" spans="1:32" ht="38.25" x14ac:dyDescent="0.2">
      <c r="A322" s="35">
        <v>3</v>
      </c>
      <c r="B322" s="35" t="str">
        <f>Source!F296</f>
        <v>27-02-010-2</v>
      </c>
      <c r="C322" s="35" t="str">
        <f>Source!G296</f>
        <v>Установка бортовых камней бетонных: при других видах покрытий</v>
      </c>
      <c r="D322" s="36" t="str">
        <f>Source!H296</f>
        <v>100 м бортового камня</v>
      </c>
      <c r="E322" s="58">
        <f>Source!I296</f>
        <v>2.6</v>
      </c>
      <c r="F322" s="14">
        <f>Source!AL296+Source!AM296+Source!AO296</f>
        <v>3638.6400000000003</v>
      </c>
      <c r="G322" s="15"/>
      <c r="H322" s="37"/>
      <c r="I322" s="15" t="str">
        <f>Source!BO296</f>
        <v/>
      </c>
      <c r="J322" s="15"/>
      <c r="K322" s="37"/>
      <c r="L322" s="31"/>
      <c r="S322" s="9">
        <f>ROUND((Source!FX296/100)*((ROUND(Source!AF296*Source!I296, 0)+ROUND(Source!AE296*Source!I296, 0))), 0)</f>
        <v>2981</v>
      </c>
      <c r="T322" s="9">
        <f>Source!X296</f>
        <v>103561</v>
      </c>
      <c r="U322" s="9">
        <f>ROUND((Source!FY296/100)*((ROUND(Source!AF296*Source!I296, 0)+ROUND(Source!AE296*Source!I296, 0))), 0)</f>
        <v>1994</v>
      </c>
      <c r="V322" s="9">
        <f>Source!Y296</f>
        <v>69284</v>
      </c>
    </row>
    <row r="323" spans="1:32" x14ac:dyDescent="0.2">
      <c r="C323" s="12" t="str">
        <f>"Объем: "&amp;Source!I296&amp;"=58/"&amp;"100"</f>
        <v>Объем: 2,6=58/100</v>
      </c>
    </row>
    <row r="324" spans="1:32" x14ac:dyDescent="0.2">
      <c r="A324" s="35"/>
      <c r="B324" s="35"/>
      <c r="C324" s="35" t="s">
        <v>706</v>
      </c>
      <c r="D324" s="36"/>
      <c r="E324" s="58"/>
      <c r="F324" s="14">
        <f>Source!AO296</f>
        <v>601.03</v>
      </c>
      <c r="G324" s="15" t="s">
        <v>31</v>
      </c>
      <c r="H324" s="37">
        <f>ROUND(Source!AF296*Source!I296, 0)</f>
        <v>2067</v>
      </c>
      <c r="I324" s="15"/>
      <c r="J324" s="15">
        <f>IF(Source!BA296&lt;&gt; 0, Source!BA296, 1)</f>
        <v>34.75</v>
      </c>
      <c r="K324" s="37">
        <f>Source!S296</f>
        <v>71816</v>
      </c>
      <c r="L324" s="31"/>
      <c r="R324" s="9">
        <f>H324</f>
        <v>2067</v>
      </c>
    </row>
    <row r="325" spans="1:32" x14ac:dyDescent="0.2">
      <c r="A325" s="35"/>
      <c r="B325" s="35"/>
      <c r="C325" s="35" t="s">
        <v>89</v>
      </c>
      <c r="D325" s="36"/>
      <c r="E325" s="58"/>
      <c r="F325" s="14">
        <f>Source!AM296</f>
        <v>62.84</v>
      </c>
      <c r="G325" s="15" t="s">
        <v>31</v>
      </c>
      <c r="H325" s="37">
        <f>ROUND(Source!AD296*Source!I296, 0)</f>
        <v>235</v>
      </c>
      <c r="I325" s="15"/>
      <c r="J325" s="15">
        <f>IF(Source!BB296&lt;&gt; 0, Source!BB296, 1)</f>
        <v>13.36</v>
      </c>
      <c r="K325" s="37">
        <f>Source!Q296</f>
        <v>3138</v>
      </c>
      <c r="L325" s="31"/>
    </row>
    <row r="326" spans="1:32" x14ac:dyDescent="0.2">
      <c r="A326" s="35"/>
      <c r="B326" s="35"/>
      <c r="C326" s="35" t="s">
        <v>707</v>
      </c>
      <c r="D326" s="36"/>
      <c r="E326" s="58"/>
      <c r="F326" s="14">
        <f>Source!AN296</f>
        <v>8.58</v>
      </c>
      <c r="G326" s="15" t="s">
        <v>31</v>
      </c>
      <c r="H326" s="38">
        <f>ROUND(Source!AE296*Source!I296, 0)</f>
        <v>32</v>
      </c>
      <c r="I326" s="15"/>
      <c r="J326" s="15">
        <f>IF(Source!BS296&lt;&gt; 0, Source!BS296, 1)</f>
        <v>34.75</v>
      </c>
      <c r="K326" s="38">
        <f>Source!R296</f>
        <v>1114</v>
      </c>
      <c r="L326" s="31"/>
      <c r="R326" s="9">
        <f>H326</f>
        <v>32</v>
      </c>
    </row>
    <row r="327" spans="1:32" x14ac:dyDescent="0.2">
      <c r="A327" s="35"/>
      <c r="B327" s="35"/>
      <c r="C327" s="35" t="s">
        <v>708</v>
      </c>
      <c r="D327" s="36"/>
      <c r="E327" s="58"/>
      <c r="F327" s="14">
        <f>Source!AL296</f>
        <v>2974.77</v>
      </c>
      <c r="G327" s="15" t="s">
        <v>3</v>
      </c>
      <c r="H327" s="37">
        <f>ROUND(Source!AC296*Source!I296, 0)</f>
        <v>7734</v>
      </c>
      <c r="I327" s="15"/>
      <c r="J327" s="15">
        <f>IF(Source!BC296&lt;&gt; 0, Source!BC296, 1)</f>
        <v>8.2899999999999991</v>
      </c>
      <c r="K327" s="37">
        <f>Source!P296</f>
        <v>64118</v>
      </c>
      <c r="L327" s="31"/>
    </row>
    <row r="328" spans="1:32" x14ac:dyDescent="0.2">
      <c r="A328" s="35"/>
      <c r="B328" s="35"/>
      <c r="C328" s="35" t="s">
        <v>709</v>
      </c>
      <c r="D328" s="36" t="s">
        <v>710</v>
      </c>
      <c r="E328" s="58">
        <f>Source!BZ296</f>
        <v>142</v>
      </c>
      <c r="F328" s="18"/>
      <c r="G328" s="15"/>
      <c r="H328" s="37">
        <f>SUM(S322:S331)</f>
        <v>2981</v>
      </c>
      <c r="I328" s="15"/>
      <c r="J328" s="39">
        <f>Source!AT296</f>
        <v>142</v>
      </c>
      <c r="K328" s="37">
        <f>SUM(T322:T331)</f>
        <v>103561</v>
      </c>
      <c r="L328" s="31"/>
    </row>
    <row r="329" spans="1:32" x14ac:dyDescent="0.2">
      <c r="A329" s="35"/>
      <c r="B329" s="35"/>
      <c r="C329" s="35" t="s">
        <v>711</v>
      </c>
      <c r="D329" s="36" t="s">
        <v>710</v>
      </c>
      <c r="E329" s="58">
        <f>Source!CA296</f>
        <v>95</v>
      </c>
      <c r="F329" s="18"/>
      <c r="G329" s="15"/>
      <c r="H329" s="37">
        <f>SUM(U322:U331)</f>
        <v>1994</v>
      </c>
      <c r="I329" s="15"/>
      <c r="J329" s="39">
        <f>Source!AU296</f>
        <v>95</v>
      </c>
      <c r="K329" s="37">
        <f>SUM(V322:V331)</f>
        <v>69284</v>
      </c>
      <c r="L329" s="31"/>
    </row>
    <row r="330" spans="1:32" x14ac:dyDescent="0.2">
      <c r="A330" s="35"/>
      <c r="B330" s="35"/>
      <c r="C330" s="35" t="s">
        <v>712</v>
      </c>
      <c r="D330" s="36" t="s">
        <v>713</v>
      </c>
      <c r="E330" s="58">
        <f>Source!AQ296</f>
        <v>76.08</v>
      </c>
      <c r="F330" s="14"/>
      <c r="G330" s="15" t="s">
        <v>31</v>
      </c>
      <c r="H330" s="37"/>
      <c r="I330" s="15"/>
      <c r="J330" s="15"/>
      <c r="K330" s="37"/>
      <c r="L330" s="14">
        <f>Source!U296</f>
        <v>261.60107999999997</v>
      </c>
    </row>
    <row r="331" spans="1:32" ht="25.5" x14ac:dyDescent="0.2">
      <c r="A331" s="40" t="s">
        <v>136</v>
      </c>
      <c r="B331" s="40" t="str">
        <f>Source!F297</f>
        <v>прайс-лист</v>
      </c>
      <c r="C331" s="40" t="s">
        <v>719</v>
      </c>
      <c r="D331" s="41" t="str">
        <f>Source!H297</f>
        <v>ШТ</v>
      </c>
      <c r="E331" s="60">
        <f>Source!I297</f>
        <v>260</v>
      </c>
      <c r="F331" s="16">
        <f>Source!AL297+Source!AM297+Source!AO297</f>
        <v>56.29</v>
      </c>
      <c r="G331" s="47" t="s">
        <v>3</v>
      </c>
      <c r="H331" s="43">
        <f>ROUND(Source!AC297*Source!I297, 0)+ROUND(Source!AD297*Source!I297, 0)+ROUND(Source!AF297*Source!I297, 0)</f>
        <v>14635</v>
      </c>
      <c r="I331" s="17"/>
      <c r="J331" s="17">
        <f>IF(Source!BC297&lt;&gt; 0, Source!BC297, 1)</f>
        <v>8.2899999999999991</v>
      </c>
      <c r="K331" s="43">
        <f>Source!O297</f>
        <v>121327</v>
      </c>
      <c r="L331" s="42"/>
      <c r="S331" s="9">
        <f>ROUND((Source!FX297/100)*((ROUND(Source!AF297*Source!I297, 0)+ROUND(Source!AE297*Source!I297, 0))), 0)</f>
        <v>0</v>
      </c>
      <c r="T331" s="9">
        <f>Source!X297</f>
        <v>0</v>
      </c>
      <c r="U331" s="9">
        <f>ROUND((Source!FY297/100)*((ROUND(Source!AF297*Source!I297, 0)+ROUND(Source!AE297*Source!I297, 0))), 0)</f>
        <v>0</v>
      </c>
      <c r="V331" s="9">
        <f>Source!Y297</f>
        <v>0</v>
      </c>
      <c r="W331" s="9">
        <f>IF(Source!BI297&lt;=1,H331, 0)</f>
        <v>14635</v>
      </c>
      <c r="X331" s="9">
        <f>IF(Source!BI297=2,H331, 0)</f>
        <v>0</v>
      </c>
      <c r="Y331" s="9">
        <f>IF(Source!BI297=3,H331, 0)</f>
        <v>0</v>
      </c>
      <c r="Z331" s="9">
        <f>IF(Source!BI297=4,H331, 0)</f>
        <v>0</v>
      </c>
    </row>
    <row r="332" spans="1:32" x14ac:dyDescent="0.2">
      <c r="G332" s="75">
        <v>6613</v>
      </c>
      <c r="H332" s="75"/>
      <c r="J332" s="75">
        <f>K324+K325+K327+K328+K329+SUM(K331:K331)</f>
        <v>433244</v>
      </c>
      <c r="K332" s="75"/>
      <c r="L332" s="44">
        <f>Source!U296</f>
        <v>261.60107999999997</v>
      </c>
      <c r="O332" s="11">
        <f>G332</f>
        <v>6613</v>
      </c>
      <c r="P332" s="11">
        <f>J332</f>
        <v>433244</v>
      </c>
      <c r="Q332" s="10">
        <f>L332</f>
        <v>261.60107999999997</v>
      </c>
      <c r="W332" s="9">
        <f>IF(Source!BI296&lt;=1,H324+H325+H327+H328+H329, 0)</f>
        <v>15011</v>
      </c>
      <c r="X332" s="9">
        <f>IF(Source!BI296=2,H324+H325+H327+H328+H329, 0)</f>
        <v>0</v>
      </c>
      <c r="Y332" s="9">
        <f>IF(Source!BI296=3,H324+H325+H327+H328+H329, 0)</f>
        <v>0</v>
      </c>
      <c r="Z332" s="9">
        <f>IF(Source!BI296=4,H324+H325+H327+H328+H329, 0)</f>
        <v>0</v>
      </c>
    </row>
    <row r="334" spans="1:32" x14ac:dyDescent="0.2">
      <c r="A334" s="78" t="str">
        <f>CONCATENATE("Итого по подразделу: ",IF(Source!G299&lt;&gt;"Новый подраздел", Source!G299, ""))</f>
        <v>Итого по подразделу: Устройство бортового камня</v>
      </c>
      <c r="B334" s="78"/>
      <c r="C334" s="78"/>
      <c r="D334" s="78"/>
      <c r="E334" s="78"/>
      <c r="F334" s="78"/>
      <c r="G334" s="79">
        <v>11299</v>
      </c>
      <c r="H334" s="79"/>
      <c r="I334" s="80"/>
      <c r="J334" s="79">
        <f>SUM(P301:P333)</f>
        <v>454344</v>
      </c>
      <c r="K334" s="79"/>
      <c r="L334" s="81">
        <f>SUM(Q301:Q333)</f>
        <v>278.39970499999998</v>
      </c>
      <c r="AF334" s="49" t="str">
        <f>CONCATENATE("Итого по подразделу: ",IF(Source!G299&lt;&gt;"Новый подраздел", Source!G299, ""))</f>
        <v>Итого по подразделу: Устройство бортового камня</v>
      </c>
    </row>
    <row r="338" spans="1:26" x14ac:dyDescent="0.2">
      <c r="A338" s="76" t="str">
        <f>CONCATENATE("Подраздел: ",IF(Source!G329&lt;&gt;"Новый подраздел", Source!G329, ""))</f>
        <v>Подраздел: Устройство бетонного лотка</v>
      </c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</row>
    <row r="339" spans="1:26" ht="51" hidden="1" x14ac:dyDescent="0.2">
      <c r="A339" s="35">
        <v>1</v>
      </c>
      <c r="B339" s="35" t="str">
        <f>Source!F333</f>
        <v>01-02-005-1</v>
      </c>
      <c r="C339" s="35" t="str">
        <f>Source!G333</f>
        <v>Уплотнение грунта пневматическими трамбовками, группа грунтов: 1-2</v>
      </c>
      <c r="D339" s="36" t="str">
        <f>Source!H333</f>
        <v>100 м3 уплотненного грунта</v>
      </c>
      <c r="E339" s="58">
        <f>Source!I333</f>
        <v>0.05</v>
      </c>
      <c r="F339" s="14">
        <f>Source!AL333+Source!AM333+Source!AO333</f>
        <v>407.12</v>
      </c>
      <c r="G339" s="15"/>
      <c r="H339" s="37"/>
      <c r="I339" s="15" t="str">
        <f>Source!BO333</f>
        <v/>
      </c>
      <c r="J339" s="15"/>
      <c r="K339" s="37"/>
      <c r="L339" s="31"/>
      <c r="S339" s="9">
        <f>ROUND((Source!FX333/100)*((ROUND(Source!AF333*Source!I333, 0)+ROUND(Source!AE333*Source!I333, 0))), 0)</f>
        <v>8</v>
      </c>
      <c r="T339" s="9">
        <f>Source!X333</f>
        <v>244</v>
      </c>
      <c r="U339" s="9">
        <f>ROUND((Source!FY333/100)*((ROUND(Source!AF333*Source!I333, 0)+ROUND(Source!AE333*Source!I333, 0))), 0)</f>
        <v>4</v>
      </c>
      <c r="V339" s="9">
        <f>Source!Y333</f>
        <v>129</v>
      </c>
    </row>
    <row r="340" spans="1:26" hidden="1" x14ac:dyDescent="0.2">
      <c r="C340" s="12" t="str">
        <f>"Объем: "&amp;Source!I333&amp;"=5/"&amp;"100"</f>
        <v>Объем: 0,05=5/100</v>
      </c>
    </row>
    <row r="341" spans="1:26" hidden="1" x14ac:dyDescent="0.2">
      <c r="A341" s="35"/>
      <c r="B341" s="35"/>
      <c r="C341" s="35" t="s">
        <v>706</v>
      </c>
      <c r="D341" s="36"/>
      <c r="E341" s="58"/>
      <c r="F341" s="14">
        <f>Source!AO333</f>
        <v>99.86</v>
      </c>
      <c r="G341" s="15" t="s">
        <v>31</v>
      </c>
      <c r="H341" s="37">
        <f>ROUND(Source!AF333*Source!I333, 0)</f>
        <v>6</v>
      </c>
      <c r="I341" s="15"/>
      <c r="J341" s="15">
        <f>IF(Source!BA333&lt;&gt; 0, Source!BA333, 1)</f>
        <v>34.75</v>
      </c>
      <c r="K341" s="37">
        <f>Source!S333</f>
        <v>200</v>
      </c>
      <c r="L341" s="31"/>
      <c r="R341" s="9">
        <f>H341</f>
        <v>6</v>
      </c>
    </row>
    <row r="342" spans="1:26" hidden="1" x14ac:dyDescent="0.2">
      <c r="A342" s="35"/>
      <c r="B342" s="35"/>
      <c r="C342" s="35" t="s">
        <v>89</v>
      </c>
      <c r="D342" s="36"/>
      <c r="E342" s="58"/>
      <c r="F342" s="14">
        <f>Source!AM333</f>
        <v>307.26</v>
      </c>
      <c r="G342" s="15" t="s">
        <v>31</v>
      </c>
      <c r="H342" s="37">
        <f>ROUND(Source!AD333*Source!I333, 0)</f>
        <v>18</v>
      </c>
      <c r="I342" s="15"/>
      <c r="J342" s="15">
        <f>IF(Source!BB333&lt;&gt; 0, Source!BB333, 1)</f>
        <v>13.36</v>
      </c>
      <c r="K342" s="37">
        <f>Source!Q333</f>
        <v>236</v>
      </c>
      <c r="L342" s="31"/>
    </row>
    <row r="343" spans="1:26" hidden="1" x14ac:dyDescent="0.2">
      <c r="A343" s="35"/>
      <c r="B343" s="35"/>
      <c r="C343" s="35" t="s">
        <v>707</v>
      </c>
      <c r="D343" s="36"/>
      <c r="E343" s="58"/>
      <c r="F343" s="14">
        <f>Source!AN333</f>
        <v>28.58</v>
      </c>
      <c r="G343" s="15" t="s">
        <v>31</v>
      </c>
      <c r="H343" s="38">
        <f>ROUND(Source!AE333*Source!I333, 0)</f>
        <v>2</v>
      </c>
      <c r="I343" s="15"/>
      <c r="J343" s="15">
        <f>IF(Source!BS333&lt;&gt; 0, Source!BS333, 1)</f>
        <v>34.75</v>
      </c>
      <c r="K343" s="38">
        <f>Source!R333</f>
        <v>57</v>
      </c>
      <c r="L343" s="31"/>
      <c r="R343" s="9">
        <f>H343</f>
        <v>2</v>
      </c>
    </row>
    <row r="344" spans="1:26" hidden="1" x14ac:dyDescent="0.2">
      <c r="A344" s="35"/>
      <c r="B344" s="35"/>
      <c r="C344" s="35" t="s">
        <v>709</v>
      </c>
      <c r="D344" s="36" t="s">
        <v>710</v>
      </c>
      <c r="E344" s="58">
        <f>Source!BZ333</f>
        <v>95</v>
      </c>
      <c r="F344" s="18"/>
      <c r="G344" s="15"/>
      <c r="H344" s="37">
        <f>SUM(S339:S346)</f>
        <v>8</v>
      </c>
      <c r="I344" s="15"/>
      <c r="J344" s="39">
        <f>Source!AT333</f>
        <v>95</v>
      </c>
      <c r="K344" s="37">
        <f>SUM(T339:T346)</f>
        <v>244</v>
      </c>
      <c r="L344" s="31"/>
    </row>
    <row r="345" spans="1:26" hidden="1" x14ac:dyDescent="0.2">
      <c r="A345" s="35"/>
      <c r="B345" s="35"/>
      <c r="C345" s="35" t="s">
        <v>711</v>
      </c>
      <c r="D345" s="36" t="s">
        <v>710</v>
      </c>
      <c r="E345" s="58">
        <f>Source!CA333</f>
        <v>50</v>
      </c>
      <c r="F345" s="18"/>
      <c r="G345" s="15"/>
      <c r="H345" s="37">
        <f>SUM(U339:U346)</f>
        <v>4</v>
      </c>
      <c r="I345" s="15"/>
      <c r="J345" s="39">
        <f>Source!AU333</f>
        <v>50</v>
      </c>
      <c r="K345" s="37">
        <f>SUM(V339:V346)</f>
        <v>129</v>
      </c>
      <c r="L345" s="31"/>
    </row>
    <row r="346" spans="1:26" hidden="1" x14ac:dyDescent="0.2">
      <c r="A346" s="40"/>
      <c r="B346" s="40"/>
      <c r="C346" s="40" t="s">
        <v>712</v>
      </c>
      <c r="D346" s="41" t="s">
        <v>713</v>
      </c>
      <c r="E346" s="60">
        <f>Source!AQ333</f>
        <v>12.53</v>
      </c>
      <c r="F346" s="16"/>
      <c r="G346" s="17" t="s">
        <v>31</v>
      </c>
      <c r="H346" s="43"/>
      <c r="I346" s="17"/>
      <c r="J346" s="17"/>
      <c r="K346" s="43"/>
      <c r="L346" s="16">
        <f>Source!U333</f>
        <v>0.72047499999999998</v>
      </c>
    </row>
    <row r="347" spans="1:26" hidden="1" x14ac:dyDescent="0.2">
      <c r="G347" s="75">
        <v>36</v>
      </c>
      <c r="H347" s="75"/>
      <c r="J347" s="75">
        <f>K341+K342+K344+K345</f>
        <v>809</v>
      </c>
      <c r="K347" s="75"/>
      <c r="L347" s="44">
        <f>Source!U333</f>
        <v>0.72047499999999998</v>
      </c>
      <c r="O347" s="11">
        <f>G347</f>
        <v>36</v>
      </c>
      <c r="P347" s="11">
        <f>J347</f>
        <v>809</v>
      </c>
      <c r="Q347" s="10">
        <f>L347</f>
        <v>0.72047499999999998</v>
      </c>
      <c r="W347" s="9">
        <f>IF(Source!BI333&lt;=1,H341+H342+H344+H345, 0)</f>
        <v>36</v>
      </c>
      <c r="X347" s="9">
        <f>IF(Source!BI333=2,H341+H342+H344+H345, 0)</f>
        <v>0</v>
      </c>
      <c r="Y347" s="9">
        <f>IF(Source!BI333=3,H341+H342+H344+H345, 0)</f>
        <v>0</v>
      </c>
      <c r="Z347" s="9">
        <f>IF(Source!BI333=4,H341+H342+H344+H345, 0)</f>
        <v>0</v>
      </c>
    </row>
    <row r="348" spans="1:26" ht="25.5" hidden="1" x14ac:dyDescent="0.2">
      <c r="A348" s="35">
        <v>2</v>
      </c>
      <c r="B348" s="35" t="str">
        <f>Source!F334</f>
        <v>26-01-055-2</v>
      </c>
      <c r="C348" s="35" t="str">
        <f>Source!G334</f>
        <v>Установка пароизоляционного слоя из: пленки полиэтиленовой</v>
      </c>
      <c r="D348" s="36" t="s">
        <v>731</v>
      </c>
      <c r="E348" s="58">
        <f>Source!I334</f>
        <v>0.5</v>
      </c>
      <c r="F348" s="14">
        <f>Source!AL334+Source!AM334+Source!AO334</f>
        <v>1729.03</v>
      </c>
      <c r="G348" s="15"/>
      <c r="H348" s="37"/>
      <c r="I348" s="15" t="str">
        <f>Source!BO334</f>
        <v/>
      </c>
      <c r="J348" s="15"/>
      <c r="K348" s="37"/>
      <c r="L348" s="31"/>
      <c r="S348" s="9">
        <f>ROUND((Source!FX334/100)*((ROUND(Source!AF334*Source!I334, 0)+ROUND(Source!AE334*Source!I334, 0))), 0)</f>
        <v>78</v>
      </c>
      <c r="T348" s="9">
        <f>Source!X334</f>
        <v>2696</v>
      </c>
      <c r="U348" s="9">
        <f>ROUND((Source!FY334/100)*((ROUND(Source!AF334*Source!I334, 0)+ROUND(Source!AE334*Source!I334, 0))), 0)</f>
        <v>55</v>
      </c>
      <c r="V348" s="9">
        <f>Source!Y334</f>
        <v>1887</v>
      </c>
    </row>
    <row r="349" spans="1:26" hidden="1" x14ac:dyDescent="0.2">
      <c r="C349" s="12" t="str">
        <f>"Объем: "&amp;Source!I334&amp;"=50/"&amp;"100"</f>
        <v>Объем: 0,5=50/100</v>
      </c>
    </row>
    <row r="350" spans="1:26" hidden="1" x14ac:dyDescent="0.2">
      <c r="A350" s="35"/>
      <c r="B350" s="35"/>
      <c r="C350" s="35" t="s">
        <v>706</v>
      </c>
      <c r="D350" s="36"/>
      <c r="E350" s="58"/>
      <c r="F350" s="14">
        <f>Source!AO334</f>
        <v>117.32</v>
      </c>
      <c r="G350" s="15" t="s">
        <v>31</v>
      </c>
      <c r="H350" s="37">
        <f>ROUND(Source!AF334*Source!I334, 0)</f>
        <v>78</v>
      </c>
      <c r="I350" s="15"/>
      <c r="J350" s="15">
        <f>IF(Source!BA334&lt;&gt; 0, Source!BA334, 1)</f>
        <v>34.75</v>
      </c>
      <c r="K350" s="37">
        <f>Source!S334</f>
        <v>2696</v>
      </c>
      <c r="L350" s="31"/>
      <c r="R350" s="9">
        <f>H350</f>
        <v>78</v>
      </c>
    </row>
    <row r="351" spans="1:26" hidden="1" x14ac:dyDescent="0.2">
      <c r="A351" s="35"/>
      <c r="B351" s="35"/>
      <c r="C351" s="35" t="s">
        <v>89</v>
      </c>
      <c r="D351" s="36"/>
      <c r="E351" s="58"/>
      <c r="F351" s="14">
        <f>Source!AM334</f>
        <v>15.04</v>
      </c>
      <c r="G351" s="15" t="s">
        <v>31</v>
      </c>
      <c r="H351" s="37">
        <f>ROUND(Source!AD334*Source!I334, 0)</f>
        <v>11</v>
      </c>
      <c r="I351" s="15"/>
      <c r="J351" s="15">
        <f>IF(Source!BB334&lt;&gt; 0, Source!BB334, 1)</f>
        <v>13.36</v>
      </c>
      <c r="K351" s="37">
        <f>Source!Q334</f>
        <v>144</v>
      </c>
      <c r="L351" s="31"/>
    </row>
    <row r="352" spans="1:26" hidden="1" x14ac:dyDescent="0.2">
      <c r="A352" s="35"/>
      <c r="B352" s="35"/>
      <c r="C352" s="35" t="s">
        <v>708</v>
      </c>
      <c r="D352" s="36"/>
      <c r="E352" s="58"/>
      <c r="F352" s="14">
        <f>Source!AL334</f>
        <v>1596.67</v>
      </c>
      <c r="G352" s="15" t="s">
        <v>3</v>
      </c>
      <c r="H352" s="37">
        <f>ROUND(Source!AC334*Source!I334, 0)</f>
        <v>798</v>
      </c>
      <c r="I352" s="15"/>
      <c r="J352" s="15">
        <f>IF(Source!BC334&lt;&gt; 0, Source!BC334, 1)</f>
        <v>8.2899999999999991</v>
      </c>
      <c r="K352" s="37">
        <f>Source!P334</f>
        <v>6618</v>
      </c>
      <c r="L352" s="31"/>
    </row>
    <row r="353" spans="1:26" hidden="1" x14ac:dyDescent="0.2">
      <c r="A353" s="35"/>
      <c r="B353" s="35"/>
      <c r="C353" s="35" t="s">
        <v>709</v>
      </c>
      <c r="D353" s="36" t="s">
        <v>710</v>
      </c>
      <c r="E353" s="58">
        <f>Source!BZ334</f>
        <v>100</v>
      </c>
      <c r="F353" s="18"/>
      <c r="G353" s="15"/>
      <c r="H353" s="37">
        <f>SUM(S348:S355)</f>
        <v>78</v>
      </c>
      <c r="I353" s="15"/>
      <c r="J353" s="39">
        <f>Source!AT334</f>
        <v>100</v>
      </c>
      <c r="K353" s="37">
        <f>SUM(T348:T355)</f>
        <v>2696</v>
      </c>
      <c r="L353" s="31"/>
    </row>
    <row r="354" spans="1:26" hidden="1" x14ac:dyDescent="0.2">
      <c r="A354" s="35"/>
      <c r="B354" s="35"/>
      <c r="C354" s="35" t="s">
        <v>711</v>
      </c>
      <c r="D354" s="36" t="s">
        <v>710</v>
      </c>
      <c r="E354" s="58">
        <f>Source!CA334</f>
        <v>70</v>
      </c>
      <c r="F354" s="18"/>
      <c r="G354" s="15"/>
      <c r="H354" s="37">
        <f>SUM(U348:U355)</f>
        <v>55</v>
      </c>
      <c r="I354" s="15"/>
      <c r="J354" s="39">
        <f>Source!AU334</f>
        <v>70</v>
      </c>
      <c r="K354" s="37">
        <f>SUM(V348:V355)</f>
        <v>1887</v>
      </c>
      <c r="L354" s="31"/>
    </row>
    <row r="355" spans="1:26" hidden="1" x14ac:dyDescent="0.2">
      <c r="A355" s="40"/>
      <c r="B355" s="40"/>
      <c r="C355" s="40" t="s">
        <v>712</v>
      </c>
      <c r="D355" s="41" t="s">
        <v>713</v>
      </c>
      <c r="E355" s="60">
        <f>Source!AQ334</f>
        <v>14.36</v>
      </c>
      <c r="F355" s="16"/>
      <c r="G355" s="17" t="s">
        <v>31</v>
      </c>
      <c r="H355" s="43"/>
      <c r="I355" s="17"/>
      <c r="J355" s="17"/>
      <c r="K355" s="43"/>
      <c r="L355" s="16">
        <f>Source!U334</f>
        <v>9.4955499999999997</v>
      </c>
    </row>
    <row r="356" spans="1:26" hidden="1" x14ac:dyDescent="0.2">
      <c r="G356" s="75">
        <v>1020</v>
      </c>
      <c r="H356" s="75"/>
      <c r="J356" s="75">
        <f>K350+K351+K352+K353+K354</f>
        <v>14041</v>
      </c>
      <c r="K356" s="75"/>
      <c r="L356" s="44">
        <f>Source!U334</f>
        <v>9.4955499999999997</v>
      </c>
      <c r="O356" s="11">
        <f>G356</f>
        <v>1020</v>
      </c>
      <c r="P356" s="11">
        <f>J356</f>
        <v>14041</v>
      </c>
      <c r="Q356" s="10">
        <f>L356</f>
        <v>9.4955499999999997</v>
      </c>
      <c r="W356" s="9">
        <f>IF(Source!BI334&lt;=1,H350+H351+H352+H353+H354, 0)</f>
        <v>1020</v>
      </c>
      <c r="X356" s="9">
        <f>IF(Source!BI334=2,H350+H351+H352+H353+H354, 0)</f>
        <v>0</v>
      </c>
      <c r="Y356" s="9">
        <f>IF(Source!BI334=3,H350+H351+H352+H353+H354, 0)</f>
        <v>0</v>
      </c>
      <c r="Z356" s="9">
        <f>IF(Source!BI334=4,H350+H351+H352+H353+H354, 0)</f>
        <v>0</v>
      </c>
    </row>
    <row r="357" spans="1:26" ht="51" x14ac:dyDescent="0.2">
      <c r="A357" s="35">
        <v>1</v>
      </c>
      <c r="B357" s="35" t="str">
        <f>Source!F335</f>
        <v>31-01-033-01</v>
      </c>
      <c r="C357" s="35" t="str">
        <f>Source!G335</f>
        <v>Устройство железобетонных сборных лотков (01. Устройство выравнивающего слоя из песка.   02. Сборка лотков из железобетонных звеньев.   03. Установка опорных рам и решеток.)</v>
      </c>
      <c r="D357" s="36" t="str">
        <f>Source!H335</f>
        <v>100 м</v>
      </c>
      <c r="E357" s="58">
        <f>Source!I335</f>
        <v>0.95</v>
      </c>
      <c r="F357" s="14">
        <f>Source!AL335+Source!AM335+Source!AO335</f>
        <v>79991.009999999995</v>
      </c>
      <c r="G357" s="15"/>
      <c r="H357" s="37"/>
      <c r="I357" s="15" t="str">
        <f>Source!BO335</f>
        <v/>
      </c>
      <c r="J357" s="15"/>
      <c r="K357" s="37"/>
      <c r="L357" s="31"/>
      <c r="S357" s="9">
        <f>ROUND((Source!FX335/100)*((ROUND(Source!AF335*Source!I335, 0)+ROUND(Source!AE335*Source!I335, 0))), 0)</f>
        <v>1990</v>
      </c>
      <c r="T357" s="9">
        <f>Source!X335</f>
        <v>69129</v>
      </c>
      <c r="U357" s="9">
        <f>ROUND((Source!FY335/100)*((ROUND(Source!AF335*Source!I335, 0)+ROUND(Source!AE335*Source!I335, 0))), 0)</f>
        <v>1471</v>
      </c>
      <c r="V357" s="9">
        <f>Source!Y335</f>
        <v>51095</v>
      </c>
    </row>
    <row r="358" spans="1:26" x14ac:dyDescent="0.2">
      <c r="C358" s="12" t="str">
        <f>"Объем: "&amp;Source!I335&amp;"=76/"&amp;"100"</f>
        <v>Объем: 0,95=76/100</v>
      </c>
    </row>
    <row r="359" spans="1:26" x14ac:dyDescent="0.2">
      <c r="A359" s="35"/>
      <c r="B359" s="35"/>
      <c r="C359" s="35" t="s">
        <v>706</v>
      </c>
      <c r="D359" s="36"/>
      <c r="E359" s="58"/>
      <c r="F359" s="14">
        <f>Source!AO335</f>
        <v>2633.9</v>
      </c>
      <c r="G359" s="15" t="s">
        <v>31</v>
      </c>
      <c r="H359" s="37">
        <f>ROUND(Source!AF335*Source!I335, 0)</f>
        <v>1439</v>
      </c>
      <c r="I359" s="15"/>
      <c r="J359" s="15">
        <f>IF(Source!BA335&lt;&gt; 0, Source!BA335, 1)</f>
        <v>34.75</v>
      </c>
      <c r="K359" s="37">
        <f>Source!S335</f>
        <v>49997</v>
      </c>
      <c r="L359" s="31"/>
      <c r="R359" s="9">
        <f>H359</f>
        <v>1439</v>
      </c>
    </row>
    <row r="360" spans="1:26" x14ac:dyDescent="0.2">
      <c r="A360" s="35"/>
      <c r="B360" s="35"/>
      <c r="C360" s="35" t="s">
        <v>89</v>
      </c>
      <c r="D360" s="36"/>
      <c r="E360" s="58"/>
      <c r="F360" s="14">
        <f>Source!AM335</f>
        <v>4113.29</v>
      </c>
      <c r="G360" s="15" t="s">
        <v>31</v>
      </c>
      <c r="H360" s="37">
        <f>ROUND(Source!AD335*Source!I335, 0)</f>
        <v>2101</v>
      </c>
      <c r="I360" s="15"/>
      <c r="J360" s="15">
        <f>IF(Source!BB335&lt;&gt; 0, Source!BB335, 1)</f>
        <v>13.36</v>
      </c>
      <c r="K360" s="37">
        <f>Source!Q335</f>
        <v>28074</v>
      </c>
      <c r="L360" s="31"/>
    </row>
    <row r="361" spans="1:26" x14ac:dyDescent="0.2">
      <c r="A361" s="35"/>
      <c r="B361" s="35"/>
      <c r="C361" s="35" t="s">
        <v>707</v>
      </c>
      <c r="D361" s="36"/>
      <c r="E361" s="58"/>
      <c r="F361" s="14">
        <f>Source!AN335</f>
        <v>532.88</v>
      </c>
      <c r="G361" s="15" t="s">
        <v>31</v>
      </c>
      <c r="H361" s="38">
        <f>ROUND(Source!AE335*Source!I335, 0)</f>
        <v>291</v>
      </c>
      <c r="I361" s="15"/>
      <c r="J361" s="15">
        <f>IF(Source!BS335&lt;&gt; 0, Source!BS335, 1)</f>
        <v>34.75</v>
      </c>
      <c r="K361" s="38">
        <f>Source!R335</f>
        <v>10115</v>
      </c>
      <c r="L361" s="31"/>
      <c r="R361" s="9">
        <f>H361</f>
        <v>291</v>
      </c>
    </row>
    <row r="362" spans="1:26" x14ac:dyDescent="0.2">
      <c r="A362" s="35"/>
      <c r="B362" s="35"/>
      <c r="C362" s="35" t="s">
        <v>708</v>
      </c>
      <c r="D362" s="36"/>
      <c r="E362" s="58"/>
      <c r="F362" s="14">
        <f>Source!AL335</f>
        <v>73243.820000000007</v>
      </c>
      <c r="G362" s="15" t="s">
        <v>3</v>
      </c>
      <c r="H362" s="37">
        <f>ROUND(Source!AC335*Source!I335, 0)</f>
        <v>69582</v>
      </c>
      <c r="I362" s="15"/>
      <c r="J362" s="15">
        <f>IF(Source!BC335&lt;&gt; 0, Source!BC335, 1)</f>
        <v>8.2899999999999991</v>
      </c>
      <c r="K362" s="37">
        <f>Source!P335</f>
        <v>576832</v>
      </c>
      <c r="L362" s="31"/>
    </row>
    <row r="363" spans="1:26" x14ac:dyDescent="0.2">
      <c r="A363" s="35"/>
      <c r="B363" s="35"/>
      <c r="C363" s="35" t="s">
        <v>709</v>
      </c>
      <c r="D363" s="36" t="s">
        <v>710</v>
      </c>
      <c r="E363" s="58">
        <f>Source!BZ335</f>
        <v>115</v>
      </c>
      <c r="F363" s="18"/>
      <c r="G363" s="15"/>
      <c r="H363" s="37">
        <f>SUM(S357:S367)</f>
        <v>1990</v>
      </c>
      <c r="I363" s="15"/>
      <c r="J363" s="39">
        <f>Source!AT335</f>
        <v>115</v>
      </c>
      <c r="K363" s="37">
        <f>SUM(T357:T367)</f>
        <v>69129</v>
      </c>
      <c r="L363" s="31"/>
    </row>
    <row r="364" spans="1:26" x14ac:dyDescent="0.2">
      <c r="A364" s="35"/>
      <c r="B364" s="35"/>
      <c r="C364" s="35" t="s">
        <v>711</v>
      </c>
      <c r="D364" s="36" t="s">
        <v>710</v>
      </c>
      <c r="E364" s="58">
        <f>Source!CA335</f>
        <v>85</v>
      </c>
      <c r="F364" s="18"/>
      <c r="G364" s="15"/>
      <c r="H364" s="37">
        <f>SUM(U357:U367)</f>
        <v>1471</v>
      </c>
      <c r="I364" s="15"/>
      <c r="J364" s="39">
        <f>Source!AU335</f>
        <v>85</v>
      </c>
      <c r="K364" s="37">
        <f>SUM(V357:V367)</f>
        <v>51095</v>
      </c>
      <c r="L364" s="31"/>
    </row>
    <row r="365" spans="1:26" x14ac:dyDescent="0.2">
      <c r="A365" s="35"/>
      <c r="B365" s="35"/>
      <c r="C365" s="35" t="s">
        <v>712</v>
      </c>
      <c r="D365" s="36" t="s">
        <v>713</v>
      </c>
      <c r="E365" s="58">
        <f>Source!AQ335</f>
        <v>304.85000000000002</v>
      </c>
      <c r="F365" s="14"/>
      <c r="G365" s="15" t="s">
        <v>31</v>
      </c>
      <c r="H365" s="37"/>
      <c r="I365" s="15"/>
      <c r="J365" s="15"/>
      <c r="K365" s="37"/>
      <c r="L365" s="14">
        <f>Source!U335</f>
        <v>383.00591874999992</v>
      </c>
    </row>
    <row r="366" spans="1:26" ht="25.5" hidden="1" x14ac:dyDescent="0.2">
      <c r="A366" s="35"/>
      <c r="B366" s="35" t="str">
        <f>Source!F336</f>
        <v>прайс-лист</v>
      </c>
      <c r="C366" s="35" t="s">
        <v>714</v>
      </c>
      <c r="D366" s="36" t="str">
        <f>Source!H336</f>
        <v>м3</v>
      </c>
      <c r="E366" s="58">
        <f>Source!I336</f>
        <v>24.95</v>
      </c>
      <c r="F366" s="14">
        <f>Source!AL336+Source!AM336+Source!AO336</f>
        <v>833.33</v>
      </c>
      <c r="G366" s="46" t="s">
        <v>3</v>
      </c>
      <c r="H366" s="37">
        <f>ROUND(Source!AC336*Source!I336, 0)+ROUND(Source!AD336*Source!I336, 0)+ROUND(Source!AF336*Source!I336, 0)</f>
        <v>20792</v>
      </c>
      <c r="I366" s="15"/>
      <c r="J366" s="15">
        <f>IF(Source!BC336&lt;&gt; 0, Source!BC336, 1)</f>
        <v>1</v>
      </c>
      <c r="K366" s="37">
        <v>0</v>
      </c>
      <c r="L366" s="31"/>
      <c r="S366" s="9">
        <f>ROUND((Source!FX336/100)*((ROUND(Source!AF336*Source!I336, 0)+ROUND(Source!AE336*Source!I336, 0))), 0)</f>
        <v>0</v>
      </c>
      <c r="T366" s="9">
        <f>Source!X336</f>
        <v>0</v>
      </c>
      <c r="U366" s="9">
        <f>ROUND((Source!FY336/100)*((ROUND(Source!AF336*Source!I336, 0)+ROUND(Source!AE336*Source!I336, 0))), 0)</f>
        <v>0</v>
      </c>
      <c r="V366" s="9">
        <f>Source!Y336</f>
        <v>0</v>
      </c>
      <c r="W366" s="9">
        <f>IF(Source!BI336&lt;=1,H366, 0)</f>
        <v>0</v>
      </c>
      <c r="X366" s="9">
        <f>IF(Source!BI336=2,H366, 0)</f>
        <v>0</v>
      </c>
      <c r="Y366" s="9">
        <f>IF(Source!BI336=3,H366, 0)</f>
        <v>0</v>
      </c>
      <c r="Z366" s="9">
        <f>IF(Source!BI336=4,H366, 0)</f>
        <v>20792</v>
      </c>
    </row>
    <row r="367" spans="1:26" ht="25.5" x14ac:dyDescent="0.2">
      <c r="A367" s="40"/>
      <c r="B367" s="40" t="str">
        <f>Source!F337</f>
        <v>прайс-лист</v>
      </c>
      <c r="C367" s="40" t="s">
        <v>735</v>
      </c>
      <c r="D367" s="41" t="str">
        <f>Source!H337</f>
        <v>ШТ</v>
      </c>
      <c r="E367" s="60">
        <f>Source!I337</f>
        <v>95</v>
      </c>
      <c r="F367" s="16">
        <v>13132</v>
      </c>
      <c r="G367" s="47" t="s">
        <v>3</v>
      </c>
      <c r="H367" s="43">
        <f>E367*F367</f>
        <v>1247540</v>
      </c>
      <c r="I367" s="17"/>
      <c r="J367" s="17">
        <f>IF(Source!BC337&lt;&gt; 0, Source!BC337, 1)</f>
        <v>1</v>
      </c>
      <c r="K367" s="43">
        <f>H367</f>
        <v>1247540</v>
      </c>
      <c r="L367" s="42"/>
      <c r="S367" s="9">
        <f>ROUND((Source!FX337/100)*((ROUND(Source!AF337*Source!I337, 0)+ROUND(Source!AE337*Source!I337, 0))), 0)</f>
        <v>0</v>
      </c>
      <c r="T367" s="9">
        <f>Source!X337</f>
        <v>0</v>
      </c>
      <c r="U367" s="9">
        <f>ROUND((Source!FY337/100)*((ROUND(Source!AF337*Source!I337, 0)+ROUND(Source!AE337*Source!I337, 0))), 0)</f>
        <v>0</v>
      </c>
      <c r="V367" s="9">
        <f>Source!Y337</f>
        <v>0</v>
      </c>
      <c r="W367" s="9">
        <f>IF(Source!BI337&lt;=1,H367, 0)</f>
        <v>0</v>
      </c>
      <c r="X367" s="9">
        <f>IF(Source!BI337=2,H367, 0)</f>
        <v>0</v>
      </c>
      <c r="Y367" s="9">
        <f>IF(Source!BI337=3,H367, 0)</f>
        <v>0</v>
      </c>
      <c r="Z367" s="9">
        <f>IF(Source!BI337=4,H367, 0)</f>
        <v>1247540</v>
      </c>
    </row>
    <row r="368" spans="1:26" x14ac:dyDescent="0.2">
      <c r="G368" s="75">
        <v>651895</v>
      </c>
      <c r="H368" s="75"/>
      <c r="J368" s="75">
        <f>K359+K360+K362+K363+K364+K366+K367</f>
        <v>2022667</v>
      </c>
      <c r="K368" s="75"/>
      <c r="L368" s="44">
        <f>Source!U335</f>
        <v>383.00591874999992</v>
      </c>
      <c r="O368" s="11">
        <f>G368</f>
        <v>651895</v>
      </c>
      <c r="P368" s="11">
        <f>J368</f>
        <v>2022667</v>
      </c>
      <c r="Q368" s="10">
        <f>L368</f>
        <v>383.00591874999992</v>
      </c>
      <c r="W368" s="9">
        <f>IF(Source!BI335&lt;=1,H359+H360+H362+H363+H364, 0)</f>
        <v>76583</v>
      </c>
      <c r="X368" s="9">
        <f>IF(Source!BI335=2,H359+H360+H362+H363+H364, 0)</f>
        <v>0</v>
      </c>
      <c r="Y368" s="9">
        <f>IF(Source!BI335=3,H359+H360+H362+H363+H364, 0)</f>
        <v>0</v>
      </c>
      <c r="Z368" s="9">
        <f>IF(Source!BI335=4,H359+H360+H362+H363+H364, 0)</f>
        <v>0</v>
      </c>
    </row>
    <row r="369" spans="1:32" x14ac:dyDescent="0.2">
      <c r="M369" s="9">
        <f>J370/76</f>
        <v>26614.03947368421</v>
      </c>
    </row>
    <row r="370" spans="1:32" x14ac:dyDescent="0.2">
      <c r="A370" s="73" t="str">
        <f>CONCATENATE("Итого по подразделу: ",IF(Source!G339&lt;&gt;"Новый подраздел", Source!G339, ""))</f>
        <v>Итого по подразделу: Устройство бетонного лотка</v>
      </c>
      <c r="B370" s="73"/>
      <c r="C370" s="73"/>
      <c r="D370" s="73"/>
      <c r="E370" s="73"/>
      <c r="F370" s="73"/>
      <c r="G370" s="74">
        <v>652951</v>
      </c>
      <c r="H370" s="74"/>
      <c r="I370" s="45"/>
      <c r="J370" s="74">
        <f>J368</f>
        <v>2022667</v>
      </c>
      <c r="K370" s="74"/>
      <c r="L370" s="44">
        <f>SUM(Q338:Q369)</f>
        <v>393.22194374999992</v>
      </c>
      <c r="AF370" s="49" t="str">
        <f>CONCATENATE("Итого по подразделу: ",IF(Source!G339&lt;&gt;"Новый подраздел", Source!G339, ""))</f>
        <v>Итого по подразделу: Устройство бетонного лотка</v>
      </c>
    </row>
    <row r="374" spans="1:32" x14ac:dyDescent="0.2">
      <c r="A374" s="76" t="str">
        <f>CONCATENATE("Подраздел: ",IF(Source!G369&lt;&gt;"Новый подраздел", Source!G369, ""))</f>
        <v>Подраздел: Устройство асфальтированного покрытия</v>
      </c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</row>
    <row r="375" spans="1:32" ht="38.25" x14ac:dyDescent="0.2">
      <c r="A375" s="35">
        <v>1</v>
      </c>
      <c r="B375" s="35" t="str">
        <f>Source!F373</f>
        <v>01-01-018-2</v>
      </c>
      <c r="C375" s="35" t="str">
        <f>Source!G373</f>
        <v>Разработка грунта с погрузкой на автомобили-самосвалы в котлованах  экскаваторами с ковшом вместимостью 0,4 (0,35-0,45) м3, группа грунтов: 2</v>
      </c>
      <c r="D375" s="36" t="str">
        <f>Source!H373</f>
        <v>1000 м3 грунта</v>
      </c>
      <c r="E375" s="58">
        <f>Source!I373</f>
        <v>0.309</v>
      </c>
      <c r="F375" s="14">
        <f>Source!AL373+Source!AM373+Source!AO373</f>
        <v>5449</v>
      </c>
      <c r="G375" s="15"/>
      <c r="H375" s="37"/>
      <c r="I375" s="15" t="str">
        <f>Source!BO373</f>
        <v/>
      </c>
      <c r="J375" s="15"/>
      <c r="K375" s="37"/>
      <c r="L375" s="31"/>
      <c r="S375" s="9">
        <f>ROUND((Source!FX373/100)*((ROUND(Source!AF373*Source!I373, 0)+ROUND(Source!AE373*Source!I373, 0))), 0)</f>
        <v>229</v>
      </c>
      <c r="T375" s="9">
        <f>Source!X373</f>
        <v>7949</v>
      </c>
      <c r="U375" s="9">
        <f>ROUND((Source!FY373/100)*((ROUND(Source!AF373*Source!I373, 0)+ROUND(Source!AE373*Source!I373, 0))), 0)</f>
        <v>121</v>
      </c>
      <c r="V375" s="9">
        <f>Source!Y373</f>
        <v>4184</v>
      </c>
    </row>
    <row r="376" spans="1:32" x14ac:dyDescent="0.2">
      <c r="C376" s="12" t="str">
        <f>"Объем: "&amp;Source!I373&amp;"=309/"&amp;"1000"</f>
        <v>Объем: 0,309=309/1000</v>
      </c>
    </row>
    <row r="377" spans="1:32" x14ac:dyDescent="0.2">
      <c r="A377" s="35"/>
      <c r="B377" s="35"/>
      <c r="C377" s="35" t="s">
        <v>89</v>
      </c>
      <c r="D377" s="36"/>
      <c r="E377" s="58"/>
      <c r="F377" s="14">
        <f>Source!AM373</f>
        <v>5449</v>
      </c>
      <c r="G377" s="15" t="s">
        <v>31</v>
      </c>
      <c r="H377" s="37">
        <f>ROUND(Source!AD373*Source!I373, 0)</f>
        <v>1936</v>
      </c>
      <c r="I377" s="15"/>
      <c r="J377" s="15">
        <f>IF(Source!BB373&lt;&gt; 0, Source!BB373, 1)</f>
        <v>13.36</v>
      </c>
      <c r="K377" s="37">
        <f>Source!Q373</f>
        <v>25869</v>
      </c>
      <c r="L377" s="31"/>
    </row>
    <row r="378" spans="1:32" x14ac:dyDescent="0.2">
      <c r="A378" s="35"/>
      <c r="B378" s="35"/>
      <c r="C378" s="35" t="s">
        <v>707</v>
      </c>
      <c r="D378" s="36"/>
      <c r="E378" s="58"/>
      <c r="F378" s="14">
        <f>Source!AN373</f>
        <v>677.57</v>
      </c>
      <c r="G378" s="15" t="s">
        <v>31</v>
      </c>
      <c r="H378" s="38">
        <f>ROUND(Source!AE373*Source!I373, 0)</f>
        <v>241</v>
      </c>
      <c r="I378" s="15"/>
      <c r="J378" s="15">
        <f>IF(Source!BS373&lt;&gt; 0, Source!BS373, 1)</f>
        <v>34.75</v>
      </c>
      <c r="K378" s="38">
        <f>Source!R373</f>
        <v>8367</v>
      </c>
      <c r="L378" s="31"/>
      <c r="R378" s="9">
        <f>H378</f>
        <v>241</v>
      </c>
    </row>
    <row r="379" spans="1:32" x14ac:dyDescent="0.2">
      <c r="A379" s="35"/>
      <c r="B379" s="35"/>
      <c r="C379" s="35" t="s">
        <v>709</v>
      </c>
      <c r="D379" s="36" t="s">
        <v>710</v>
      </c>
      <c r="E379" s="58">
        <f>Source!BZ373</f>
        <v>95</v>
      </c>
      <c r="F379" s="18"/>
      <c r="G379" s="15"/>
      <c r="H379" s="37">
        <f>SUM(S375:S380)</f>
        <v>229</v>
      </c>
      <c r="I379" s="15"/>
      <c r="J379" s="39">
        <f>Source!AT373</f>
        <v>95</v>
      </c>
      <c r="K379" s="37">
        <f>SUM(T375:T380)</f>
        <v>7949</v>
      </c>
      <c r="L379" s="31"/>
    </row>
    <row r="380" spans="1:32" x14ac:dyDescent="0.2">
      <c r="A380" s="40"/>
      <c r="B380" s="40"/>
      <c r="C380" s="40" t="s">
        <v>711</v>
      </c>
      <c r="D380" s="41" t="s">
        <v>710</v>
      </c>
      <c r="E380" s="60">
        <f>Source!CA373</f>
        <v>50</v>
      </c>
      <c r="F380" s="19"/>
      <c r="G380" s="17"/>
      <c r="H380" s="43">
        <f>SUM(U375:U380)</f>
        <v>121</v>
      </c>
      <c r="I380" s="17"/>
      <c r="J380" s="50">
        <f>Source!AU373</f>
        <v>50</v>
      </c>
      <c r="K380" s="43">
        <f>SUM(V375:V380)</f>
        <v>4184</v>
      </c>
      <c r="L380" s="42"/>
    </row>
    <row r="381" spans="1:32" x14ac:dyDescent="0.2">
      <c r="G381" s="75">
        <v>2286</v>
      </c>
      <c r="H381" s="75"/>
      <c r="J381" s="75">
        <f>K377+K379+K380</f>
        <v>38002</v>
      </c>
      <c r="K381" s="75"/>
      <c r="L381" s="44">
        <f>Source!U373</f>
        <v>0</v>
      </c>
      <c r="O381" s="11">
        <f>G381</f>
        <v>2286</v>
      </c>
      <c r="P381" s="11">
        <f>J381</f>
        <v>38002</v>
      </c>
      <c r="Q381" s="10">
        <f>L381</f>
        <v>0</v>
      </c>
      <c r="W381" s="9">
        <f>IF(Source!BI373&lt;=1,H377+H379+H380, 0)</f>
        <v>2286</v>
      </c>
      <c r="X381" s="9">
        <f>IF(Source!BI373=2,H377+H379+H380, 0)</f>
        <v>0</v>
      </c>
      <c r="Y381" s="9">
        <f>IF(Source!BI373=3,H377+H379+H380, 0)</f>
        <v>0</v>
      </c>
      <c r="Z381" s="9">
        <f>IF(Source!BI373=4,H377+H379+H380, 0)</f>
        <v>0</v>
      </c>
    </row>
    <row r="382" spans="1:32" ht="25.5" x14ac:dyDescent="0.2">
      <c r="A382" s="35">
        <v>2</v>
      </c>
      <c r="B382" s="35" t="str">
        <f>Source!F374</f>
        <v>т03-21-001-10</v>
      </c>
      <c r="C382" s="35" t="str">
        <f>Source!G374</f>
        <v>Перевозка грунта автомобилями-самосвалами грузоподъемностью 10 т  на расстояние до 10 км</v>
      </c>
      <c r="D382" s="36" t="str">
        <f>Source!H374</f>
        <v>1 Т ГРУЗА</v>
      </c>
      <c r="E382" s="58">
        <f>Source!I374</f>
        <v>556</v>
      </c>
      <c r="F382" s="14">
        <f>Source!AL374+Source!AM374+Source!AO374</f>
        <v>8.0399999999999991</v>
      </c>
      <c r="G382" s="15"/>
      <c r="H382" s="37"/>
      <c r="I382" s="15" t="str">
        <f>Source!BO374</f>
        <v/>
      </c>
      <c r="J382" s="15"/>
      <c r="K382" s="37"/>
      <c r="L382" s="31"/>
      <c r="S382" s="9">
        <f>ROUND((Source!FX374/100)*((ROUND(Source!AF374*Source!I374, 0)+ROUND(Source!AE374*Source!I374, 0))), 0)</f>
        <v>0</v>
      </c>
      <c r="T382" s="9">
        <f>Source!X374</f>
        <v>0</v>
      </c>
      <c r="U382" s="9">
        <f>ROUND((Source!FY374/100)*((ROUND(Source!AF374*Source!I374, 0)+ROUND(Source!AE374*Source!I374, 0))), 0)</f>
        <v>0</v>
      </c>
      <c r="V382" s="9">
        <f>Source!Y374</f>
        <v>0</v>
      </c>
    </row>
    <row r="383" spans="1:32" x14ac:dyDescent="0.2">
      <c r="A383" s="40"/>
      <c r="B383" s="40"/>
      <c r="C383" s="40" t="s">
        <v>89</v>
      </c>
      <c r="D383" s="41"/>
      <c r="E383" s="60"/>
      <c r="F383" s="16">
        <f>Source!AM374</f>
        <v>8.0399999999999991</v>
      </c>
      <c r="G383" s="17" t="s">
        <v>3</v>
      </c>
      <c r="H383" s="43">
        <f>ROUND(Source!AD374*Source!I374, 0)</f>
        <v>4470</v>
      </c>
      <c r="I383" s="17"/>
      <c r="J383" s="17">
        <f>IF(Source!BB374&lt;&gt; 0, Source!BB374, 1)</f>
        <v>13.36</v>
      </c>
      <c r="K383" s="43">
        <f>Source!Q374</f>
        <v>59722</v>
      </c>
      <c r="L383" s="42"/>
    </row>
    <row r="384" spans="1:32" x14ac:dyDescent="0.2">
      <c r="G384" s="75">
        <v>4470</v>
      </c>
      <c r="H384" s="75"/>
      <c r="J384" s="75">
        <f>K383</f>
        <v>59722</v>
      </c>
      <c r="K384" s="75"/>
      <c r="L384" s="44">
        <f>Source!U374</f>
        <v>0</v>
      </c>
      <c r="O384" s="11">
        <f>G384</f>
        <v>4470</v>
      </c>
      <c r="P384" s="11">
        <f>J384</f>
        <v>59722</v>
      </c>
      <c r="Q384" s="10">
        <f>L384</f>
        <v>0</v>
      </c>
      <c r="W384" s="9">
        <f>IF(Source!BI374&lt;=1,H383, 0)</f>
        <v>4470</v>
      </c>
      <c r="X384" s="9">
        <f>IF(Source!BI374=2,H383, 0)</f>
        <v>0</v>
      </c>
      <c r="Y384" s="9">
        <f>IF(Source!BI374=3,H383, 0)</f>
        <v>0</v>
      </c>
      <c r="Z384" s="9">
        <f>IF(Source!BI374=4,H383, 0)</f>
        <v>0</v>
      </c>
    </row>
    <row r="385" spans="1:26" ht="25.5" x14ac:dyDescent="0.2">
      <c r="A385" s="35">
        <v>3</v>
      </c>
      <c r="B385" s="35" t="str">
        <f>Source!F375</f>
        <v>27-04-001-01</v>
      </c>
      <c r="C385" s="35" t="str">
        <f>Source!G375</f>
        <v>Устройство подстилающих и выравнивающих слоев оснований из песка</v>
      </c>
      <c r="D385" s="36" t="str">
        <f>Source!H375</f>
        <v>100 м3</v>
      </c>
      <c r="E385" s="58">
        <f>Source!I375</f>
        <v>4.17</v>
      </c>
      <c r="F385" s="14">
        <f>Source!AL375+Source!AM375+Source!AO375</f>
        <v>2281.9899999999998</v>
      </c>
      <c r="G385" s="15"/>
      <c r="H385" s="37"/>
      <c r="I385" s="15" t="str">
        <f>Source!BO375</f>
        <v/>
      </c>
      <c r="J385" s="15"/>
      <c r="K385" s="37"/>
      <c r="L385" s="31"/>
      <c r="S385" s="9">
        <f>ROUND((Source!FX375/100)*((ROUND(Source!AF375*Source!I375, 0)+ROUND(Source!AE375*Source!I375, 0))), 0)</f>
        <v>2069</v>
      </c>
      <c r="T385" s="9">
        <f>Source!X375</f>
        <v>71856</v>
      </c>
      <c r="U385" s="9">
        <f>ROUND((Source!FY375/100)*((ROUND(Source!AF375*Source!I375, 0)+ROUND(Source!AE375*Source!I375, 0))), 0)</f>
        <v>1384</v>
      </c>
      <c r="V385" s="9">
        <f>Source!Y375</f>
        <v>48073</v>
      </c>
    </row>
    <row r="386" spans="1:26" x14ac:dyDescent="0.2">
      <c r="C386" s="12" t="str">
        <f>"Объем: "&amp;Source!I375&amp;"=115/"&amp;"100"</f>
        <v>Объем: 4,17=115/100</v>
      </c>
    </row>
    <row r="387" spans="1:26" x14ac:dyDescent="0.2">
      <c r="A387" s="35"/>
      <c r="B387" s="35"/>
      <c r="C387" s="35" t="s">
        <v>706</v>
      </c>
      <c r="D387" s="36"/>
      <c r="E387" s="58"/>
      <c r="F387" s="14">
        <f>Source!AO375</f>
        <v>126.07</v>
      </c>
      <c r="G387" s="15" t="s">
        <v>31</v>
      </c>
      <c r="H387" s="37">
        <f>ROUND(Source!AF375*Source!I375, 0)</f>
        <v>605</v>
      </c>
      <c r="I387" s="15"/>
      <c r="J387" s="15">
        <f>IF(Source!BA375&lt;&gt; 0, Source!BA375, 1)</f>
        <v>34.75</v>
      </c>
      <c r="K387" s="37">
        <f>Source!S375</f>
        <v>21009</v>
      </c>
      <c r="L387" s="31"/>
      <c r="R387" s="9">
        <f>H387</f>
        <v>605</v>
      </c>
    </row>
    <row r="388" spans="1:26" x14ac:dyDescent="0.2">
      <c r="A388" s="35"/>
      <c r="B388" s="35"/>
      <c r="C388" s="35" t="s">
        <v>89</v>
      </c>
      <c r="D388" s="36"/>
      <c r="E388" s="58"/>
      <c r="F388" s="14">
        <f>Source!AM375</f>
        <v>2143.7199999999998</v>
      </c>
      <c r="G388" s="15" t="s">
        <v>31</v>
      </c>
      <c r="H388" s="37">
        <f>ROUND(Source!AD375*Source!I375, 0)</f>
        <v>10280</v>
      </c>
      <c r="I388" s="15"/>
      <c r="J388" s="15">
        <f>IF(Source!BB375&lt;&gt; 0, Source!BB375, 1)</f>
        <v>13.36</v>
      </c>
      <c r="K388" s="37">
        <f>Source!Q375</f>
        <v>137344</v>
      </c>
      <c r="L388" s="31"/>
    </row>
    <row r="389" spans="1:26" x14ac:dyDescent="0.2">
      <c r="A389" s="35"/>
      <c r="B389" s="35"/>
      <c r="C389" s="35" t="s">
        <v>707</v>
      </c>
      <c r="D389" s="36"/>
      <c r="E389" s="58"/>
      <c r="F389" s="14">
        <f>Source!AN375</f>
        <v>177.59</v>
      </c>
      <c r="G389" s="15" t="s">
        <v>31</v>
      </c>
      <c r="H389" s="38">
        <f>ROUND(Source!AE375*Source!I375, 0)</f>
        <v>852</v>
      </c>
      <c r="I389" s="15"/>
      <c r="J389" s="15">
        <f>IF(Source!BS375&lt;&gt; 0, Source!BS375, 1)</f>
        <v>34.75</v>
      </c>
      <c r="K389" s="38">
        <f>Source!R375</f>
        <v>29594</v>
      </c>
      <c r="L389" s="31"/>
      <c r="R389" s="9">
        <f>H389</f>
        <v>852</v>
      </c>
    </row>
    <row r="390" spans="1:26" x14ac:dyDescent="0.2">
      <c r="A390" s="35"/>
      <c r="B390" s="35"/>
      <c r="C390" s="35" t="s">
        <v>708</v>
      </c>
      <c r="D390" s="36"/>
      <c r="E390" s="58"/>
      <c r="F390" s="14">
        <f>Source!AL375</f>
        <v>12.2</v>
      </c>
      <c r="G390" s="15" t="s">
        <v>3</v>
      </c>
      <c r="H390" s="37">
        <f>ROUND(Source!AC375*Source!I375, 0)</f>
        <v>51</v>
      </c>
      <c r="I390" s="15"/>
      <c r="J390" s="15">
        <f>IF(Source!BC375&lt;&gt; 0, Source!BC375, 1)</f>
        <v>8.2899999999999991</v>
      </c>
      <c r="K390" s="37">
        <f>Source!P375</f>
        <v>422</v>
      </c>
      <c r="L390" s="31"/>
    </row>
    <row r="391" spans="1:26" x14ac:dyDescent="0.2">
      <c r="A391" s="35"/>
      <c r="B391" s="35"/>
      <c r="C391" s="35" t="s">
        <v>709</v>
      </c>
      <c r="D391" s="36" t="s">
        <v>710</v>
      </c>
      <c r="E391" s="58">
        <f>Source!BZ375</f>
        <v>142</v>
      </c>
      <c r="F391" s="18"/>
      <c r="G391" s="15"/>
      <c r="H391" s="37">
        <f>SUM(S385:S394)</f>
        <v>2069</v>
      </c>
      <c r="I391" s="15"/>
      <c r="J391" s="39">
        <f>Source!AT375</f>
        <v>142</v>
      </c>
      <c r="K391" s="37">
        <f>SUM(T385:T394)</f>
        <v>71856</v>
      </c>
      <c r="L391" s="31"/>
    </row>
    <row r="392" spans="1:26" x14ac:dyDescent="0.2">
      <c r="A392" s="35"/>
      <c r="B392" s="35"/>
      <c r="C392" s="35" t="s">
        <v>711</v>
      </c>
      <c r="D392" s="36" t="s">
        <v>710</v>
      </c>
      <c r="E392" s="58">
        <f>Source!CA375</f>
        <v>95</v>
      </c>
      <c r="F392" s="18"/>
      <c r="G392" s="15"/>
      <c r="H392" s="37">
        <f>SUM(U385:U394)</f>
        <v>1384</v>
      </c>
      <c r="I392" s="15"/>
      <c r="J392" s="39">
        <f>Source!AU375</f>
        <v>95</v>
      </c>
      <c r="K392" s="37">
        <f>SUM(V385:V394)</f>
        <v>48073</v>
      </c>
      <c r="L392" s="31"/>
    </row>
    <row r="393" spans="1:26" x14ac:dyDescent="0.2">
      <c r="A393" s="35"/>
      <c r="B393" s="35"/>
      <c r="C393" s="35" t="s">
        <v>712</v>
      </c>
      <c r="D393" s="36" t="s">
        <v>713</v>
      </c>
      <c r="E393" s="58">
        <f>Source!AQ375</f>
        <v>15.72</v>
      </c>
      <c r="F393" s="14"/>
      <c r="G393" s="15" t="s">
        <v>31</v>
      </c>
      <c r="H393" s="37"/>
      <c r="I393" s="15"/>
      <c r="J393" s="15"/>
      <c r="K393" s="37"/>
      <c r="L393" s="14">
        <f>Source!U375</f>
        <v>86.693048999999988</v>
      </c>
    </row>
    <row r="394" spans="1:26" ht="25.5" x14ac:dyDescent="0.2">
      <c r="A394" s="40" t="s">
        <v>136</v>
      </c>
      <c r="B394" s="40" t="str">
        <f>Source!F376</f>
        <v>прайс-лист</v>
      </c>
      <c r="C394" s="40" t="s">
        <v>714</v>
      </c>
      <c r="D394" s="41" t="str">
        <f>Source!H376</f>
        <v>м3</v>
      </c>
      <c r="E394" s="60">
        <f>Source!I376</f>
        <v>458.70000000000005</v>
      </c>
      <c r="F394" s="16">
        <f>Source!AL376+Source!AM376+Source!AO376</f>
        <v>833.33</v>
      </c>
      <c r="G394" s="47" t="s">
        <v>3</v>
      </c>
      <c r="H394" s="43">
        <f>ROUND(Source!AC376*Source!I376, 0)+ROUND(Source!AD376*Source!I376, 0)+ROUND(Source!AF376*Source!I376, 0)</f>
        <v>382248</v>
      </c>
      <c r="I394" s="17"/>
      <c r="J394" s="17">
        <f>IF(Source!BC376&lt;&gt; 0, Source!BC376, 1)</f>
        <v>1</v>
      </c>
      <c r="K394" s="43">
        <f>Source!O376</f>
        <v>382248</v>
      </c>
      <c r="L394" s="42"/>
      <c r="S394" s="9">
        <f>ROUND((Source!FX376/100)*((ROUND(Source!AF376*Source!I376, 0)+ROUND(Source!AE376*Source!I376, 0))), 0)</f>
        <v>0</v>
      </c>
      <c r="T394" s="9">
        <f>Source!X376</f>
        <v>0</v>
      </c>
      <c r="U394" s="9">
        <f>ROUND((Source!FY376/100)*((ROUND(Source!AF376*Source!I376, 0)+ROUND(Source!AE376*Source!I376, 0))), 0)</f>
        <v>0</v>
      </c>
      <c r="V394" s="9">
        <f>Source!Y376</f>
        <v>0</v>
      </c>
      <c r="W394" s="9">
        <f>IF(Source!BI376&lt;=1,H394, 0)</f>
        <v>0</v>
      </c>
      <c r="X394" s="9">
        <f>IF(Source!BI376=2,H394, 0)</f>
        <v>0</v>
      </c>
      <c r="Y394" s="9">
        <f>IF(Source!BI376=3,H394, 0)</f>
        <v>0</v>
      </c>
      <c r="Z394" s="9">
        <f>IF(Source!BI376=4,H394, 0)</f>
        <v>382248</v>
      </c>
    </row>
    <row r="395" spans="1:26" x14ac:dyDescent="0.2">
      <c r="G395" s="75">
        <v>110318</v>
      </c>
      <c r="H395" s="75"/>
      <c r="J395" s="75">
        <f>K387+K388+K390+K391+K392+SUM(K394:K394)</f>
        <v>660952</v>
      </c>
      <c r="K395" s="75"/>
      <c r="L395" s="44">
        <f>Source!U375</f>
        <v>86.693048999999988</v>
      </c>
      <c r="O395" s="11">
        <f>G395</f>
        <v>110318</v>
      </c>
      <c r="P395" s="11">
        <f>J395</f>
        <v>660952</v>
      </c>
      <c r="Q395" s="10">
        <f>L395</f>
        <v>86.693048999999988</v>
      </c>
      <c r="W395" s="9">
        <f>IF(Source!BI375&lt;=1,H387+H388+H390+H391+H392, 0)</f>
        <v>14389</v>
      </c>
      <c r="X395" s="9">
        <f>IF(Source!BI375=2,H387+H388+H390+H391+H392, 0)</f>
        <v>0</v>
      </c>
      <c r="Y395" s="9">
        <f>IF(Source!BI375=3,H387+H388+H390+H391+H392, 0)</f>
        <v>0</v>
      </c>
      <c r="Z395" s="9">
        <f>IF(Source!BI375=4,H387+H388+H390+H391+H392, 0)</f>
        <v>0</v>
      </c>
    </row>
    <row r="396" spans="1:26" ht="25.5" x14ac:dyDescent="0.2">
      <c r="A396" s="35">
        <v>4</v>
      </c>
      <c r="B396" s="35" t="str">
        <f>Source!F377</f>
        <v>27-04-001-04</v>
      </c>
      <c r="C396" s="35" t="str">
        <f>Source!G377</f>
        <v>Устройство подстилающих и выравнивающих слоев оснований из щебня</v>
      </c>
      <c r="D396" s="36" t="str">
        <f>Source!H377</f>
        <v>100 м3</v>
      </c>
      <c r="E396" s="58">
        <f>Source!I377</f>
        <v>5.0060000000000002</v>
      </c>
      <c r="F396" s="14">
        <f>Source!AL377+Source!AM377+Source!AO377</f>
        <v>3551.6299999999997</v>
      </c>
      <c r="G396" s="15"/>
      <c r="H396" s="37"/>
      <c r="I396" s="15" t="str">
        <f>Source!BO377</f>
        <v/>
      </c>
      <c r="J396" s="15"/>
      <c r="K396" s="37"/>
      <c r="L396" s="31"/>
      <c r="S396" s="9">
        <f>ROUND((Source!FX377/100)*((ROUND(Source!AF377*Source!I377, 0)+ROUND(Source!AE377*Source!I377, 0))), 0)</f>
        <v>3878</v>
      </c>
      <c r="T396" s="9">
        <f>Source!X377</f>
        <v>134751</v>
      </c>
      <c r="U396" s="9">
        <f>ROUND((Source!FY377/100)*((ROUND(Source!AF377*Source!I377, 0)+ROUND(Source!AE377*Source!I377, 0))), 0)</f>
        <v>2594</v>
      </c>
      <c r="V396" s="9">
        <f>Source!Y377</f>
        <v>90150</v>
      </c>
    </row>
    <row r="397" spans="1:26" x14ac:dyDescent="0.2">
      <c r="C397" s="12" t="str">
        <f>"Объем: "&amp;Source!I377&amp;"=135/"&amp;"100"</f>
        <v>Объем: 5,006=135/100</v>
      </c>
    </row>
    <row r="398" spans="1:26" x14ac:dyDescent="0.2">
      <c r="A398" s="35"/>
      <c r="B398" s="35"/>
      <c r="C398" s="35" t="s">
        <v>706</v>
      </c>
      <c r="D398" s="36"/>
      <c r="E398" s="58"/>
      <c r="F398" s="14">
        <f>Source!AO377</f>
        <v>195.7</v>
      </c>
      <c r="G398" s="15"/>
      <c r="H398" s="37">
        <f>ROUND(Source!AF377*Source!I377, 0)</f>
        <v>1127</v>
      </c>
      <c r="I398" s="15"/>
      <c r="J398" s="15">
        <f>IF(Source!BA377&lt;&gt; 0, Source!BA377, 1)</f>
        <v>34.75</v>
      </c>
      <c r="K398" s="37">
        <f>Source!S377</f>
        <v>39150</v>
      </c>
      <c r="L398" s="31"/>
      <c r="R398" s="9">
        <f>H398</f>
        <v>1127</v>
      </c>
    </row>
    <row r="399" spans="1:26" x14ac:dyDescent="0.2">
      <c r="A399" s="35"/>
      <c r="B399" s="35"/>
      <c r="C399" s="35" t="s">
        <v>89</v>
      </c>
      <c r="D399" s="36"/>
      <c r="E399" s="58"/>
      <c r="F399" s="14">
        <f>Source!AM377</f>
        <v>3338.85</v>
      </c>
      <c r="G399" s="15" t="s">
        <v>31</v>
      </c>
      <c r="H399" s="37">
        <f>ROUND(Source!AD377*Source!I377, 0)</f>
        <v>19221</v>
      </c>
      <c r="I399" s="15"/>
      <c r="J399" s="15">
        <f>IF(Source!BB377&lt;&gt; 0, Source!BB377, 1)</f>
        <v>13.36</v>
      </c>
      <c r="K399" s="37">
        <f>Source!Q377</f>
        <v>256798</v>
      </c>
      <c r="L399" s="31"/>
    </row>
    <row r="400" spans="1:26" x14ac:dyDescent="0.2">
      <c r="A400" s="35"/>
      <c r="B400" s="35"/>
      <c r="C400" s="35" t="s">
        <v>707</v>
      </c>
      <c r="D400" s="36"/>
      <c r="E400" s="58"/>
      <c r="F400" s="14">
        <f>Source!AN377</f>
        <v>278.64999999999998</v>
      </c>
      <c r="G400" s="15" t="s">
        <v>31</v>
      </c>
      <c r="H400" s="38">
        <f>ROUND(Source!AE377*Source!I377, 0)</f>
        <v>1604</v>
      </c>
      <c r="I400" s="15"/>
      <c r="J400" s="15">
        <f>IF(Source!BS377&lt;&gt; 0, Source!BS377, 1)</f>
        <v>34.75</v>
      </c>
      <c r="K400" s="38">
        <f>Source!R377</f>
        <v>55745</v>
      </c>
      <c r="L400" s="31"/>
      <c r="R400" s="9">
        <f>H400</f>
        <v>1604</v>
      </c>
    </row>
    <row r="401" spans="1:26" x14ac:dyDescent="0.2">
      <c r="A401" s="35"/>
      <c r="B401" s="35"/>
      <c r="C401" s="35" t="s">
        <v>708</v>
      </c>
      <c r="D401" s="36"/>
      <c r="E401" s="58"/>
      <c r="F401" s="14">
        <f>Source!AL377</f>
        <v>17.079999999999998</v>
      </c>
      <c r="G401" s="15" t="s">
        <v>3</v>
      </c>
      <c r="H401" s="37">
        <f>ROUND(Source!AC377*Source!I377, 0)</f>
        <v>86</v>
      </c>
      <c r="I401" s="15"/>
      <c r="J401" s="15">
        <f>IF(Source!BC377&lt;&gt; 0, Source!BC377, 1)</f>
        <v>8.2899999999999991</v>
      </c>
      <c r="K401" s="37">
        <f>Source!P377</f>
        <v>709</v>
      </c>
      <c r="L401" s="31"/>
    </row>
    <row r="402" spans="1:26" x14ac:dyDescent="0.2">
      <c r="A402" s="35"/>
      <c r="B402" s="35"/>
      <c r="C402" s="35" t="s">
        <v>709</v>
      </c>
      <c r="D402" s="36" t="s">
        <v>710</v>
      </c>
      <c r="E402" s="58">
        <f>Source!BZ377</f>
        <v>142</v>
      </c>
      <c r="F402" s="18"/>
      <c r="G402" s="15"/>
      <c r="H402" s="37">
        <f>SUM(S396:S405)</f>
        <v>3878</v>
      </c>
      <c r="I402" s="15"/>
      <c r="J402" s="39">
        <f>Source!AT377</f>
        <v>142</v>
      </c>
      <c r="K402" s="37">
        <f>SUM(T396:T405)</f>
        <v>134751</v>
      </c>
      <c r="L402" s="31"/>
    </row>
    <row r="403" spans="1:26" x14ac:dyDescent="0.2">
      <c r="A403" s="35"/>
      <c r="B403" s="35"/>
      <c r="C403" s="35" t="s">
        <v>711</v>
      </c>
      <c r="D403" s="36" t="s">
        <v>710</v>
      </c>
      <c r="E403" s="58">
        <f>Source!CA377</f>
        <v>95</v>
      </c>
      <c r="F403" s="18"/>
      <c r="G403" s="15"/>
      <c r="H403" s="37">
        <f>SUM(U396:U405)</f>
        <v>2594</v>
      </c>
      <c r="I403" s="15"/>
      <c r="J403" s="39">
        <f>Source!AU377</f>
        <v>95</v>
      </c>
      <c r="K403" s="37">
        <f>SUM(V396:V405)</f>
        <v>90150</v>
      </c>
      <c r="L403" s="31"/>
    </row>
    <row r="404" spans="1:26" x14ac:dyDescent="0.2">
      <c r="A404" s="35"/>
      <c r="B404" s="35"/>
      <c r="C404" s="35" t="s">
        <v>712</v>
      </c>
      <c r="D404" s="36" t="s">
        <v>713</v>
      </c>
      <c r="E404" s="58">
        <f>Source!AQ377</f>
        <v>24.19</v>
      </c>
      <c r="F404" s="14"/>
      <c r="G404" s="15" t="s">
        <v>31</v>
      </c>
      <c r="H404" s="37"/>
      <c r="I404" s="15"/>
      <c r="J404" s="15"/>
      <c r="K404" s="37"/>
      <c r="L404" s="14">
        <f>Source!U377</f>
        <v>160.14832265000001</v>
      </c>
    </row>
    <row r="405" spans="1:26" ht="25.5" x14ac:dyDescent="0.2">
      <c r="A405" s="40" t="s">
        <v>275</v>
      </c>
      <c r="B405" s="40" t="str">
        <f>Source!F378</f>
        <v>прайс-лист</v>
      </c>
      <c r="C405" s="40" t="s">
        <v>720</v>
      </c>
      <c r="D405" s="41" t="str">
        <f>Source!H378</f>
        <v>м3</v>
      </c>
      <c r="E405" s="60">
        <f>Source!I378</f>
        <v>550.66</v>
      </c>
      <c r="F405" s="16">
        <f>Source!AL378+Source!AM378+Source!AO378</f>
        <v>1583.33</v>
      </c>
      <c r="G405" s="47" t="s">
        <v>3</v>
      </c>
      <c r="H405" s="43">
        <f>ROUND(Source!AC378*Source!I378, 0)+ROUND(Source!AD378*Source!I378, 0)+ROUND(Source!AF378*Source!I378, 0)</f>
        <v>871876</v>
      </c>
      <c r="I405" s="17"/>
      <c r="J405" s="17">
        <f>IF(Source!BC378&lt;&gt; 0, Source!BC378, 1)</f>
        <v>1</v>
      </c>
      <c r="K405" s="43">
        <f>Source!O378</f>
        <v>871876</v>
      </c>
      <c r="L405" s="42"/>
      <c r="S405" s="9">
        <f>ROUND((Source!FX378/100)*((ROUND(Source!AF378*Source!I378, 0)+ROUND(Source!AE378*Source!I378, 0))), 0)</f>
        <v>0</v>
      </c>
      <c r="T405" s="9">
        <f>Source!X378</f>
        <v>0</v>
      </c>
      <c r="U405" s="9">
        <f>ROUND((Source!FY378/100)*((ROUND(Source!AF378*Source!I378, 0)+ROUND(Source!AE378*Source!I378, 0))), 0)</f>
        <v>0</v>
      </c>
      <c r="V405" s="9">
        <f>Source!Y378</f>
        <v>0</v>
      </c>
      <c r="W405" s="9">
        <f>IF(Source!BI378&lt;=1,H405, 0)</f>
        <v>0</v>
      </c>
      <c r="X405" s="9">
        <f>IF(Source!BI378=2,H405, 0)</f>
        <v>0</v>
      </c>
      <c r="Y405" s="9">
        <f>IF(Source!BI378=3,H405, 0)</f>
        <v>0</v>
      </c>
      <c r="Z405" s="9">
        <f>IF(Source!BI378=4,H405, 0)</f>
        <v>871876</v>
      </c>
    </row>
    <row r="406" spans="1:26" x14ac:dyDescent="0.2">
      <c r="G406" s="75">
        <v>244086</v>
      </c>
      <c r="H406" s="75"/>
      <c r="J406" s="75">
        <f>K398+K399+K401+K402+K403+SUM(K405:K405)</f>
        <v>1393434</v>
      </c>
      <c r="K406" s="75"/>
      <c r="L406" s="44">
        <f>Source!U377</f>
        <v>160.14832265000001</v>
      </c>
      <c r="O406" s="11">
        <f>G406</f>
        <v>244086</v>
      </c>
      <c r="P406" s="11">
        <f>J406</f>
        <v>1393434</v>
      </c>
      <c r="Q406" s="10">
        <f>L406</f>
        <v>160.14832265000001</v>
      </c>
      <c r="W406" s="9">
        <f>IF(Source!BI377&lt;=1,H398+H399+H401+H402+H403, 0)</f>
        <v>26906</v>
      </c>
      <c r="X406" s="9">
        <f>IF(Source!BI377=2,H398+H399+H401+H402+H403, 0)</f>
        <v>0</v>
      </c>
      <c r="Y406" s="9">
        <f>IF(Source!BI377=3,H398+H399+H401+H402+H403, 0)</f>
        <v>0</v>
      </c>
      <c r="Z406" s="9">
        <f>IF(Source!BI377=4,H398+H399+H401+H402+H403, 0)</f>
        <v>0</v>
      </c>
    </row>
    <row r="407" spans="1:26" x14ac:dyDescent="0.2">
      <c r="A407" s="35">
        <v>5</v>
      </c>
      <c r="B407" s="35" t="str">
        <f>Source!F379</f>
        <v>27-06-026-1</v>
      </c>
      <c r="C407" s="35" t="str">
        <f>Source!G379</f>
        <v>Розлив вяжущих материалов</v>
      </c>
      <c r="D407" s="36" t="str">
        <f>Source!H379</f>
        <v>1 Т</v>
      </c>
      <c r="E407" s="58">
        <f>Source!I379</f>
        <v>0.44</v>
      </c>
      <c r="F407" s="14">
        <f>Source!AL379+Source!AM379+Source!AO379</f>
        <v>1630.74</v>
      </c>
      <c r="G407" s="15"/>
      <c r="H407" s="37"/>
      <c r="I407" s="15" t="str">
        <f>Source!BO379</f>
        <v/>
      </c>
      <c r="J407" s="15"/>
      <c r="K407" s="37"/>
      <c r="L407" s="31"/>
      <c r="S407" s="9">
        <f>ROUND((Source!FX379/100)*((ROUND(Source!AF379*Source!I379, 0)+ROUND(Source!AE379*Source!I379, 0))), 0)</f>
        <v>4</v>
      </c>
      <c r="T407" s="9">
        <f>Source!X379</f>
        <v>166</v>
      </c>
      <c r="U407" s="9">
        <f>ROUND((Source!FY379/100)*((ROUND(Source!AF379*Source!I379, 0)+ROUND(Source!AE379*Source!I379, 0))), 0)</f>
        <v>3</v>
      </c>
      <c r="V407" s="9">
        <f>Source!Y379</f>
        <v>111</v>
      </c>
    </row>
    <row r="408" spans="1:26" x14ac:dyDescent="0.2">
      <c r="A408" s="35"/>
      <c r="B408" s="35"/>
      <c r="C408" s="35" t="s">
        <v>89</v>
      </c>
      <c r="D408" s="36"/>
      <c r="E408" s="58"/>
      <c r="F408" s="14">
        <f>Source!AM379</f>
        <v>37.39</v>
      </c>
      <c r="G408" s="15" t="s">
        <v>31</v>
      </c>
      <c r="H408" s="37">
        <f>ROUND(Source!AD379*Source!I379, 0)</f>
        <v>19</v>
      </c>
      <c r="I408" s="15"/>
      <c r="J408" s="15">
        <f>IF(Source!BB379&lt;&gt; 0, Source!BB379, 1)</f>
        <v>13.36</v>
      </c>
      <c r="K408" s="37">
        <f>Source!Q379</f>
        <v>253</v>
      </c>
      <c r="L408" s="31"/>
    </row>
    <row r="409" spans="1:26" x14ac:dyDescent="0.2">
      <c r="A409" s="35"/>
      <c r="B409" s="35"/>
      <c r="C409" s="35" t="s">
        <v>707</v>
      </c>
      <c r="D409" s="36"/>
      <c r="E409" s="58"/>
      <c r="F409" s="14">
        <f>Source!AN379</f>
        <v>6.68</v>
      </c>
      <c r="G409" s="15" t="s">
        <v>31</v>
      </c>
      <c r="H409" s="38">
        <f>ROUND(Source!AE379*Source!I379, 0)</f>
        <v>3</v>
      </c>
      <c r="I409" s="15"/>
      <c r="J409" s="15">
        <f>IF(Source!BS379&lt;&gt; 0, Source!BS379, 1)</f>
        <v>34.75</v>
      </c>
      <c r="K409" s="38">
        <f>Source!R379</f>
        <v>117</v>
      </c>
      <c r="L409" s="31"/>
      <c r="R409" s="9">
        <f>H409</f>
        <v>3</v>
      </c>
    </row>
    <row r="410" spans="1:26" x14ac:dyDescent="0.2">
      <c r="A410" s="35"/>
      <c r="B410" s="35"/>
      <c r="C410" s="35" t="s">
        <v>708</v>
      </c>
      <c r="D410" s="36"/>
      <c r="E410" s="58"/>
      <c r="F410" s="14">
        <f>Source!AL379</f>
        <v>1593.35</v>
      </c>
      <c r="G410" s="15" t="s">
        <v>3</v>
      </c>
      <c r="H410" s="37">
        <f>ROUND(Source!AC379*Source!I379, 0)</f>
        <v>701</v>
      </c>
      <c r="I410" s="15"/>
      <c r="J410" s="15">
        <f>IF(Source!BC379&lt;&gt; 0, Source!BC379, 1)</f>
        <v>8.2899999999999991</v>
      </c>
      <c r="K410" s="37">
        <f>Source!P379</f>
        <v>5812</v>
      </c>
      <c r="L410" s="31"/>
    </row>
    <row r="411" spans="1:26" x14ac:dyDescent="0.2">
      <c r="A411" s="35"/>
      <c r="B411" s="35"/>
      <c r="C411" s="35" t="s">
        <v>709</v>
      </c>
      <c r="D411" s="36" t="s">
        <v>710</v>
      </c>
      <c r="E411" s="58">
        <f>Source!BZ379</f>
        <v>142</v>
      </c>
      <c r="F411" s="18"/>
      <c r="G411" s="15"/>
      <c r="H411" s="37">
        <f>SUM(S407:S412)</f>
        <v>4</v>
      </c>
      <c r="I411" s="15"/>
      <c r="J411" s="39">
        <f>Source!AT379</f>
        <v>142</v>
      </c>
      <c r="K411" s="37">
        <f>SUM(T407:T412)</f>
        <v>166</v>
      </c>
      <c r="L411" s="31"/>
    </row>
    <row r="412" spans="1:26" x14ac:dyDescent="0.2">
      <c r="A412" s="40"/>
      <c r="B412" s="40"/>
      <c r="C412" s="40" t="s">
        <v>711</v>
      </c>
      <c r="D412" s="41" t="s">
        <v>710</v>
      </c>
      <c r="E412" s="60">
        <f>Source!CA379</f>
        <v>95</v>
      </c>
      <c r="F412" s="19"/>
      <c r="G412" s="17"/>
      <c r="H412" s="43">
        <f>SUM(U407:U412)</f>
        <v>3</v>
      </c>
      <c r="I412" s="17"/>
      <c r="J412" s="50">
        <f>Source!AU379</f>
        <v>95</v>
      </c>
      <c r="K412" s="43">
        <f>SUM(V407:V412)</f>
        <v>111</v>
      </c>
      <c r="L412" s="42"/>
    </row>
    <row r="413" spans="1:26" x14ac:dyDescent="0.2">
      <c r="G413" s="75">
        <v>727</v>
      </c>
      <c r="H413" s="75"/>
      <c r="J413" s="75">
        <f>K408+K410+K411+K412</f>
        <v>6342</v>
      </c>
      <c r="K413" s="75"/>
      <c r="L413" s="44">
        <f>Source!U379</f>
        <v>0</v>
      </c>
      <c r="O413" s="11">
        <f>G413</f>
        <v>727</v>
      </c>
      <c r="P413" s="11">
        <f>J413</f>
        <v>6342</v>
      </c>
      <c r="Q413" s="10">
        <f>L413</f>
        <v>0</v>
      </c>
      <c r="W413" s="9">
        <f>IF(Source!BI379&lt;=1,H408+H410+H411+H412, 0)</f>
        <v>727</v>
      </c>
      <c r="X413" s="9">
        <f>IF(Source!BI379=2,H408+H410+H411+H412, 0)</f>
        <v>0</v>
      </c>
      <c r="Y413" s="9">
        <f>IF(Source!BI379=3,H408+H410+H411+H412, 0)</f>
        <v>0</v>
      </c>
      <c r="Z413" s="9">
        <f>IF(Source!BI379=4,H408+H410+H411+H412, 0)</f>
        <v>0</v>
      </c>
    </row>
    <row r="414" spans="1:26" ht="51" x14ac:dyDescent="0.2">
      <c r="A414" s="35">
        <v>6</v>
      </c>
      <c r="B414" s="35" t="str">
        <f>Source!F380</f>
        <v>27-06-029-1</v>
      </c>
      <c r="C414" s="35" t="str">
        <f>Source!G380</f>
        <v>Устройство покрытия толщиной 4 см из горячих асфальтобетонных смесей плотных мелкозернистых типа А,Б,В, плотность каменных материалов: 2,5-2,9 т/м3</v>
      </c>
      <c r="D414" s="36" t="str">
        <f>Source!H380</f>
        <v>1000 м2 покрытия</v>
      </c>
      <c r="E414" s="58">
        <f>Source!I380</f>
        <v>1.8120000000000001</v>
      </c>
      <c r="F414" s="14">
        <f>Source!AL380+Source!AM380+Source!AO380</f>
        <v>44816.959999999999</v>
      </c>
      <c r="G414" s="15"/>
      <c r="H414" s="37"/>
      <c r="I414" s="15" t="str">
        <f>Source!BO380</f>
        <v/>
      </c>
      <c r="J414" s="15"/>
      <c r="K414" s="37"/>
      <c r="L414" s="31"/>
      <c r="S414" s="9">
        <f>ROUND((Source!FX380/100)*((ROUND(Source!AF380*Source!I380, 0)+ROUND(Source!AE380*Source!I380, 0))), 0)</f>
        <v>2488</v>
      </c>
      <c r="T414" s="9">
        <f>Source!X380</f>
        <v>86447</v>
      </c>
      <c r="U414" s="9">
        <f>ROUND((Source!FY380/100)*((ROUND(Source!AF380*Source!I380, 0)+ROUND(Source!AE380*Source!I380, 0))), 0)</f>
        <v>1664</v>
      </c>
      <c r="V414" s="9">
        <f>Source!Y380</f>
        <v>57834</v>
      </c>
    </row>
    <row r="415" spans="1:26" x14ac:dyDescent="0.2">
      <c r="C415" s="12" t="str">
        <f>"Объем: "&amp;Source!I380&amp;"=561/"&amp;"1000"</f>
        <v>Объем: 1,812=561/1000</v>
      </c>
    </row>
    <row r="416" spans="1:26" x14ac:dyDescent="0.2">
      <c r="A416" s="35"/>
      <c r="B416" s="35"/>
      <c r="C416" s="35" t="s">
        <v>706</v>
      </c>
      <c r="D416" s="36"/>
      <c r="E416" s="58"/>
      <c r="F416" s="14">
        <f>Source!AO380</f>
        <v>170.43</v>
      </c>
      <c r="G416" s="15" t="s">
        <v>31</v>
      </c>
      <c r="H416" s="37">
        <f>ROUND(Source!AF380*Source!I380, 0)</f>
        <v>355</v>
      </c>
      <c r="I416" s="15"/>
      <c r="J416" s="15">
        <f>IF(Source!BA380&lt;&gt; 0, Source!BA380, 1)</f>
        <v>34.75</v>
      </c>
      <c r="K416" s="37">
        <f>Source!S380</f>
        <v>12341</v>
      </c>
      <c r="L416" s="31"/>
      <c r="R416" s="9">
        <f>H416</f>
        <v>355</v>
      </c>
    </row>
    <row r="417" spans="1:26" x14ac:dyDescent="0.2">
      <c r="A417" s="35"/>
      <c r="B417" s="35"/>
      <c r="C417" s="35" t="s">
        <v>89</v>
      </c>
      <c r="D417" s="36"/>
      <c r="E417" s="58"/>
      <c r="F417" s="14">
        <f>Source!AM380</f>
        <v>7691.45</v>
      </c>
      <c r="G417" s="15" t="s">
        <v>31</v>
      </c>
      <c r="H417" s="37">
        <f>ROUND(Source!AD380*Source!I380, 0)</f>
        <v>48082</v>
      </c>
      <c r="I417" s="15"/>
      <c r="J417" s="15">
        <f>IF(Source!BB380&lt;&gt; 0, Source!BB380, 1)</f>
        <v>13.36</v>
      </c>
      <c r="K417" s="37">
        <f>Source!Q380</f>
        <v>642380</v>
      </c>
      <c r="L417" s="31"/>
    </row>
    <row r="418" spans="1:26" x14ac:dyDescent="0.2">
      <c r="A418" s="35"/>
      <c r="B418" s="35"/>
      <c r="C418" s="35" t="s">
        <v>707</v>
      </c>
      <c r="D418" s="36"/>
      <c r="E418" s="58"/>
      <c r="F418" s="14">
        <f>Source!AN380</f>
        <v>223.43</v>
      </c>
      <c r="G418" s="15" t="s">
        <v>31</v>
      </c>
      <c r="H418" s="38">
        <f>ROUND(Source!AE380*Source!I380, 0)</f>
        <v>1397</v>
      </c>
      <c r="I418" s="15"/>
      <c r="J418" s="15">
        <f>IF(Source!BS380&lt;&gt; 0, Source!BS380, 1)</f>
        <v>34.75</v>
      </c>
      <c r="K418" s="38">
        <f>Source!R380</f>
        <v>48537</v>
      </c>
      <c r="L418" s="31"/>
      <c r="R418" s="9">
        <f>H418</f>
        <v>1397</v>
      </c>
    </row>
    <row r="419" spans="1:26" x14ac:dyDescent="0.2">
      <c r="A419" s="35"/>
      <c r="B419" s="35"/>
      <c r="C419" s="35" t="s">
        <v>708</v>
      </c>
      <c r="D419" s="36"/>
      <c r="E419" s="58"/>
      <c r="F419" s="14">
        <f>Source!AL380</f>
        <v>36955.08</v>
      </c>
      <c r="G419" s="15" t="s">
        <v>3</v>
      </c>
      <c r="H419" s="37">
        <f>ROUND(Source!AC380*Source!I380, 0)</f>
        <v>66963</v>
      </c>
      <c r="I419" s="15"/>
      <c r="J419" s="15">
        <f>IF(Source!BC380&lt;&gt; 0, Source!BC380, 1)</f>
        <v>8.2899999999999991</v>
      </c>
      <c r="K419" s="37">
        <f>Source!P380</f>
        <v>555120</v>
      </c>
      <c r="L419" s="31"/>
    </row>
    <row r="420" spans="1:26" x14ac:dyDescent="0.2">
      <c r="A420" s="35"/>
      <c r="B420" s="35"/>
      <c r="C420" s="35" t="s">
        <v>709</v>
      </c>
      <c r="D420" s="36" t="s">
        <v>710</v>
      </c>
      <c r="E420" s="58">
        <f>Source!BZ380</f>
        <v>142</v>
      </c>
      <c r="F420" s="18"/>
      <c r="G420" s="15"/>
      <c r="H420" s="37">
        <f>SUM(S414:S424)</f>
        <v>2488</v>
      </c>
      <c r="I420" s="15"/>
      <c r="J420" s="39">
        <f>Source!AT380</f>
        <v>142</v>
      </c>
      <c r="K420" s="37">
        <f>SUM(T414:T424)</f>
        <v>86447</v>
      </c>
      <c r="L420" s="31"/>
    </row>
    <row r="421" spans="1:26" x14ac:dyDescent="0.2">
      <c r="A421" s="35"/>
      <c r="B421" s="35"/>
      <c r="C421" s="35" t="s">
        <v>711</v>
      </c>
      <c r="D421" s="36" t="s">
        <v>710</v>
      </c>
      <c r="E421" s="58">
        <f>Source!CA380</f>
        <v>95</v>
      </c>
      <c r="F421" s="18"/>
      <c r="G421" s="15"/>
      <c r="H421" s="37">
        <f>SUM(U414:U424)</f>
        <v>1664</v>
      </c>
      <c r="I421" s="15"/>
      <c r="J421" s="39">
        <f>Source!AU380</f>
        <v>95</v>
      </c>
      <c r="K421" s="37">
        <f>SUM(V414:V424)</f>
        <v>57834</v>
      </c>
      <c r="L421" s="31"/>
    </row>
    <row r="422" spans="1:26" x14ac:dyDescent="0.2">
      <c r="A422" s="35"/>
      <c r="B422" s="35"/>
      <c r="C422" s="35" t="s">
        <v>712</v>
      </c>
      <c r="D422" s="36" t="s">
        <v>713</v>
      </c>
      <c r="E422" s="58">
        <f>Source!AQ380</f>
        <v>20.86</v>
      </c>
      <c r="F422" s="14"/>
      <c r="G422" s="15" t="s">
        <v>31</v>
      </c>
      <c r="H422" s="37"/>
      <c r="I422" s="15"/>
      <c r="J422" s="15"/>
      <c r="K422" s="37"/>
      <c r="L422" s="14">
        <f>Source!U380</f>
        <v>43.468067999999995</v>
      </c>
    </row>
    <row r="423" spans="1:26" ht="51" x14ac:dyDescent="0.2">
      <c r="A423" s="35" t="s">
        <v>204</v>
      </c>
      <c r="B423" s="35" t="str">
        <f>Source!F381</f>
        <v>410-0001</v>
      </c>
      <c r="C423" s="35" t="str">
        <f>Source!G381</f>
        <v>Асфальтобетонные смеси дорожные, аэродромные и асфальтобетон (горячие и теплые для плотного асфальтобетона мелко и крупнозернистые, песчаные), марка: I, тип А</v>
      </c>
      <c r="D423" s="36" t="str">
        <f>Source!H381</f>
        <v>т</v>
      </c>
      <c r="E423" s="58">
        <f>Source!I381</f>
        <v>-190.73112</v>
      </c>
      <c r="F423" s="14">
        <f>Source!AL381+Source!AM381+Source!AO381</f>
        <v>342.09</v>
      </c>
      <c r="G423" s="46" t="s">
        <v>3</v>
      </c>
      <c r="H423" s="37">
        <f>ROUND(Source!AC381*Source!I381, 0)+ROUND(Source!AD381*Source!I381, 0)+ROUND(Source!AF381*Source!I381, 0)</f>
        <v>-65247</v>
      </c>
      <c r="I423" s="15"/>
      <c r="J423" s="15">
        <f>IF(Source!BC381&lt;&gt; 0, Source!BC381, 1)</f>
        <v>8.2899999999999991</v>
      </c>
      <c r="K423" s="37">
        <f>Source!O381</f>
        <v>-540899</v>
      </c>
      <c r="L423" s="31"/>
      <c r="S423" s="9">
        <f>ROUND((Source!FX381/100)*((ROUND(Source!AF381*Source!I381, 0)+ROUND(Source!AE381*Source!I381, 0))), 0)</f>
        <v>0</v>
      </c>
      <c r="T423" s="9">
        <f>Source!X381</f>
        <v>0</v>
      </c>
      <c r="U423" s="9">
        <f>ROUND((Source!FY381/100)*((ROUND(Source!AF381*Source!I381, 0)+ROUND(Source!AE381*Source!I381, 0))), 0)</f>
        <v>0</v>
      </c>
      <c r="V423" s="9">
        <f>Source!Y381</f>
        <v>0</v>
      </c>
      <c r="W423" s="9">
        <f>IF(Source!BI381&lt;=1,H423, 0)</f>
        <v>-65247</v>
      </c>
      <c r="X423" s="9">
        <f>IF(Source!BI381=2,H423, 0)</f>
        <v>0</v>
      </c>
      <c r="Y423" s="9">
        <f>IF(Source!BI381=3,H423, 0)</f>
        <v>0</v>
      </c>
      <c r="Z423" s="9">
        <f>IF(Source!BI381=4,H423, 0)</f>
        <v>0</v>
      </c>
    </row>
    <row r="424" spans="1:26" ht="25.5" x14ac:dyDescent="0.2">
      <c r="A424" s="40" t="s">
        <v>205</v>
      </c>
      <c r="B424" s="40" t="str">
        <f>Source!F382</f>
        <v>прайс-лист</v>
      </c>
      <c r="C424" s="40" t="s">
        <v>721</v>
      </c>
      <c r="D424" s="41" t="str">
        <f>Source!H382</f>
        <v>т</v>
      </c>
      <c r="E424" s="60">
        <f>Source!I382</f>
        <v>190.56684491978609</v>
      </c>
      <c r="F424" s="16">
        <f>Source!AL382+Source!AM382+Source!AO382</f>
        <v>4892.5</v>
      </c>
      <c r="G424" s="47" t="s">
        <v>3</v>
      </c>
      <c r="H424" s="43">
        <f>ROUND(Source!AC382*Source!I382, 0)+ROUND(Source!AD382*Source!I382, 0)+ROUND(Source!AF382*Source!I382, 0)</f>
        <v>932348</v>
      </c>
      <c r="I424" s="17"/>
      <c r="J424" s="17">
        <f>IF(Source!BC382&lt;&gt; 0, Source!BC382, 1)</f>
        <v>1</v>
      </c>
      <c r="K424" s="43">
        <f>Source!O382</f>
        <v>932348</v>
      </c>
      <c r="L424" s="42"/>
      <c r="S424" s="9">
        <f>ROUND((Source!FX382/100)*((ROUND(Source!AF382*Source!I382, 0)+ROUND(Source!AE382*Source!I382, 0))), 0)</f>
        <v>0</v>
      </c>
      <c r="T424" s="9">
        <f>Source!X382</f>
        <v>0</v>
      </c>
      <c r="U424" s="9">
        <f>ROUND((Source!FY382/100)*((ROUND(Source!AF382*Source!I382, 0)+ROUND(Source!AE382*Source!I382, 0))), 0)</f>
        <v>0</v>
      </c>
      <c r="V424" s="9">
        <f>Source!Y382</f>
        <v>0</v>
      </c>
      <c r="W424" s="9">
        <f>IF(Source!BI382&lt;=1,H424, 0)</f>
        <v>0</v>
      </c>
      <c r="X424" s="9">
        <f>IF(Source!BI382=2,H424, 0)</f>
        <v>0</v>
      </c>
      <c r="Y424" s="9">
        <f>IF(Source!BI382=3,H424, 0)</f>
        <v>0</v>
      </c>
      <c r="Z424" s="9">
        <f>IF(Source!BI382=4,H424, 0)</f>
        <v>932348</v>
      </c>
    </row>
    <row r="425" spans="1:26" x14ac:dyDescent="0.2">
      <c r="G425" s="75">
        <v>305470</v>
      </c>
      <c r="H425" s="75"/>
      <c r="J425" s="75">
        <f>K416+K417+K419+K420+K421+SUM(K423:K424)</f>
        <v>1745571</v>
      </c>
      <c r="K425" s="75"/>
      <c r="L425" s="44">
        <f>Source!U380</f>
        <v>43.468067999999995</v>
      </c>
      <c r="O425" s="11">
        <f>G425</f>
        <v>305470</v>
      </c>
      <c r="P425" s="11">
        <f>J425</f>
        <v>1745571</v>
      </c>
      <c r="Q425" s="10">
        <f>L425</f>
        <v>43.468067999999995</v>
      </c>
      <c r="W425" s="9">
        <f>IF(Source!BI380&lt;=1,H416+H417+H419+H420+H421, 0)</f>
        <v>119552</v>
      </c>
      <c r="X425" s="9">
        <f>IF(Source!BI380=2,H416+H417+H419+H420+H421, 0)</f>
        <v>0</v>
      </c>
      <c r="Y425" s="9">
        <f>IF(Source!BI380=3,H416+H417+H419+H420+H421, 0)</f>
        <v>0</v>
      </c>
      <c r="Z425" s="9">
        <f>IF(Source!BI380=4,H416+H417+H419+H420+H421, 0)</f>
        <v>0</v>
      </c>
    </row>
    <row r="426" spans="1:26" ht="38.25" x14ac:dyDescent="0.2">
      <c r="A426" s="35">
        <v>7</v>
      </c>
      <c r="B426" s="35" t="str">
        <f>Source!F383</f>
        <v>27-06-030-1</v>
      </c>
      <c r="C426" s="35" t="s">
        <v>736</v>
      </c>
      <c r="D426" s="36" t="str">
        <f>Source!H383</f>
        <v>1000 м2 покрытия</v>
      </c>
      <c r="E426" s="58">
        <f>Source!I383</f>
        <v>1.8120000000000001</v>
      </c>
      <c r="F426" s="14">
        <f>Source!AL383+Source!AM383+Source!AO383</f>
        <v>4775.88</v>
      </c>
      <c r="G426" s="15"/>
      <c r="H426" s="37"/>
      <c r="I426" s="15" t="str">
        <f>Source!BO383</f>
        <v/>
      </c>
      <c r="J426" s="15"/>
      <c r="K426" s="37"/>
      <c r="L426" s="31"/>
      <c r="S426" s="9">
        <f>ROUND((Source!FX383/100)*((ROUND(Source!AF383*Source!I383, 0)+ROUND(Source!AE383*Source!I383, 0))), 0)</f>
        <v>102</v>
      </c>
      <c r="T426" s="9">
        <f>Source!X383</f>
        <v>3553</v>
      </c>
      <c r="U426" s="9">
        <f>ROUND((Source!FY383/100)*((ROUND(Source!AF383*Source!I383, 0)+ROUND(Source!AE383*Source!I383, 0))), 0)</f>
        <v>68</v>
      </c>
      <c r="V426" s="9">
        <f>Source!Y383</f>
        <v>2377</v>
      </c>
    </row>
    <row r="427" spans="1:26" x14ac:dyDescent="0.2">
      <c r="C427" s="12" t="str">
        <f>"Объем: "&amp;Source!I383&amp;"=561/"&amp;"1000"</f>
        <v>Объем: 1,812=561/1000</v>
      </c>
    </row>
    <row r="428" spans="1:26" x14ac:dyDescent="0.2">
      <c r="A428" s="35"/>
      <c r="B428" s="35"/>
      <c r="C428" s="35" t="s">
        <v>706</v>
      </c>
      <c r="D428" s="36"/>
      <c r="E428" s="58"/>
      <c r="F428" s="14">
        <f>Source!AO383</f>
        <v>3.08</v>
      </c>
      <c r="G428" s="15" t="s">
        <v>31</v>
      </c>
      <c r="H428" s="37">
        <f>ROUND(Source!AF383*Source!I383, 0)</f>
        <v>26</v>
      </c>
      <c r="I428" s="15"/>
      <c r="J428" s="15">
        <f>IF(Source!BA383&lt;&gt; 0, Source!BA383, 1)</f>
        <v>34.75</v>
      </c>
      <c r="K428" s="37">
        <f>Source!S383</f>
        <v>892</v>
      </c>
      <c r="L428" s="31"/>
      <c r="R428" s="9">
        <f>H428</f>
        <v>26</v>
      </c>
    </row>
    <row r="429" spans="1:26" x14ac:dyDescent="0.2">
      <c r="A429" s="35"/>
      <c r="B429" s="35"/>
      <c r="C429" s="35" t="s">
        <v>89</v>
      </c>
      <c r="D429" s="36"/>
      <c r="E429" s="58"/>
      <c r="F429" s="14">
        <f>Source!AM383</f>
        <v>254.8</v>
      </c>
      <c r="G429" s="15" t="s">
        <v>31</v>
      </c>
      <c r="H429" s="37">
        <f>ROUND(Source!AD383*Source!I383, 0)</f>
        <v>2124</v>
      </c>
      <c r="I429" s="15"/>
      <c r="J429" s="15">
        <f>IF(Source!BB383&lt;&gt; 0, Source!BB383, 1)</f>
        <v>13.36</v>
      </c>
      <c r="K429" s="37">
        <f>Source!Q383</f>
        <v>28374</v>
      </c>
      <c r="L429" s="31"/>
    </row>
    <row r="430" spans="1:26" x14ac:dyDescent="0.2">
      <c r="A430" s="35"/>
      <c r="B430" s="35"/>
      <c r="C430" s="35" t="s">
        <v>707</v>
      </c>
      <c r="D430" s="36"/>
      <c r="E430" s="58"/>
      <c r="F430" s="14">
        <f>Source!AN383</f>
        <v>5.56</v>
      </c>
      <c r="G430" s="15" t="s">
        <v>31</v>
      </c>
      <c r="H430" s="38">
        <f>ROUND(Source!AE383*Source!I383, 0)</f>
        <v>46</v>
      </c>
      <c r="I430" s="15"/>
      <c r="J430" s="15">
        <f>IF(Source!BS383&lt;&gt; 0, Source!BS383, 1)</f>
        <v>34.75</v>
      </c>
      <c r="K430" s="38">
        <f>Source!R383</f>
        <v>1610</v>
      </c>
      <c r="L430" s="31"/>
      <c r="R430" s="9">
        <f>H430</f>
        <v>46</v>
      </c>
    </row>
    <row r="431" spans="1:26" x14ac:dyDescent="0.2">
      <c r="A431" s="35"/>
      <c r="B431" s="35"/>
      <c r="C431" s="35" t="s">
        <v>708</v>
      </c>
      <c r="D431" s="36"/>
      <c r="E431" s="58"/>
      <c r="F431" s="14">
        <f>Source!AL383</f>
        <v>4518</v>
      </c>
      <c r="G431" s="15"/>
      <c r="H431" s="37">
        <f>ROUND(Source!AC383*Source!I383, 0)</f>
        <v>32746</v>
      </c>
      <c r="I431" s="15"/>
      <c r="J431" s="15">
        <f>IF(Source!BC383&lt;&gt; 0, Source!BC383, 1)</f>
        <v>8.2899999999999991</v>
      </c>
      <c r="K431" s="37">
        <f>Source!P383</f>
        <v>271468</v>
      </c>
      <c r="L431" s="31"/>
    </row>
    <row r="432" spans="1:26" x14ac:dyDescent="0.2">
      <c r="A432" s="35"/>
      <c r="B432" s="35"/>
      <c r="C432" s="35" t="s">
        <v>709</v>
      </c>
      <c r="D432" s="36" t="s">
        <v>710</v>
      </c>
      <c r="E432" s="58">
        <f>Source!BZ383</f>
        <v>142</v>
      </c>
      <c r="F432" s="18"/>
      <c r="G432" s="15"/>
      <c r="H432" s="37">
        <f>SUM(S426:S436)</f>
        <v>102</v>
      </c>
      <c r="I432" s="15"/>
      <c r="J432" s="39">
        <f>Source!AT383</f>
        <v>142</v>
      </c>
      <c r="K432" s="37">
        <f>SUM(T426:T436)</f>
        <v>3553</v>
      </c>
      <c r="L432" s="31"/>
    </row>
    <row r="433" spans="1:26" x14ac:dyDescent="0.2">
      <c r="A433" s="35"/>
      <c r="B433" s="35"/>
      <c r="C433" s="35" t="s">
        <v>711</v>
      </c>
      <c r="D433" s="36" t="s">
        <v>710</v>
      </c>
      <c r="E433" s="58">
        <f>Source!CA383</f>
        <v>95</v>
      </c>
      <c r="F433" s="18"/>
      <c r="G433" s="15"/>
      <c r="H433" s="37">
        <f>SUM(U426:U436)</f>
        <v>68</v>
      </c>
      <c r="I433" s="15"/>
      <c r="J433" s="39">
        <f>Source!AU383</f>
        <v>95</v>
      </c>
      <c r="K433" s="37">
        <f>SUM(V426:V436)</f>
        <v>2377</v>
      </c>
      <c r="L433" s="31"/>
    </row>
    <row r="434" spans="1:26" x14ac:dyDescent="0.2">
      <c r="A434" s="35"/>
      <c r="B434" s="35"/>
      <c r="C434" s="35" t="s">
        <v>712</v>
      </c>
      <c r="D434" s="36" t="s">
        <v>713</v>
      </c>
      <c r="E434" s="58">
        <f>Source!AQ383</f>
        <v>0.35</v>
      </c>
      <c r="F434" s="14"/>
      <c r="G434" s="15" t="s">
        <v>31</v>
      </c>
      <c r="H434" s="37"/>
      <c r="I434" s="15"/>
      <c r="J434" s="15"/>
      <c r="K434" s="37"/>
      <c r="L434" s="14">
        <f>Source!U383</f>
        <v>0.72932999999999992</v>
      </c>
    </row>
    <row r="435" spans="1:26" ht="51" x14ac:dyDescent="0.2">
      <c r="A435" s="35" t="s">
        <v>297</v>
      </c>
      <c r="B435" s="35" t="str">
        <f>Source!F384</f>
        <v>410-0001</v>
      </c>
      <c r="C435" s="35" t="str">
        <f>Source!G384</f>
        <v>Асфальтобетонные смеси дорожные, аэродромные и асфальтобетон (горячие и теплые для плотного асфальтобетона мелко и крупнозернистые, песчаные), марка: I, тип А</v>
      </c>
      <c r="D435" s="36" t="str">
        <f>Source!H384</f>
        <v>т</v>
      </c>
      <c r="E435" s="58">
        <f>Source!I384</f>
        <v>-95.673599999999993</v>
      </c>
      <c r="F435" s="14">
        <f>Source!AL384+Source!AM384+Source!AO384</f>
        <v>342.09</v>
      </c>
      <c r="G435" s="46"/>
      <c r="H435" s="37">
        <f>ROUND(Source!AC384*Source!I384, 0)+ROUND(Source!AD384*Source!I384, 0)+ROUND(Source!AF384*Source!I384, 0)</f>
        <v>-32729</v>
      </c>
      <c r="I435" s="15"/>
      <c r="J435" s="15">
        <f>IF(Source!BC384&lt;&gt; 0, Source!BC384, 1)</f>
        <v>8.2899999999999991</v>
      </c>
      <c r="K435" s="37">
        <f>Source!O384</f>
        <v>-271323</v>
      </c>
      <c r="L435" s="31"/>
      <c r="S435" s="9">
        <f>ROUND((Source!FX384/100)*((ROUND(Source!AF384*Source!I384, 0)+ROUND(Source!AE384*Source!I384, 0))), 0)</f>
        <v>0</v>
      </c>
      <c r="T435" s="9">
        <f>Source!X384</f>
        <v>0</v>
      </c>
      <c r="U435" s="9">
        <f>ROUND((Source!FY384/100)*((ROUND(Source!AF384*Source!I384, 0)+ROUND(Source!AE384*Source!I384, 0))), 0)</f>
        <v>0</v>
      </c>
      <c r="V435" s="9">
        <f>Source!Y384</f>
        <v>0</v>
      </c>
      <c r="W435" s="9">
        <f>IF(Source!BI384&lt;=1,H435, 0)</f>
        <v>-32729</v>
      </c>
      <c r="X435" s="9">
        <f>IF(Source!BI384=2,H435, 0)</f>
        <v>0</v>
      </c>
      <c r="Y435" s="9">
        <f>IF(Source!BI384=3,H435, 0)</f>
        <v>0</v>
      </c>
      <c r="Z435" s="9">
        <f>IF(Source!BI384=4,H435, 0)</f>
        <v>0</v>
      </c>
    </row>
    <row r="436" spans="1:26" ht="25.5" x14ac:dyDescent="0.2">
      <c r="A436" s="40" t="s">
        <v>298</v>
      </c>
      <c r="B436" s="40" t="str">
        <f>Source!F385</f>
        <v>прайс-лист</v>
      </c>
      <c r="C436" s="40" t="s">
        <v>721</v>
      </c>
      <c r="D436" s="41" t="str">
        <f>Source!H385</f>
        <v>т</v>
      </c>
      <c r="E436" s="60">
        <f>Source!I385</f>
        <v>95.671016042780749</v>
      </c>
      <c r="F436" s="16">
        <f>Source!AL385+Source!AM385+Source!AO385</f>
        <v>4892.5</v>
      </c>
      <c r="G436" s="47" t="s">
        <v>3</v>
      </c>
      <c r="H436" s="43">
        <f>ROUND(Source!AC385*Source!I385, 0)+ROUND(Source!AD385*Source!I385, 0)+ROUND(Source!AF385*Source!I385, 0)</f>
        <v>468070</v>
      </c>
      <c r="I436" s="17"/>
      <c r="J436" s="17">
        <f>IF(Source!BC385&lt;&gt; 0, Source!BC385, 1)</f>
        <v>1</v>
      </c>
      <c r="K436" s="43">
        <f>Source!O385</f>
        <v>468070</v>
      </c>
      <c r="L436" s="42"/>
      <c r="S436" s="9">
        <f>ROUND((Source!FX385/100)*((ROUND(Source!AF385*Source!I385, 0)+ROUND(Source!AE385*Source!I385, 0))), 0)</f>
        <v>0</v>
      </c>
      <c r="T436" s="9">
        <f>Source!X385</f>
        <v>0</v>
      </c>
      <c r="U436" s="9">
        <f>ROUND((Source!FY385/100)*((ROUND(Source!AF385*Source!I385, 0)+ROUND(Source!AE385*Source!I385, 0))), 0)</f>
        <v>0</v>
      </c>
      <c r="V436" s="9">
        <f>Source!Y385</f>
        <v>0</v>
      </c>
      <c r="W436" s="9">
        <f>IF(Source!BI385&lt;=1,H436, 0)</f>
        <v>0</v>
      </c>
      <c r="X436" s="9">
        <f>IF(Source!BI385=2,H436, 0)</f>
        <v>0</v>
      </c>
      <c r="Y436" s="9">
        <f>IF(Source!BI385=3,H436, 0)</f>
        <v>0</v>
      </c>
      <c r="Z436" s="9">
        <f>IF(Source!BI385=4,H436, 0)</f>
        <v>468070</v>
      </c>
    </row>
    <row r="437" spans="1:26" x14ac:dyDescent="0.2">
      <c r="G437" s="75">
        <v>146657</v>
      </c>
      <c r="H437" s="75"/>
      <c r="J437" s="75">
        <f>K428+K429+K431+K432+K433+SUM(K435:K436)</f>
        <v>503411</v>
      </c>
      <c r="K437" s="75"/>
      <c r="L437" s="44">
        <f>Source!U383</f>
        <v>0.72932999999999992</v>
      </c>
      <c r="O437" s="11">
        <f>G437</f>
        <v>146657</v>
      </c>
      <c r="P437" s="11">
        <f>J437</f>
        <v>503411</v>
      </c>
      <c r="Q437" s="10">
        <f>L437</f>
        <v>0.72932999999999992</v>
      </c>
      <c r="W437" s="9">
        <f>IF(Source!BI383&lt;=1,H428+H429+H431+H432+H433, 0)</f>
        <v>35066</v>
      </c>
      <c r="X437" s="9">
        <f>IF(Source!BI383=2,H428+H429+H431+H432+H433, 0)</f>
        <v>0</v>
      </c>
      <c r="Y437" s="9">
        <f>IF(Source!BI383=3,H428+H429+H431+H432+H433, 0)</f>
        <v>0</v>
      </c>
      <c r="Z437" s="9">
        <f>IF(Source!BI383=4,H428+H429+H431+H432+H433, 0)</f>
        <v>0</v>
      </c>
    </row>
    <row r="438" spans="1:26" x14ac:dyDescent="0.2">
      <c r="A438" s="35">
        <v>8</v>
      </c>
      <c r="B438" s="35" t="str">
        <f>Source!F386</f>
        <v>27-06-026-1</v>
      </c>
      <c r="C438" s="35" t="str">
        <f>Source!G386</f>
        <v>Розлив вяжущих материалов</v>
      </c>
      <c r="D438" s="36" t="str">
        <f>Source!H386</f>
        <v>1 Т</v>
      </c>
      <c r="E438" s="58">
        <f>Source!I386</f>
        <v>0.16800000000000001</v>
      </c>
      <c r="F438" s="14">
        <f>Source!AL386+Source!AM386+Source!AO386</f>
        <v>1630.74</v>
      </c>
      <c r="G438" s="15"/>
      <c r="H438" s="37"/>
      <c r="I438" s="15" t="str">
        <f>Source!BO386</f>
        <v/>
      </c>
      <c r="J438" s="15"/>
      <c r="K438" s="37"/>
      <c r="L438" s="31"/>
      <c r="S438" s="9">
        <f>ROUND((Source!FX386/100)*((ROUND(Source!AF386*Source!I386, 0)+ROUND(Source!AE386*Source!I386, 0))), 0)</f>
        <v>1</v>
      </c>
      <c r="T438" s="9">
        <f>Source!X386</f>
        <v>64</v>
      </c>
      <c r="U438" s="9">
        <f>ROUND((Source!FY386/100)*((ROUND(Source!AF386*Source!I386, 0)+ROUND(Source!AE386*Source!I386, 0))), 0)</f>
        <v>1</v>
      </c>
      <c r="V438" s="9">
        <f>Source!Y386</f>
        <v>43</v>
      </c>
    </row>
    <row r="439" spans="1:26" x14ac:dyDescent="0.2">
      <c r="A439" s="35"/>
      <c r="B439" s="35"/>
      <c r="C439" s="35" t="s">
        <v>89</v>
      </c>
      <c r="D439" s="36"/>
      <c r="E439" s="58"/>
      <c r="F439" s="14">
        <f>Source!AM386</f>
        <v>37.39</v>
      </c>
      <c r="G439" s="15" t="s">
        <v>31</v>
      </c>
      <c r="H439" s="37">
        <f>ROUND(Source!AD386*Source!I386, 0)</f>
        <v>7</v>
      </c>
      <c r="I439" s="15"/>
      <c r="J439" s="15">
        <f>IF(Source!BB386&lt;&gt; 0, Source!BB386, 1)</f>
        <v>13.36</v>
      </c>
      <c r="K439" s="37">
        <f>Source!Q386</f>
        <v>97</v>
      </c>
      <c r="L439" s="31"/>
    </row>
    <row r="440" spans="1:26" x14ac:dyDescent="0.2">
      <c r="A440" s="35"/>
      <c r="B440" s="35"/>
      <c r="C440" s="35" t="s">
        <v>707</v>
      </c>
      <c r="D440" s="36"/>
      <c r="E440" s="58"/>
      <c r="F440" s="14">
        <f>Source!AN386</f>
        <v>6.68</v>
      </c>
      <c r="G440" s="15" t="s">
        <v>31</v>
      </c>
      <c r="H440" s="38">
        <f>ROUND(Source!AE386*Source!I386, 0)</f>
        <v>1</v>
      </c>
      <c r="I440" s="15"/>
      <c r="J440" s="15">
        <f>IF(Source!BS386&lt;&gt; 0, Source!BS386, 1)</f>
        <v>34.75</v>
      </c>
      <c r="K440" s="38">
        <f>Source!R386</f>
        <v>45</v>
      </c>
      <c r="L440" s="31"/>
      <c r="R440" s="9">
        <f>H440</f>
        <v>1</v>
      </c>
    </row>
    <row r="441" spans="1:26" x14ac:dyDescent="0.2">
      <c r="A441" s="35"/>
      <c r="B441" s="35"/>
      <c r="C441" s="35" t="s">
        <v>708</v>
      </c>
      <c r="D441" s="36"/>
      <c r="E441" s="58"/>
      <c r="F441" s="14">
        <f>Source!AL386</f>
        <v>1593.35</v>
      </c>
      <c r="G441" s="15" t="s">
        <v>3</v>
      </c>
      <c r="H441" s="37">
        <f>ROUND(Source!AC386*Source!I386, 0)</f>
        <v>268</v>
      </c>
      <c r="I441" s="15"/>
      <c r="J441" s="15">
        <f>IF(Source!BC386&lt;&gt; 0, Source!BC386, 1)</f>
        <v>8.2899999999999991</v>
      </c>
      <c r="K441" s="37">
        <f>Source!P386</f>
        <v>2219</v>
      </c>
      <c r="L441" s="31"/>
    </row>
    <row r="442" spans="1:26" x14ac:dyDescent="0.2">
      <c r="A442" s="35"/>
      <c r="B442" s="35"/>
      <c r="C442" s="35" t="s">
        <v>709</v>
      </c>
      <c r="D442" s="36" t="s">
        <v>710</v>
      </c>
      <c r="E442" s="58">
        <f>Source!BZ386</f>
        <v>142</v>
      </c>
      <c r="F442" s="18"/>
      <c r="G442" s="15"/>
      <c r="H442" s="37">
        <f>SUM(S438:S443)</f>
        <v>1</v>
      </c>
      <c r="I442" s="15"/>
      <c r="J442" s="39">
        <f>Source!AT386</f>
        <v>142</v>
      </c>
      <c r="K442" s="37">
        <f>SUM(T438:T443)</f>
        <v>64</v>
      </c>
      <c r="L442" s="31"/>
    </row>
    <row r="443" spans="1:26" x14ac:dyDescent="0.2">
      <c r="A443" s="40"/>
      <c r="B443" s="40"/>
      <c r="C443" s="40" t="s">
        <v>711</v>
      </c>
      <c r="D443" s="41" t="s">
        <v>710</v>
      </c>
      <c r="E443" s="60">
        <f>Source!CA386</f>
        <v>95</v>
      </c>
      <c r="F443" s="19"/>
      <c r="G443" s="17"/>
      <c r="H443" s="43">
        <f>SUM(U438:U443)</f>
        <v>1</v>
      </c>
      <c r="I443" s="17"/>
      <c r="J443" s="50">
        <f>Source!AU386</f>
        <v>95</v>
      </c>
      <c r="K443" s="43">
        <f>SUM(V438:V443)</f>
        <v>43</v>
      </c>
      <c r="L443" s="42"/>
    </row>
    <row r="444" spans="1:26" x14ac:dyDescent="0.2">
      <c r="G444" s="75">
        <v>277</v>
      </c>
      <c r="H444" s="75"/>
      <c r="J444" s="75">
        <f>K439+K441+K442+K443</f>
        <v>2423</v>
      </c>
      <c r="K444" s="75"/>
      <c r="L444" s="44">
        <f>Source!U386</f>
        <v>0</v>
      </c>
      <c r="O444" s="11">
        <f>G444</f>
        <v>277</v>
      </c>
      <c r="P444" s="11">
        <f>J444</f>
        <v>2423</v>
      </c>
      <c r="Q444" s="10">
        <f>L444</f>
        <v>0</v>
      </c>
      <c r="W444" s="9">
        <f>IF(Source!BI386&lt;=1,H439+H441+H442+H443, 0)</f>
        <v>277</v>
      </c>
      <c r="X444" s="9">
        <f>IF(Source!BI386=2,H439+H441+H442+H443, 0)</f>
        <v>0</v>
      </c>
      <c r="Y444" s="9">
        <f>IF(Source!BI386=3,H439+H441+H442+H443, 0)</f>
        <v>0</v>
      </c>
      <c r="Z444" s="9">
        <f>IF(Source!BI386=4,H439+H441+H442+H443, 0)</f>
        <v>0</v>
      </c>
    </row>
    <row r="445" spans="1:26" ht="51" x14ac:dyDescent="0.2">
      <c r="A445" s="35">
        <v>9</v>
      </c>
      <c r="B445" s="35" t="str">
        <f>Source!F387</f>
        <v>27-06-029-1</v>
      </c>
      <c r="C445" s="35" t="str">
        <f>Source!G387</f>
        <v>Устройство покрытия толщиной 4 см из горячих асфальтобетонных смесей плотных мелкозернистых типа А,Б,В, плотность каменных материалов: 2,5-2,9 т/м3</v>
      </c>
      <c r="D445" s="36" t="str">
        <f>Source!H387</f>
        <v>1000 м2 покрытия</v>
      </c>
      <c r="E445" s="58">
        <f>Source!I387</f>
        <v>1.8120000000000001</v>
      </c>
      <c r="F445" s="14">
        <f>Source!AL387+Source!AM387+Source!AO387</f>
        <v>44816.959999999999</v>
      </c>
      <c r="G445" s="15"/>
      <c r="H445" s="37"/>
      <c r="I445" s="15" t="str">
        <f>Source!BO387</f>
        <v/>
      </c>
      <c r="J445" s="15"/>
      <c r="K445" s="37"/>
      <c r="L445" s="31"/>
      <c r="S445" s="9">
        <f>ROUND((Source!FX387/100)*((ROUND(Source!AF387*Source!I387, 0)+ROUND(Source!AE387*Source!I387, 0))), 0)</f>
        <v>4472</v>
      </c>
      <c r="T445" s="9">
        <f>Source!X387</f>
        <v>155369</v>
      </c>
      <c r="U445" s="9">
        <f>ROUND((Source!FY387/100)*((ROUND(Source!AF387*Source!I387, 0)+ROUND(Source!AE387*Source!I387, 0))), 0)</f>
        <v>2992</v>
      </c>
      <c r="V445" s="9">
        <f>Source!Y387</f>
        <v>103944</v>
      </c>
    </row>
    <row r="446" spans="1:26" x14ac:dyDescent="0.2">
      <c r="C446" s="12" t="str">
        <f>"Объем: "&amp;Source!I387&amp;"=561/"&amp;"1000"</f>
        <v>Объем: 1,812=561/1000</v>
      </c>
    </row>
    <row r="447" spans="1:26" x14ac:dyDescent="0.2">
      <c r="A447" s="35"/>
      <c r="B447" s="35"/>
      <c r="C447" s="35" t="s">
        <v>706</v>
      </c>
      <c r="D447" s="36"/>
      <c r="E447" s="58"/>
      <c r="F447" s="14">
        <f>Source!AO387</f>
        <v>170.43</v>
      </c>
      <c r="G447" s="15" t="s">
        <v>31</v>
      </c>
      <c r="H447" s="37">
        <f>ROUND(Source!AF387*Source!I387, 0)</f>
        <v>355</v>
      </c>
      <c r="I447" s="15"/>
      <c r="J447" s="15">
        <f>IF(Source!BA387&lt;&gt; 0, Source!BA387, 1)</f>
        <v>34.75</v>
      </c>
      <c r="K447" s="37">
        <f>Source!S387</f>
        <v>12341</v>
      </c>
      <c r="L447" s="31"/>
      <c r="R447" s="9">
        <f>H447</f>
        <v>355</v>
      </c>
    </row>
    <row r="448" spans="1:26" x14ac:dyDescent="0.2">
      <c r="A448" s="35"/>
      <c r="B448" s="35"/>
      <c r="C448" s="35" t="s">
        <v>89</v>
      </c>
      <c r="D448" s="36"/>
      <c r="E448" s="58"/>
      <c r="F448" s="14">
        <f>Source!AM387</f>
        <v>7691.45</v>
      </c>
      <c r="G448" s="15" t="s">
        <v>31</v>
      </c>
      <c r="H448" s="37">
        <f>ROUND(Source!AD387*Source!I387, 0)</f>
        <v>96165</v>
      </c>
      <c r="I448" s="15"/>
      <c r="J448" s="15">
        <f>IF(Source!BB387&lt;&gt; 0, Source!BB387, 1)</f>
        <v>13.36</v>
      </c>
      <c r="K448" s="37">
        <f>Source!Q387</f>
        <v>1284760</v>
      </c>
      <c r="L448" s="31"/>
    </row>
    <row r="449" spans="1:26" x14ac:dyDescent="0.2">
      <c r="A449" s="35"/>
      <c r="B449" s="35"/>
      <c r="C449" s="35" t="s">
        <v>707</v>
      </c>
      <c r="D449" s="36"/>
      <c r="E449" s="58"/>
      <c r="F449" s="14">
        <f>Source!AN387</f>
        <v>223.43</v>
      </c>
      <c r="G449" s="15" t="s">
        <v>31</v>
      </c>
      <c r="H449" s="38">
        <f>ROUND(Source!AE387*Source!I387, 0)</f>
        <v>2794</v>
      </c>
      <c r="I449" s="15"/>
      <c r="J449" s="15">
        <f>IF(Source!BS387&lt;&gt; 0, Source!BS387, 1)</f>
        <v>34.75</v>
      </c>
      <c r="K449" s="38">
        <f>Source!R387</f>
        <v>97074</v>
      </c>
      <c r="L449" s="31"/>
      <c r="R449" s="9">
        <f>H449</f>
        <v>2794</v>
      </c>
    </row>
    <row r="450" spans="1:26" x14ac:dyDescent="0.2">
      <c r="A450" s="35"/>
      <c r="B450" s="35"/>
      <c r="C450" s="35" t="s">
        <v>708</v>
      </c>
      <c r="D450" s="36"/>
      <c r="E450" s="58"/>
      <c r="F450" s="14">
        <f>Source!AL387</f>
        <v>36955.08</v>
      </c>
      <c r="G450" s="15" t="s">
        <v>3</v>
      </c>
      <c r="H450" s="37">
        <f>ROUND(Source!AC387*Source!I387, 0)</f>
        <v>66963</v>
      </c>
      <c r="I450" s="15"/>
      <c r="J450" s="15">
        <f>IF(Source!BC387&lt;&gt; 0, Source!BC387, 1)</f>
        <v>8.2899999999999991</v>
      </c>
      <c r="K450" s="37">
        <f>Source!P387</f>
        <v>555120</v>
      </c>
      <c r="L450" s="31"/>
    </row>
    <row r="451" spans="1:26" x14ac:dyDescent="0.2">
      <c r="A451" s="35"/>
      <c r="B451" s="35"/>
      <c r="C451" s="35" t="s">
        <v>709</v>
      </c>
      <c r="D451" s="36" t="s">
        <v>710</v>
      </c>
      <c r="E451" s="58">
        <f>Source!BZ387</f>
        <v>142</v>
      </c>
      <c r="F451" s="18"/>
      <c r="G451" s="15"/>
      <c r="H451" s="37">
        <f>SUM(S445:S455)</f>
        <v>4472</v>
      </c>
      <c r="I451" s="15"/>
      <c r="J451" s="39">
        <f>Source!AT387</f>
        <v>142</v>
      </c>
      <c r="K451" s="37">
        <f>SUM(T445:T455)</f>
        <v>155369</v>
      </c>
      <c r="L451" s="31"/>
    </row>
    <row r="452" spans="1:26" x14ac:dyDescent="0.2">
      <c r="A452" s="35"/>
      <c r="B452" s="35"/>
      <c r="C452" s="35" t="s">
        <v>711</v>
      </c>
      <c r="D452" s="36" t="s">
        <v>710</v>
      </c>
      <c r="E452" s="58">
        <f>Source!CA387</f>
        <v>95</v>
      </c>
      <c r="F452" s="18"/>
      <c r="G452" s="15"/>
      <c r="H452" s="37">
        <f>SUM(U445:U455)</f>
        <v>2992</v>
      </c>
      <c r="I452" s="15"/>
      <c r="J452" s="39">
        <f>Source!AU387</f>
        <v>95</v>
      </c>
      <c r="K452" s="37">
        <f>SUM(V445:V455)</f>
        <v>103944</v>
      </c>
      <c r="L452" s="31"/>
    </row>
    <row r="453" spans="1:26" x14ac:dyDescent="0.2">
      <c r="A453" s="35"/>
      <c r="B453" s="35"/>
      <c r="C453" s="35" t="s">
        <v>712</v>
      </c>
      <c r="D453" s="36" t="s">
        <v>713</v>
      </c>
      <c r="E453" s="58">
        <f>Source!AQ387</f>
        <v>20.86</v>
      </c>
      <c r="F453" s="14"/>
      <c r="G453" s="15" t="s">
        <v>31</v>
      </c>
      <c r="H453" s="37"/>
      <c r="I453" s="15"/>
      <c r="J453" s="15"/>
      <c r="K453" s="37"/>
      <c r="L453" s="14">
        <f>Source!U387</f>
        <v>43.468067999999995</v>
      </c>
    </row>
    <row r="454" spans="1:26" ht="51" x14ac:dyDescent="0.2">
      <c r="A454" s="35" t="s">
        <v>301</v>
      </c>
      <c r="B454" s="35" t="str">
        <f>Source!F388</f>
        <v>410-0001</v>
      </c>
      <c r="C454" s="35" t="str">
        <f>Source!G388</f>
        <v>Асфальтобетонные смеси дорожные, аэродромные и асфальтобетон (горячие и теплые для плотного асфальтобетона мелко и крупнозернистые, песчаные), марка: I, тип А</v>
      </c>
      <c r="D454" s="36" t="str">
        <f>Source!H388</f>
        <v>т</v>
      </c>
      <c r="E454" s="58">
        <f>Source!I388</f>
        <v>-190.73112</v>
      </c>
      <c r="F454" s="14">
        <f>Source!AL388+Source!AM388+Source!AO388</f>
        <v>342.09</v>
      </c>
      <c r="G454" s="46" t="s">
        <v>3</v>
      </c>
      <c r="H454" s="37">
        <f>ROUND(Source!AC388*Source!I388, 0)+ROUND(Source!AD388*Source!I388, 0)+ROUND(Source!AF388*Source!I388, 0)</f>
        <v>-65247</v>
      </c>
      <c r="I454" s="15"/>
      <c r="J454" s="15">
        <f>IF(Source!BC388&lt;&gt; 0, Source!BC388, 1)</f>
        <v>8.2899999999999991</v>
      </c>
      <c r="K454" s="37">
        <f>Source!O388</f>
        <v>-540899</v>
      </c>
      <c r="L454" s="31"/>
      <c r="S454" s="9">
        <f>ROUND((Source!FX388/100)*((ROUND(Source!AF388*Source!I388, 0)+ROUND(Source!AE388*Source!I388, 0))), 0)</f>
        <v>0</v>
      </c>
      <c r="T454" s="9">
        <f>Source!X388</f>
        <v>0</v>
      </c>
      <c r="U454" s="9">
        <f>ROUND((Source!FY388/100)*((ROUND(Source!AF388*Source!I388, 0)+ROUND(Source!AE388*Source!I388, 0))), 0)</f>
        <v>0</v>
      </c>
      <c r="V454" s="9">
        <f>Source!Y388</f>
        <v>0</v>
      </c>
      <c r="W454" s="9">
        <f>IF(Source!BI388&lt;=1,H454, 0)</f>
        <v>-65247</v>
      </c>
      <c r="X454" s="9">
        <f>IF(Source!BI388=2,H454, 0)</f>
        <v>0</v>
      </c>
      <c r="Y454" s="9">
        <f>IF(Source!BI388=3,H454, 0)</f>
        <v>0</v>
      </c>
      <c r="Z454" s="9">
        <f>IF(Source!BI388=4,H454, 0)</f>
        <v>0</v>
      </c>
    </row>
    <row r="455" spans="1:26" ht="25.5" x14ac:dyDescent="0.2">
      <c r="A455" s="40" t="s">
        <v>302</v>
      </c>
      <c r="B455" s="40" t="str">
        <f>Source!F389</f>
        <v>прайс-лист</v>
      </c>
      <c r="C455" s="40" t="s">
        <v>721</v>
      </c>
      <c r="D455" s="41" t="str">
        <f>Source!H389</f>
        <v>т</v>
      </c>
      <c r="E455" s="60">
        <f>Source!I389</f>
        <v>190.72834224598927</v>
      </c>
      <c r="F455" s="16">
        <f>Source!AL389+Source!AM389+Source!AO389</f>
        <v>4892.5</v>
      </c>
      <c r="G455" s="47" t="s">
        <v>3</v>
      </c>
      <c r="H455" s="43">
        <f>ROUND(Source!AC389*Source!I389, 0)+ROUND(Source!AD389*Source!I389, 0)+ROUND(Source!AF389*Source!I389, 0)</f>
        <v>933138</v>
      </c>
      <c r="I455" s="17"/>
      <c r="J455" s="17">
        <f>IF(Source!BC389&lt;&gt; 0, Source!BC389, 1)</f>
        <v>1</v>
      </c>
      <c r="K455" s="43">
        <f>Source!O389</f>
        <v>933138</v>
      </c>
      <c r="L455" s="42"/>
      <c r="S455" s="9">
        <f>ROUND((Source!FX389/100)*((ROUND(Source!AF389*Source!I389, 0)+ROUND(Source!AE389*Source!I389, 0))), 0)</f>
        <v>0</v>
      </c>
      <c r="T455" s="9">
        <f>Source!X389</f>
        <v>0</v>
      </c>
      <c r="U455" s="9">
        <f>ROUND((Source!FY389/100)*((ROUND(Source!AF389*Source!I389, 0)+ROUND(Source!AE389*Source!I389, 0))), 0)</f>
        <v>0</v>
      </c>
      <c r="V455" s="9">
        <f>Source!Y389</f>
        <v>0</v>
      </c>
      <c r="W455" s="9">
        <f>IF(Source!BI389&lt;=1,H455, 0)</f>
        <v>0</v>
      </c>
      <c r="X455" s="9">
        <f>IF(Source!BI389=2,H455, 0)</f>
        <v>0</v>
      </c>
      <c r="Y455" s="9">
        <f>IF(Source!BI389=3,H455, 0)</f>
        <v>0</v>
      </c>
      <c r="Z455" s="9">
        <f>IF(Source!BI389=4,H455, 0)</f>
        <v>933138</v>
      </c>
    </row>
    <row r="456" spans="1:26" x14ac:dyDescent="0.2">
      <c r="G456" s="75">
        <v>321627</v>
      </c>
      <c r="H456" s="75"/>
      <c r="J456" s="75">
        <f>K447+K448+K450+K451+K452+SUM(K454:K455)</f>
        <v>2503773</v>
      </c>
      <c r="K456" s="75"/>
      <c r="L456" s="44">
        <f>Source!U387</f>
        <v>43.468067999999995</v>
      </c>
      <c r="O456" s="11">
        <f>G456</f>
        <v>321627</v>
      </c>
      <c r="P456" s="11">
        <f>J456</f>
        <v>2503773</v>
      </c>
      <c r="Q456" s="10">
        <f>L456</f>
        <v>43.468067999999995</v>
      </c>
      <c r="W456" s="9">
        <f>IF(Source!BI387&lt;=1,H447+H448+H450+H451+H452, 0)</f>
        <v>170947</v>
      </c>
      <c r="X456" s="9">
        <f>IF(Source!BI387=2,H447+H448+H450+H451+H452, 0)</f>
        <v>0</v>
      </c>
      <c r="Y456" s="9">
        <f>IF(Source!BI387=3,H447+H448+H450+H451+H452, 0)</f>
        <v>0</v>
      </c>
      <c r="Z456" s="9">
        <f>IF(Source!BI387=4,H447+H448+H450+H451+H452, 0)</f>
        <v>0</v>
      </c>
    </row>
    <row r="457" spans="1:26" ht="38.25" x14ac:dyDescent="0.2">
      <c r="A457" s="35">
        <v>10</v>
      </c>
      <c r="B457" s="35" t="str">
        <f>Source!F390</f>
        <v>27-06-030-1</v>
      </c>
      <c r="C457" s="35" t="s">
        <v>737</v>
      </c>
      <c r="D457" s="36" t="str">
        <f>Source!H390</f>
        <v>1000 м2 покрытия</v>
      </c>
      <c r="E457" s="58">
        <f>Source!I390</f>
        <v>1.8120000000000001</v>
      </c>
      <c r="F457" s="14">
        <f>Source!AL390+Source!AM390+Source!AO390</f>
        <v>4775.88</v>
      </c>
      <c r="G457" s="15"/>
      <c r="H457" s="37"/>
      <c r="I457" s="15" t="str">
        <f>Source!BO390</f>
        <v/>
      </c>
      <c r="J457" s="15"/>
      <c r="K457" s="37"/>
      <c r="L457" s="31"/>
      <c r="S457" s="9">
        <f>ROUND((Source!FX390/100)*((ROUND(Source!AF390*Source!I390, 0)+ROUND(Source!AE390*Source!I390, 0))), 0)</f>
        <v>51</v>
      </c>
      <c r="T457" s="9">
        <f>Source!X390</f>
        <v>1776</v>
      </c>
      <c r="U457" s="9">
        <f>ROUND((Source!FY390/100)*((ROUND(Source!AF390*Source!I390, 0)+ROUND(Source!AE390*Source!I390, 0))), 0)</f>
        <v>34</v>
      </c>
      <c r="V457" s="9">
        <f>Source!Y390</f>
        <v>1188</v>
      </c>
    </row>
    <row r="458" spans="1:26" x14ac:dyDescent="0.2">
      <c r="C458" s="12" t="str">
        <f>"Объем: "&amp;Source!I390&amp;"=561/"&amp;"1000"</f>
        <v>Объем: 1,812=561/1000</v>
      </c>
    </row>
    <row r="459" spans="1:26" x14ac:dyDescent="0.2">
      <c r="A459" s="35"/>
      <c r="B459" s="35"/>
      <c r="C459" s="35" t="s">
        <v>706</v>
      </c>
      <c r="D459" s="36"/>
      <c r="E459" s="58"/>
      <c r="F459" s="14">
        <f>Source!AO390</f>
        <v>3.08</v>
      </c>
      <c r="G459" s="15" t="s">
        <v>305</v>
      </c>
      <c r="H459" s="37">
        <f>ROUND(Source!AF390*Source!I390, 0)</f>
        <v>13</v>
      </c>
      <c r="I459" s="15"/>
      <c r="J459" s="15">
        <f>IF(Source!BA390&lt;&gt; 0, Source!BA390, 1)</f>
        <v>34.75</v>
      </c>
      <c r="K459" s="37">
        <f>Source!S390</f>
        <v>446</v>
      </c>
      <c r="L459" s="31"/>
      <c r="R459" s="9">
        <f>H459</f>
        <v>13</v>
      </c>
    </row>
    <row r="460" spans="1:26" x14ac:dyDescent="0.2">
      <c r="A460" s="35"/>
      <c r="B460" s="35"/>
      <c r="C460" s="35" t="s">
        <v>89</v>
      </c>
      <c r="D460" s="36"/>
      <c r="E460" s="58"/>
      <c r="F460" s="14">
        <f>Source!AM390</f>
        <v>254.8</v>
      </c>
      <c r="G460" s="15" t="s">
        <v>305</v>
      </c>
      <c r="H460" s="37">
        <f>ROUND(Source!AD390*Source!I390, 0)</f>
        <v>1062</v>
      </c>
      <c r="I460" s="15"/>
      <c r="J460" s="15">
        <f>IF(Source!BB390&lt;&gt; 0, Source!BB390, 1)</f>
        <v>13.36</v>
      </c>
      <c r="K460" s="37">
        <f>Source!Q390</f>
        <v>14187</v>
      </c>
      <c r="L460" s="31"/>
    </row>
    <row r="461" spans="1:26" x14ac:dyDescent="0.2">
      <c r="A461" s="35"/>
      <c r="B461" s="35"/>
      <c r="C461" s="35" t="s">
        <v>707</v>
      </c>
      <c r="D461" s="36"/>
      <c r="E461" s="58"/>
      <c r="F461" s="14">
        <f>Source!AN390</f>
        <v>5.56</v>
      </c>
      <c r="G461" s="15" t="s">
        <v>305</v>
      </c>
      <c r="H461" s="38">
        <f>ROUND(Source!AE390*Source!I390, 0)</f>
        <v>23</v>
      </c>
      <c r="I461" s="15"/>
      <c r="J461" s="15">
        <f>IF(Source!BS390&lt;&gt; 0, Source!BS390, 1)</f>
        <v>34.75</v>
      </c>
      <c r="K461" s="38">
        <f>Source!R390</f>
        <v>805</v>
      </c>
      <c r="L461" s="31"/>
      <c r="R461" s="9">
        <f>H461</f>
        <v>23</v>
      </c>
    </row>
    <row r="462" spans="1:26" x14ac:dyDescent="0.2">
      <c r="A462" s="35"/>
      <c r="B462" s="35"/>
      <c r="C462" s="35" t="s">
        <v>708</v>
      </c>
      <c r="D462" s="36"/>
      <c r="E462" s="58"/>
      <c r="F462" s="14">
        <f>Source!AL390</f>
        <v>4518</v>
      </c>
      <c r="G462" s="15"/>
      <c r="H462" s="37">
        <f>ROUND(Source!AC390*Source!I390, 0)</f>
        <v>16373</v>
      </c>
      <c r="I462" s="15"/>
      <c r="J462" s="15">
        <f>IF(Source!BC390&lt;&gt; 0, Source!BC390, 1)</f>
        <v>8.2899999999999991</v>
      </c>
      <c r="K462" s="37">
        <f>Source!P390</f>
        <v>135734</v>
      </c>
      <c r="L462" s="31"/>
    </row>
    <row r="463" spans="1:26" x14ac:dyDescent="0.2">
      <c r="A463" s="35"/>
      <c r="B463" s="35"/>
      <c r="C463" s="35" t="s">
        <v>709</v>
      </c>
      <c r="D463" s="36" t="s">
        <v>710</v>
      </c>
      <c r="E463" s="58">
        <f>Source!BZ390</f>
        <v>142</v>
      </c>
      <c r="F463" s="18"/>
      <c r="G463" s="15"/>
      <c r="H463" s="37">
        <f>SUM(S457:S467)</f>
        <v>51</v>
      </c>
      <c r="I463" s="15"/>
      <c r="J463" s="39">
        <f>Source!AT390</f>
        <v>142</v>
      </c>
      <c r="K463" s="37">
        <f>SUM(T457:T467)</f>
        <v>1776</v>
      </c>
      <c r="L463" s="31"/>
    </row>
    <row r="464" spans="1:26" x14ac:dyDescent="0.2">
      <c r="A464" s="35"/>
      <c r="B464" s="35"/>
      <c r="C464" s="35" t="s">
        <v>711</v>
      </c>
      <c r="D464" s="36" t="s">
        <v>710</v>
      </c>
      <c r="E464" s="58">
        <f>Source!CA390</f>
        <v>95</v>
      </c>
      <c r="F464" s="18"/>
      <c r="G464" s="15"/>
      <c r="H464" s="37">
        <f>SUM(U457:U467)</f>
        <v>34</v>
      </c>
      <c r="I464" s="15"/>
      <c r="J464" s="39">
        <f>Source!AU390</f>
        <v>95</v>
      </c>
      <c r="K464" s="37">
        <f>SUM(V457:V467)</f>
        <v>1188</v>
      </c>
      <c r="L464" s="31"/>
    </row>
    <row r="465" spans="1:32" x14ac:dyDescent="0.2">
      <c r="A465" s="35"/>
      <c r="B465" s="35"/>
      <c r="C465" s="35" t="s">
        <v>712</v>
      </c>
      <c r="D465" s="36" t="s">
        <v>713</v>
      </c>
      <c r="E465" s="58">
        <f>Source!AQ390</f>
        <v>0.35</v>
      </c>
      <c r="F465" s="14"/>
      <c r="G465" s="15" t="s">
        <v>305</v>
      </c>
      <c r="H465" s="37"/>
      <c r="I465" s="15"/>
      <c r="J465" s="15"/>
      <c r="K465" s="37"/>
      <c r="L465" s="14">
        <f>Source!U390</f>
        <v>1.4586599999999998</v>
      </c>
    </row>
    <row r="466" spans="1:32" ht="51" x14ac:dyDescent="0.2">
      <c r="A466" s="35" t="s">
        <v>181</v>
      </c>
      <c r="B466" s="35" t="str">
        <f>Source!F391</f>
        <v>410-0001</v>
      </c>
      <c r="C466" s="35" t="str">
        <f>Source!G391</f>
        <v>Асфальтобетонные смеси дорожные, аэродромные и асфальтобетон (горячие и теплые для плотного асфальтобетона мелко и крупнозернистые, песчаные), марка: I, тип А</v>
      </c>
      <c r="D466" s="36" t="str">
        <f>Source!H391</f>
        <v>т</v>
      </c>
      <c r="E466" s="58">
        <f>Source!I391</f>
        <v>-47.836799999999997</v>
      </c>
      <c r="F466" s="14">
        <f>Source!AL391+Source!AM391+Source!AO391</f>
        <v>342.09</v>
      </c>
      <c r="G466" s="46"/>
      <c r="H466" s="37">
        <f>ROUND(Source!AC391*Source!I391, 0)+ROUND(Source!AD391*Source!I391, 0)+ROUND(Source!AF391*Source!I391, 0)</f>
        <v>-16364</v>
      </c>
      <c r="I466" s="15"/>
      <c r="J466" s="15">
        <f>IF(Source!BC391&lt;&gt; 0, Source!BC391, 1)</f>
        <v>8.2899999999999991</v>
      </c>
      <c r="K466" s="37">
        <f>Source!O391</f>
        <v>-135662</v>
      </c>
      <c r="L466" s="31"/>
      <c r="S466" s="9">
        <f>ROUND((Source!FX391/100)*((ROUND(Source!AF391*Source!I391, 0)+ROUND(Source!AE391*Source!I391, 0))), 0)</f>
        <v>0</v>
      </c>
      <c r="T466" s="9">
        <f>Source!X391</f>
        <v>0</v>
      </c>
      <c r="U466" s="9">
        <f>ROUND((Source!FY391/100)*((ROUND(Source!AF391*Source!I391, 0)+ROUND(Source!AE391*Source!I391, 0))), 0)</f>
        <v>0</v>
      </c>
      <c r="V466" s="9">
        <f>Source!Y391</f>
        <v>0</v>
      </c>
      <c r="W466" s="9">
        <f>IF(Source!BI391&lt;=1,H466, 0)</f>
        <v>-16364</v>
      </c>
      <c r="X466" s="9">
        <f>IF(Source!BI391=2,H466, 0)</f>
        <v>0</v>
      </c>
      <c r="Y466" s="9">
        <f>IF(Source!BI391=3,H466, 0)</f>
        <v>0</v>
      </c>
      <c r="Z466" s="9">
        <f>IF(Source!BI391=4,H466, 0)</f>
        <v>0</v>
      </c>
    </row>
    <row r="467" spans="1:32" ht="25.5" x14ac:dyDescent="0.2">
      <c r="A467" s="40" t="s">
        <v>186</v>
      </c>
      <c r="B467" s="40" t="str">
        <f>Source!F392</f>
        <v>прайс-лист</v>
      </c>
      <c r="C467" s="40" t="s">
        <v>721</v>
      </c>
      <c r="D467" s="41" t="str">
        <f>Source!H392</f>
        <v>т</v>
      </c>
      <c r="E467" s="60">
        <f>Source!I392</f>
        <v>47.803208556149727</v>
      </c>
      <c r="F467" s="16">
        <f>Source!AL392+Source!AM392+Source!AO392</f>
        <v>4892.5</v>
      </c>
      <c r="G467" s="47" t="s">
        <v>3</v>
      </c>
      <c r="H467" s="43">
        <f>ROUND(Source!AC392*Source!I392, 0)+ROUND(Source!AD392*Source!I392, 0)+ROUND(Source!AF392*Source!I392, 0)</f>
        <v>233877</v>
      </c>
      <c r="I467" s="17"/>
      <c r="J467" s="17">
        <f>IF(Source!BC392&lt;&gt; 0, Source!BC392, 1)</f>
        <v>1</v>
      </c>
      <c r="K467" s="43">
        <f>Source!O392</f>
        <v>233877</v>
      </c>
      <c r="L467" s="42"/>
      <c r="S467" s="9">
        <f>ROUND((Source!FX392/100)*((ROUND(Source!AF392*Source!I392, 0)+ROUND(Source!AE392*Source!I392, 0))), 0)</f>
        <v>0</v>
      </c>
      <c r="T467" s="9">
        <f>Source!X392</f>
        <v>0</v>
      </c>
      <c r="U467" s="9">
        <f>ROUND((Source!FY392/100)*((ROUND(Source!AF392*Source!I392, 0)+ROUND(Source!AE392*Source!I392, 0))), 0)</f>
        <v>0</v>
      </c>
      <c r="V467" s="9">
        <f>Source!Y392</f>
        <v>0</v>
      </c>
      <c r="W467" s="9">
        <f>IF(Source!BI392&lt;=1,H467, 0)</f>
        <v>0</v>
      </c>
      <c r="X467" s="9">
        <f>IF(Source!BI392=2,H467, 0)</f>
        <v>0</v>
      </c>
      <c r="Y467" s="9">
        <f>IF(Source!BI392=3,H467, 0)</f>
        <v>0</v>
      </c>
      <c r="Z467" s="9">
        <f>IF(Source!BI392=4,H467, 0)</f>
        <v>233877</v>
      </c>
    </row>
    <row r="468" spans="1:32" x14ac:dyDescent="0.2">
      <c r="G468" s="75">
        <v>74501</v>
      </c>
      <c r="H468" s="75"/>
      <c r="J468" s="75">
        <f>K459+K460+K462+K463+K464+SUM(K466:K467)</f>
        <v>251546</v>
      </c>
      <c r="K468" s="75"/>
      <c r="L468" s="44">
        <f>Source!U390</f>
        <v>1.4586599999999998</v>
      </c>
      <c r="O468" s="11">
        <f>G468</f>
        <v>74501</v>
      </c>
      <c r="P468" s="11">
        <f>J468</f>
        <v>251546</v>
      </c>
      <c r="Q468" s="10">
        <f>L468</f>
        <v>1.4586599999999998</v>
      </c>
      <c r="W468" s="9">
        <f>IF(Source!BI390&lt;=1,H459+H460+H462+H463+H464, 0)</f>
        <v>17533</v>
      </c>
      <c r="X468" s="9">
        <f>IF(Source!BI390=2,H459+H460+H462+H463+H464, 0)</f>
        <v>0</v>
      </c>
      <c r="Y468" s="9">
        <f>IF(Source!BI390=3,H459+H460+H462+H463+H464, 0)</f>
        <v>0</v>
      </c>
      <c r="Z468" s="9">
        <f>IF(Source!BI390=4,H459+H460+H462+H463+H464, 0)</f>
        <v>0</v>
      </c>
    </row>
    <row r="470" spans="1:32" x14ac:dyDescent="0.2">
      <c r="A470" s="78" t="str">
        <f>CONCATENATE("Итого по подразделу: ",IF(Source!G394&lt;&gt;"Новый подраздел", Source!G394, ""))</f>
        <v>Итого по подразделу: Устройство асфальтированного покрытия</v>
      </c>
      <c r="B470" s="78"/>
      <c r="C470" s="78"/>
      <c r="D470" s="78"/>
      <c r="E470" s="78"/>
      <c r="F470" s="78"/>
      <c r="G470" s="79">
        <v>1210419</v>
      </c>
      <c r="H470" s="79"/>
      <c r="I470" s="80"/>
      <c r="J470" s="79">
        <f>SUM(P374:P469)</f>
        <v>7165176</v>
      </c>
      <c r="K470" s="79"/>
      <c r="L470" s="81">
        <f>SUM(Q374:Q469)</f>
        <v>335.96549765000003</v>
      </c>
      <c r="AF470" s="49" t="str">
        <f>CONCATENATE("Итого по подразделу: ",IF(Source!G394&lt;&gt;"Новый подраздел", Source!G394, ""))</f>
        <v>Итого по подразделу: Устройство асфальтированного покрытия</v>
      </c>
    </row>
    <row r="474" spans="1:32" ht="25.5" x14ac:dyDescent="0.2">
      <c r="A474" s="73" t="str">
        <f>CONCATENATE("Итого по разделу: ",IF(Source!G424&lt;&gt;"Новый раздел", Source!G424, ""))</f>
        <v>Итого по разделу: Выполнение работпо монтажу асфальтовыхпокрытий дорог , систем ливневой канализации и бордюрных камней</v>
      </c>
      <c r="B474" s="73"/>
      <c r="C474" s="73"/>
      <c r="D474" s="73"/>
      <c r="E474" s="73"/>
      <c r="F474" s="73"/>
      <c r="G474" s="74">
        <v>1893916</v>
      </c>
      <c r="H474" s="74"/>
      <c r="I474" s="45"/>
      <c r="J474" s="74">
        <f>J122+J188+J238+J297+J334+J370+J470</f>
        <v>11050630</v>
      </c>
      <c r="K474" s="74"/>
      <c r="L474" s="44">
        <f>SUM(Q246:Q473)</f>
        <v>1292.2820203999995</v>
      </c>
      <c r="AF474" s="49" t="str">
        <f>CONCATENATE("Итого по разделу: ",IF(Source!G424&lt;&gt;"Новый раздел", Source!G424, ""))</f>
        <v>Итого по разделу: Выполнение работпо монтажу асфальтовыхпокрытий дорог , систем ливневой канализации и бордюрных камней</v>
      </c>
    </row>
    <row r="477" spans="1:32" x14ac:dyDescent="0.2">
      <c r="A477" s="73" t="str">
        <f>CONCATENATE("Итого по смете: ",IF(Source!G484&lt;&gt;"Новый объект", Source!G484, ""))</f>
        <v>Итого по смете: Благоустройство бетонные проезды</v>
      </c>
      <c r="B477" s="73"/>
      <c r="C477" s="73"/>
      <c r="D477" s="73"/>
      <c r="E477" s="73"/>
      <c r="F477" s="73"/>
      <c r="G477" s="74">
        <v>2324804</v>
      </c>
      <c r="H477" s="74"/>
      <c r="I477" s="45"/>
      <c r="J477" s="74">
        <f>J474</f>
        <v>11050630</v>
      </c>
      <c r="K477" s="74"/>
      <c r="L477" s="44">
        <f>SUM(Q1:Q476)</f>
        <v>1931.8591801999994</v>
      </c>
      <c r="AF477" s="49" t="str">
        <f>CONCATENATE("Итого по смете: ",IF(Source!G484&lt;&gt;"Новый объект", Source!G484, ""))</f>
        <v>Итого по смете: Благоустройство бетонные проезды</v>
      </c>
    </row>
    <row r="479" spans="1:32" s="45" customFormat="1" x14ac:dyDescent="0.2">
      <c r="C479" s="73" t="str">
        <f>Source!H513</f>
        <v>НДС20%</v>
      </c>
      <c r="D479" s="73"/>
      <c r="E479" s="73"/>
      <c r="F479" s="73"/>
      <c r="G479" s="73"/>
      <c r="H479" s="73"/>
      <c r="I479" s="73"/>
      <c r="J479" s="74">
        <f>J477*0.2</f>
        <v>2210126</v>
      </c>
      <c r="K479" s="74"/>
    </row>
    <row r="480" spans="1:32" s="45" customFormat="1" x14ac:dyDescent="0.2">
      <c r="C480" s="73" t="str">
        <f>Source!H514</f>
        <v>К оплате с НДС</v>
      </c>
      <c r="D480" s="73"/>
      <c r="E480" s="73"/>
      <c r="F480" s="73"/>
      <c r="G480" s="73"/>
      <c r="H480" s="73"/>
      <c r="I480" s="73"/>
      <c r="J480" s="74">
        <f>J477+J479</f>
        <v>13260756</v>
      </c>
      <c r="K480" s="74"/>
    </row>
    <row r="483" spans="1:10" hidden="1" x14ac:dyDescent="0.2">
      <c r="A483" s="51" t="s">
        <v>722</v>
      </c>
      <c r="B483" s="51"/>
      <c r="C483" s="31" t="s">
        <v>723</v>
      </c>
      <c r="D483" s="13"/>
      <c r="E483" s="61"/>
      <c r="F483" s="13"/>
      <c r="G483" s="13"/>
      <c r="H483" s="13"/>
      <c r="J483" s="31"/>
    </row>
    <row r="484" spans="1:10" hidden="1" x14ac:dyDescent="0.2">
      <c r="C484" s="31"/>
      <c r="D484" s="77" t="s">
        <v>724</v>
      </c>
      <c r="E484" s="77"/>
      <c r="F484" s="77"/>
      <c r="G484" s="77"/>
      <c r="H484" s="77"/>
      <c r="J484" s="31"/>
    </row>
    <row r="485" spans="1:10" hidden="1" x14ac:dyDescent="0.2">
      <c r="C485" s="31"/>
      <c r="J485" s="31"/>
    </row>
    <row r="486" spans="1:10" x14ac:dyDescent="0.2">
      <c r="A486" s="51" t="s">
        <v>722</v>
      </c>
      <c r="B486" s="51"/>
      <c r="C486" s="31" t="s">
        <v>725</v>
      </c>
      <c r="D486" s="13" t="str">
        <f>IF(Source!AC12&lt;&gt;"", Source!AC12," ")</f>
        <v xml:space="preserve"> </v>
      </c>
      <c r="E486" s="61"/>
      <c r="F486" s="13"/>
      <c r="G486" s="13"/>
      <c r="H486" s="13"/>
      <c r="I486" s="9" t="str">
        <f>IF(Source!AB12&lt;&gt;"", Source!AB12," ")</f>
        <v xml:space="preserve"> </v>
      </c>
      <c r="J486" s="31"/>
    </row>
    <row r="487" spans="1:10" x14ac:dyDescent="0.2">
      <c r="D487" s="77" t="s">
        <v>724</v>
      </c>
      <c r="E487" s="77"/>
      <c r="F487" s="77"/>
      <c r="G487" s="77"/>
      <c r="H487" s="77"/>
    </row>
    <row r="489" spans="1:10" x14ac:dyDescent="0.2">
      <c r="C489" s="31" t="s">
        <v>726</v>
      </c>
      <c r="D489" s="13" t="str">
        <f>IF(Source!AE12&lt;&gt;"", Source!AE12," ")</f>
        <v xml:space="preserve"> </v>
      </c>
      <c r="E489" s="61"/>
      <c r="F489" s="13"/>
      <c r="G489" s="13"/>
      <c r="H489" s="13"/>
      <c r="I489" s="9" t="str">
        <f>IF(Source!AD12&lt;&gt;"", Source!AD12," ")</f>
        <v xml:space="preserve"> </v>
      </c>
      <c r="J489" s="31"/>
    </row>
    <row r="490" spans="1:10" x14ac:dyDescent="0.2">
      <c r="D490" s="77" t="s">
        <v>724</v>
      </c>
      <c r="E490" s="77"/>
      <c r="F490" s="77"/>
      <c r="G490" s="77"/>
      <c r="H490" s="77"/>
    </row>
  </sheetData>
  <mergeCells count="159">
    <mergeCell ref="G477:H477"/>
    <mergeCell ref="J477:K477"/>
    <mergeCell ref="A477:F477"/>
    <mergeCell ref="J444:K444"/>
    <mergeCell ref="G444:H444"/>
    <mergeCell ref="J437:K437"/>
    <mergeCell ref="G437:H437"/>
    <mergeCell ref="J425:K425"/>
    <mergeCell ref="G425:H425"/>
    <mergeCell ref="G470:H470"/>
    <mergeCell ref="J470:K470"/>
    <mergeCell ref="A470:F470"/>
    <mergeCell ref="J468:K468"/>
    <mergeCell ref="G468:H468"/>
    <mergeCell ref="J456:K456"/>
    <mergeCell ref="G456:H456"/>
    <mergeCell ref="G474:H474"/>
    <mergeCell ref="J474:K474"/>
    <mergeCell ref="A474:F474"/>
    <mergeCell ref="G370:H370"/>
    <mergeCell ref="J370:K370"/>
    <mergeCell ref="A370:F370"/>
    <mergeCell ref="J368:K368"/>
    <mergeCell ref="G368:H368"/>
    <mergeCell ref="J356:K356"/>
    <mergeCell ref="G356:H356"/>
    <mergeCell ref="J413:K413"/>
    <mergeCell ref="G413:H413"/>
    <mergeCell ref="J406:K406"/>
    <mergeCell ref="G406:H406"/>
    <mergeCell ref="J395:K395"/>
    <mergeCell ref="G395:H395"/>
    <mergeCell ref="J384:K384"/>
    <mergeCell ref="G384:H384"/>
    <mergeCell ref="J381:K381"/>
    <mergeCell ref="G381:H381"/>
    <mergeCell ref="A374:L374"/>
    <mergeCell ref="G332:H332"/>
    <mergeCell ref="J321:K321"/>
    <mergeCell ref="G321:H321"/>
    <mergeCell ref="J310:K310"/>
    <mergeCell ref="G310:H310"/>
    <mergeCell ref="A334:F334"/>
    <mergeCell ref="J332:K332"/>
    <mergeCell ref="J347:K347"/>
    <mergeCell ref="G347:H347"/>
    <mergeCell ref="A338:L338"/>
    <mergeCell ref="G334:H334"/>
    <mergeCell ref="J334:K334"/>
    <mergeCell ref="A301:L301"/>
    <mergeCell ref="G297:H297"/>
    <mergeCell ref="J297:K297"/>
    <mergeCell ref="A297:F297"/>
    <mergeCell ref="J295:K295"/>
    <mergeCell ref="G295:H295"/>
    <mergeCell ref="J69:K69"/>
    <mergeCell ref="G69:H69"/>
    <mergeCell ref="A60:L60"/>
    <mergeCell ref="J212:K212"/>
    <mergeCell ref="G212:H212"/>
    <mergeCell ref="J201:K201"/>
    <mergeCell ref="G201:H201"/>
    <mergeCell ref="J266:K266"/>
    <mergeCell ref="J292:K292"/>
    <mergeCell ref="G292:H292"/>
    <mergeCell ref="J285:K285"/>
    <mergeCell ref="G285:H285"/>
    <mergeCell ref="J275:K275"/>
    <mergeCell ref="G275:H275"/>
    <mergeCell ref="A58:L58"/>
    <mergeCell ref="J120:K120"/>
    <mergeCell ref="G120:H120"/>
    <mergeCell ref="G266:H266"/>
    <mergeCell ref="J257:K257"/>
    <mergeCell ref="G257:H257"/>
    <mergeCell ref="A248:L248"/>
    <mergeCell ref="A246:L246"/>
    <mergeCell ref="G242:H242"/>
    <mergeCell ref="J242:K242"/>
    <mergeCell ref="A242:F242"/>
    <mergeCell ref="J146:K146"/>
    <mergeCell ref="G146:H146"/>
    <mergeCell ref="J135:K135"/>
    <mergeCell ref="G135:H135"/>
    <mergeCell ref="A126:L126"/>
    <mergeCell ref="G122:H122"/>
    <mergeCell ref="J122:K122"/>
    <mergeCell ref="A122:F122"/>
    <mergeCell ref="G186:H186"/>
    <mergeCell ref="J171:K171"/>
    <mergeCell ref="C480:I480"/>
    <mergeCell ref="J480:K480"/>
    <mergeCell ref="D484:H484"/>
    <mergeCell ref="D487:H487"/>
    <mergeCell ref="D490:H490"/>
    <mergeCell ref="J105:K105"/>
    <mergeCell ref="G105:H105"/>
    <mergeCell ref="J188:K188"/>
    <mergeCell ref="A188:F188"/>
    <mergeCell ref="J186:K186"/>
    <mergeCell ref="G153:H153"/>
    <mergeCell ref="G171:H171"/>
    <mergeCell ref="J162:K162"/>
    <mergeCell ref="G162:H162"/>
    <mergeCell ref="J153:K153"/>
    <mergeCell ref="A192:L192"/>
    <mergeCell ref="G188:H188"/>
    <mergeCell ref="G238:H238"/>
    <mergeCell ref="J238:K238"/>
    <mergeCell ref="A238:F238"/>
    <mergeCell ref="J236:K236"/>
    <mergeCell ref="G236:H236"/>
    <mergeCell ref="J221:K221"/>
    <mergeCell ref="G221:H221"/>
    <mergeCell ref="C20:F20"/>
    <mergeCell ref="G20:H20"/>
    <mergeCell ref="I20:J20"/>
    <mergeCell ref="A25:L25"/>
    <mergeCell ref="C479:I479"/>
    <mergeCell ref="J479:K479"/>
    <mergeCell ref="J96:K96"/>
    <mergeCell ref="G96:H96"/>
    <mergeCell ref="J87:K87"/>
    <mergeCell ref="G87:H87"/>
    <mergeCell ref="J46:K46"/>
    <mergeCell ref="G46:H46"/>
    <mergeCell ref="J39:K39"/>
    <mergeCell ref="G39:H39"/>
    <mergeCell ref="A30:L30"/>
    <mergeCell ref="G54:H54"/>
    <mergeCell ref="J54:K54"/>
    <mergeCell ref="A54:F54"/>
    <mergeCell ref="J52:K52"/>
    <mergeCell ref="G52:H52"/>
    <mergeCell ref="J49:K49"/>
    <mergeCell ref="G49:H49"/>
    <mergeCell ref="J80:K80"/>
    <mergeCell ref="G80:H80"/>
    <mergeCell ref="B2:K2"/>
    <mergeCell ref="B3:K3"/>
    <mergeCell ref="B6:K6"/>
    <mergeCell ref="B8:K8"/>
    <mergeCell ref="C18:F18"/>
    <mergeCell ref="G18:H18"/>
    <mergeCell ref="I18:J18"/>
    <mergeCell ref="K18:L18"/>
    <mergeCell ref="C19:F19"/>
    <mergeCell ref="G19:H19"/>
    <mergeCell ref="I19:J19"/>
    <mergeCell ref="K19:L19"/>
    <mergeCell ref="B10:K10"/>
    <mergeCell ref="B11:K11"/>
    <mergeCell ref="A13:L13"/>
    <mergeCell ref="G16:H16"/>
    <mergeCell ref="I16:J16"/>
    <mergeCell ref="C17:F17"/>
    <mergeCell ref="G17:H17"/>
    <mergeCell ref="I17:J17"/>
    <mergeCell ref="K17:L17"/>
  </mergeCells>
  <pageMargins left="0.4" right="0.2" top="0.2" bottom="0.4" header="0.2" footer="0.2"/>
  <pageSetup paperSize="9" scale="59" fitToHeight="0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50"/>
  <sheetViews>
    <sheetView topLeftCell="O364" workbookViewId="0">
      <selection activeCell="AF390" sqref="AF390"/>
    </sheetView>
  </sheetViews>
  <sheetFormatPr defaultColWidth="9.140625" defaultRowHeight="12.75" x14ac:dyDescent="0.2"/>
  <cols>
    <col min="1" max="6" width="9.140625" customWidth="1"/>
    <col min="7" max="7" width="60.7109375" customWidth="1"/>
    <col min="8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57140</v>
      </c>
      <c r="M1">
        <v>10</v>
      </c>
      <c r="N1">
        <v>11</v>
      </c>
      <c r="O1">
        <v>4</v>
      </c>
      <c r="P1">
        <v>1</v>
      </c>
      <c r="Q1">
        <v>4</v>
      </c>
    </row>
    <row r="12" spans="1:133" x14ac:dyDescent="0.2">
      <c r="A12" s="1">
        <v>1</v>
      </c>
      <c r="B12" s="1">
        <v>545</v>
      </c>
      <c r="C12" s="1">
        <v>0</v>
      </c>
      <c r="D12" s="1">
        <f>ROW(A484)</f>
        <v>484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0</v>
      </c>
      <c r="BO12" s="1">
        <v>0</v>
      </c>
      <c r="BP12" s="1">
        <v>6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B484</f>
        <v>545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</v>
      </c>
      <c r="G18" s="2" t="str">
        <f t="shared" si="0"/>
        <v>Благоустройство бетонные проезды</v>
      </c>
      <c r="H18" s="2"/>
      <c r="I18" s="2"/>
      <c r="J18" s="2"/>
      <c r="K18" s="2"/>
      <c r="L18" s="2"/>
      <c r="M18" s="2"/>
      <c r="N18" s="2"/>
      <c r="O18" s="2">
        <f t="shared" ref="O18:AT18" si="1">O484</f>
        <v>8964953</v>
      </c>
      <c r="P18" s="2">
        <f t="shared" si="1"/>
        <v>5816249</v>
      </c>
      <c r="Q18" s="2">
        <f t="shared" si="1"/>
        <v>2680480</v>
      </c>
      <c r="R18" s="2">
        <f t="shared" si="1"/>
        <v>293443</v>
      </c>
      <c r="S18" s="2">
        <f t="shared" si="1"/>
        <v>468224</v>
      </c>
      <c r="T18" s="2">
        <f t="shared" si="1"/>
        <v>0</v>
      </c>
      <c r="U18" s="2">
        <f t="shared" si="1"/>
        <v>1931.8591802000001</v>
      </c>
      <c r="V18" s="2">
        <f t="shared" si="1"/>
        <v>791.76232412499985</v>
      </c>
      <c r="W18" s="2">
        <f t="shared" si="1"/>
        <v>0</v>
      </c>
      <c r="X18" s="2">
        <f t="shared" si="1"/>
        <v>966833</v>
      </c>
      <c r="Y18" s="2">
        <f t="shared" si="1"/>
        <v>630547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10562333</v>
      </c>
      <c r="AS18" s="2">
        <f t="shared" si="1"/>
        <v>5621464</v>
      </c>
      <c r="AT18" s="2">
        <f t="shared" si="1"/>
        <v>0</v>
      </c>
      <c r="AU18" s="2">
        <f t="shared" ref="AU18:BZ18" si="2">AU484</f>
        <v>4940869</v>
      </c>
      <c r="AV18" s="2">
        <f t="shared" si="2"/>
        <v>5816249</v>
      </c>
      <c r="AW18" s="2">
        <f t="shared" si="2"/>
        <v>5816249</v>
      </c>
      <c r="AX18" s="2">
        <f t="shared" si="2"/>
        <v>0</v>
      </c>
      <c r="AY18" s="2">
        <f t="shared" si="2"/>
        <v>5816249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131614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CA484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DG484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EM484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FS484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ROW(A454)</f>
        <v>454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B454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O454</f>
        <v>8964953</v>
      </c>
      <c r="P22" s="2">
        <f t="shared" si="8"/>
        <v>5816249</v>
      </c>
      <c r="Q22" s="2">
        <f t="shared" si="8"/>
        <v>2680480</v>
      </c>
      <c r="R22" s="2">
        <f t="shared" si="8"/>
        <v>293443</v>
      </c>
      <c r="S22" s="2">
        <f t="shared" si="8"/>
        <v>468224</v>
      </c>
      <c r="T22" s="2">
        <f t="shared" si="8"/>
        <v>0</v>
      </c>
      <c r="U22" s="2">
        <f t="shared" si="8"/>
        <v>1931.8591802000001</v>
      </c>
      <c r="V22" s="2">
        <f t="shared" si="8"/>
        <v>791.76232412499985</v>
      </c>
      <c r="W22" s="2">
        <f t="shared" si="8"/>
        <v>0</v>
      </c>
      <c r="X22" s="2">
        <f t="shared" si="8"/>
        <v>966833</v>
      </c>
      <c r="Y22" s="2">
        <f t="shared" si="8"/>
        <v>630547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10562333</v>
      </c>
      <c r="AS22" s="2">
        <f t="shared" si="8"/>
        <v>5621464</v>
      </c>
      <c r="AT22" s="2">
        <f t="shared" si="8"/>
        <v>0</v>
      </c>
      <c r="AU22" s="2">
        <f t="shared" ref="AU22:BZ22" si="9">AU454</f>
        <v>4940869</v>
      </c>
      <c r="AV22" s="2">
        <f t="shared" si="9"/>
        <v>5816249</v>
      </c>
      <c r="AW22" s="2">
        <f t="shared" si="9"/>
        <v>5816249</v>
      </c>
      <c r="AX22" s="2">
        <f t="shared" si="9"/>
        <v>0</v>
      </c>
      <c r="AY22" s="2">
        <f t="shared" si="9"/>
        <v>5816249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131614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CA454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DG454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EM454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FS454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ROW(A37)</f>
        <v>37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B37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Подготовительные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O37</f>
        <v>0</v>
      </c>
      <c r="P26" s="2">
        <f t="shared" si="15"/>
        <v>0</v>
      </c>
      <c r="Q26" s="2">
        <f t="shared" si="15"/>
        <v>0</v>
      </c>
      <c r="R26" s="2">
        <f t="shared" si="15"/>
        <v>0</v>
      </c>
      <c r="S26" s="2">
        <f t="shared" si="15"/>
        <v>0</v>
      </c>
      <c r="T26" s="2">
        <f t="shared" si="15"/>
        <v>0</v>
      </c>
      <c r="U26" s="2">
        <f t="shared" si="15"/>
        <v>0</v>
      </c>
      <c r="V26" s="2">
        <f t="shared" si="15"/>
        <v>0</v>
      </c>
      <c r="W26" s="2">
        <f t="shared" si="15"/>
        <v>0</v>
      </c>
      <c r="X26" s="2">
        <f t="shared" si="15"/>
        <v>0</v>
      </c>
      <c r="Y26" s="2">
        <f t="shared" si="15"/>
        <v>0</v>
      </c>
      <c r="Z26" s="2">
        <f t="shared" si="15"/>
        <v>0</v>
      </c>
      <c r="AA26" s="2">
        <f t="shared" si="15"/>
        <v>0</v>
      </c>
      <c r="AB26" s="2">
        <f t="shared" si="15"/>
        <v>0</v>
      </c>
      <c r="AC26" s="2">
        <f t="shared" si="15"/>
        <v>0</v>
      </c>
      <c r="AD26" s="2">
        <f t="shared" si="15"/>
        <v>0</v>
      </c>
      <c r="AE26" s="2">
        <f t="shared" si="15"/>
        <v>0</v>
      </c>
      <c r="AF26" s="2">
        <f t="shared" si="15"/>
        <v>0</v>
      </c>
      <c r="AG26" s="2">
        <f t="shared" si="15"/>
        <v>0</v>
      </c>
      <c r="AH26" s="2">
        <f t="shared" si="15"/>
        <v>0</v>
      </c>
      <c r="AI26" s="2">
        <f t="shared" si="15"/>
        <v>0</v>
      </c>
      <c r="AJ26" s="2">
        <f t="shared" si="15"/>
        <v>0</v>
      </c>
      <c r="AK26" s="2">
        <f t="shared" si="15"/>
        <v>0</v>
      </c>
      <c r="AL26" s="2">
        <f t="shared" si="15"/>
        <v>0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0</v>
      </c>
      <c r="AS26" s="2">
        <f t="shared" si="15"/>
        <v>0</v>
      </c>
      <c r="AT26" s="2">
        <f t="shared" si="15"/>
        <v>0</v>
      </c>
      <c r="AU26" s="2">
        <f t="shared" ref="AU26:BZ26" si="16">AU37</f>
        <v>0</v>
      </c>
      <c r="AV26" s="2">
        <f t="shared" si="16"/>
        <v>0</v>
      </c>
      <c r="AW26" s="2">
        <f t="shared" si="16"/>
        <v>0</v>
      </c>
      <c r="AX26" s="2">
        <f t="shared" si="16"/>
        <v>0</v>
      </c>
      <c r="AY26" s="2">
        <f t="shared" si="16"/>
        <v>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CA37</f>
        <v>0</v>
      </c>
      <c r="CB26" s="2">
        <f t="shared" si="17"/>
        <v>0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DG37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EM37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FS37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ROW(SmtRes!A7)</f>
        <v>7</v>
      </c>
      <c r="D28">
        <f>ROW(EtalonRes!A7)</f>
        <v>7</v>
      </c>
      <c r="E28" t="s">
        <v>15</v>
      </c>
      <c r="F28" t="s">
        <v>16</v>
      </c>
      <c r="G28" t="s">
        <v>17</v>
      </c>
      <c r="H28" t="s">
        <v>18</v>
      </c>
      <c r="J28">
        <v>0</v>
      </c>
      <c r="K28">
        <v>6.7</v>
      </c>
      <c r="O28">
        <f t="shared" ref="O28:O35" si="21">ROUND(CP28,0)</f>
        <v>0</v>
      </c>
      <c r="P28">
        <f t="shared" ref="P28:P35" si="22">ROUND(CQ28*I28,0)</f>
        <v>0</v>
      </c>
      <c r="Q28">
        <f t="shared" ref="Q28:Q35" si="23">ROUND(CR28*I28,0)</f>
        <v>0</v>
      </c>
      <c r="R28">
        <f t="shared" ref="R28:R35" si="24">ROUND(CS28*I28,0)</f>
        <v>0</v>
      </c>
      <c r="S28">
        <f t="shared" ref="S28:S35" si="25">ROUND(CT28*I28,0)</f>
        <v>0</v>
      </c>
      <c r="T28">
        <f t="shared" ref="T28:T35" si="26">ROUND(CU28*I28,0)</f>
        <v>0</v>
      </c>
      <c r="U28">
        <f t="shared" ref="U28:U35" si="27">CV28*I28</f>
        <v>0</v>
      </c>
      <c r="V28">
        <f t="shared" ref="V28:V35" si="28">CW28*I28</f>
        <v>0</v>
      </c>
      <c r="W28">
        <f t="shared" ref="W28:W35" si="29">ROUND(CX28*I28,0)</f>
        <v>0</v>
      </c>
      <c r="X28">
        <f t="shared" ref="X28:Y35" si="30">ROUND(CY28,0)</f>
        <v>0</v>
      </c>
      <c r="Y28">
        <f t="shared" si="30"/>
        <v>0</v>
      </c>
      <c r="AA28">
        <v>46416371</v>
      </c>
      <c r="AB28">
        <f t="shared" ref="AB28:AB35" si="31">ROUND((AC28+AD28+AF28),6)</f>
        <v>301.06779999999998</v>
      </c>
      <c r="AC28">
        <f t="shared" ref="AC28:AC35" si="32">ROUND((ES28),6)</f>
        <v>50.86</v>
      </c>
      <c r="AD28">
        <f>ROUND(((((ET28*1.15*0.1))-((EU28*1.15*0.1)))+AE28),6)</f>
        <v>186.59899999999999</v>
      </c>
      <c r="AE28">
        <f>ROUND(((EU28*1.15*0.1)),6)</f>
        <v>17.17755</v>
      </c>
      <c r="AF28">
        <f>ROUND(((EV28*1.15*0.2)),6)</f>
        <v>63.608800000000002</v>
      </c>
      <c r="AG28">
        <f t="shared" ref="AG28:AG35" si="33">ROUND((AP28),6)</f>
        <v>0</v>
      </c>
      <c r="AH28">
        <f>((EW28*1.15*0.2))</f>
        <v>7.9810000000000008</v>
      </c>
      <c r="AI28">
        <f>((EX28*1.15*0.1))</f>
        <v>1.82735</v>
      </c>
      <c r="AJ28">
        <f t="shared" ref="AJ28:AJ35" si="34">(AS28)</f>
        <v>0</v>
      </c>
      <c r="AK28">
        <v>1950.02</v>
      </c>
      <c r="AL28">
        <v>50.86</v>
      </c>
      <c r="AM28">
        <v>1622.6</v>
      </c>
      <c r="AN28">
        <v>149.37</v>
      </c>
      <c r="AO28">
        <v>276.56</v>
      </c>
      <c r="AP28">
        <v>0</v>
      </c>
      <c r="AQ28">
        <v>34.700000000000003</v>
      </c>
      <c r="AR28">
        <v>15.89</v>
      </c>
      <c r="AS28">
        <v>0</v>
      </c>
      <c r="AT28">
        <v>110</v>
      </c>
      <c r="AU28">
        <v>70</v>
      </c>
      <c r="AV28">
        <v>1</v>
      </c>
      <c r="AW28">
        <v>1</v>
      </c>
      <c r="AZ28">
        <v>1</v>
      </c>
      <c r="BA28">
        <v>34.75</v>
      </c>
      <c r="BB28">
        <v>13.36</v>
      </c>
      <c r="BC28">
        <v>8.2899999999999991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46001</v>
      </c>
      <c r="BN28">
        <v>0</v>
      </c>
      <c r="BO28" t="s">
        <v>3</v>
      </c>
      <c r="BP28">
        <v>0</v>
      </c>
      <c r="BQ28">
        <v>2</v>
      </c>
      <c r="BR28">
        <v>0</v>
      </c>
      <c r="BS28">
        <v>34.75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110</v>
      </c>
      <c r="CA28">
        <v>70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674</v>
      </c>
      <c r="CO28">
        <v>0</v>
      </c>
      <c r="CP28">
        <f t="shared" ref="CP28:CP35" si="35">(P28+Q28+S28)</f>
        <v>0</v>
      </c>
      <c r="CQ28">
        <f t="shared" ref="CQ28:CQ35" si="36">AC28*BC28</f>
        <v>421.62939999999998</v>
      </c>
      <c r="CR28">
        <f t="shared" ref="CR28:CR35" si="37">AD28*BB28</f>
        <v>2492.9626399999997</v>
      </c>
      <c r="CS28">
        <f t="shared" ref="CS28:CS35" si="38">AE28*BS28</f>
        <v>596.91986250000002</v>
      </c>
      <c r="CT28">
        <f t="shared" ref="CT28:CT35" si="39">AF28*BA28</f>
        <v>2210.4058</v>
      </c>
      <c r="CU28">
        <f t="shared" ref="CU28:CX35" si="40">AG28</f>
        <v>0</v>
      </c>
      <c r="CV28">
        <f t="shared" si="40"/>
        <v>7.9810000000000008</v>
      </c>
      <c r="CW28">
        <f t="shared" si="40"/>
        <v>1.82735</v>
      </c>
      <c r="CX28">
        <f t="shared" si="40"/>
        <v>0</v>
      </c>
      <c r="CY28">
        <f t="shared" ref="CY28:CY35" si="41">(((S28+R28)*AT28)/100)</f>
        <v>0</v>
      </c>
      <c r="CZ28">
        <f t="shared" ref="CZ28:CZ35" si="42">(((S28+R28)*AU28)/100)</f>
        <v>0</v>
      </c>
      <c r="DC28" t="s">
        <v>3</v>
      </c>
      <c r="DD28" t="s">
        <v>3</v>
      </c>
      <c r="DE28" t="s">
        <v>20</v>
      </c>
      <c r="DF28" t="s">
        <v>20</v>
      </c>
      <c r="DG28" t="s">
        <v>21</v>
      </c>
      <c r="DH28" t="s">
        <v>3</v>
      </c>
      <c r="DI28" t="s">
        <v>21</v>
      </c>
      <c r="DJ28" t="s">
        <v>20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18</v>
      </c>
      <c r="DW28" t="s">
        <v>18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42475977</v>
      </c>
      <c r="EF28">
        <v>2</v>
      </c>
      <c r="EG28" t="s">
        <v>22</v>
      </c>
      <c r="EH28">
        <v>0</v>
      </c>
      <c r="EI28" t="s">
        <v>3</v>
      </c>
      <c r="EJ28">
        <v>1</v>
      </c>
      <c r="EK28">
        <v>46001</v>
      </c>
      <c r="EL28" t="s">
        <v>23</v>
      </c>
      <c r="EM28" t="s">
        <v>24</v>
      </c>
      <c r="EO28" t="s">
        <v>25</v>
      </c>
      <c r="EQ28">
        <v>0</v>
      </c>
      <c r="ER28">
        <v>1950.02</v>
      </c>
      <c r="ES28">
        <v>50.86</v>
      </c>
      <c r="ET28">
        <v>1622.6</v>
      </c>
      <c r="EU28">
        <v>149.37</v>
      </c>
      <c r="EV28">
        <v>276.56</v>
      </c>
      <c r="EW28">
        <v>34.700000000000003</v>
      </c>
      <c r="EX28">
        <v>15.89</v>
      </c>
      <c r="EY28">
        <v>0</v>
      </c>
      <c r="FQ28">
        <v>0</v>
      </c>
      <c r="FR28">
        <f t="shared" ref="FR28:FR35" si="43">ROUND(IF(AND(BH28=3,BI28=3),P28,0),0)</f>
        <v>0</v>
      </c>
      <c r="FS28">
        <v>0</v>
      </c>
      <c r="FX28">
        <v>110</v>
      </c>
      <c r="FY28">
        <v>70</v>
      </c>
      <c r="GA28" t="s">
        <v>3</v>
      </c>
      <c r="GD28">
        <v>1</v>
      </c>
      <c r="GF28">
        <v>1970248756</v>
      </c>
      <c r="GG28">
        <v>2</v>
      </c>
      <c r="GH28">
        <v>1</v>
      </c>
      <c r="GI28">
        <v>4</v>
      </c>
      <c r="GJ28">
        <v>0</v>
      </c>
      <c r="GK28">
        <v>0</v>
      </c>
      <c r="GL28">
        <f t="shared" ref="GL28:GL35" si="44">ROUND(IF(AND(BH28=3,BI28=3,FS28&lt;&gt;0),P28,0),0)</f>
        <v>0</v>
      </c>
      <c r="GM28">
        <f t="shared" ref="GM28:GM35" si="45">ROUND(O28+X28+Y28,0)+GX28</f>
        <v>0</v>
      </c>
      <c r="GN28">
        <f t="shared" ref="GN28:GN35" si="46">IF(OR(BI28=0,BI28=1),ROUND(O28+X28+Y28,0),0)</f>
        <v>0</v>
      </c>
      <c r="GO28">
        <f t="shared" ref="GO28:GO35" si="47">IF(BI28=2,ROUND(O28+X28+Y28,0),0)</f>
        <v>0</v>
      </c>
      <c r="GP28">
        <f t="shared" ref="GP28:GP35" si="48">IF(BI28=4,ROUND(O28+X28+Y28,0)+GX28,0)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5" si="49">ROUND((GT28),6)</f>
        <v>0</v>
      </c>
      <c r="GW28">
        <v>1</v>
      </c>
      <c r="GX28">
        <f t="shared" ref="GX28:GX35" si="50">ROUND(HC28*I28,0)</f>
        <v>0</v>
      </c>
      <c r="HA28">
        <v>0</v>
      </c>
      <c r="HB28">
        <v>0</v>
      </c>
      <c r="HC28">
        <f t="shared" ref="HC28:HC35" si="51">GV28*GW28</f>
        <v>0</v>
      </c>
      <c r="HE28" t="s">
        <v>3</v>
      </c>
      <c r="HF28" t="s">
        <v>3</v>
      </c>
      <c r="HM28" t="s">
        <v>3</v>
      </c>
      <c r="HN28" t="s">
        <v>3</v>
      </c>
      <c r="HO28" t="s">
        <v>3</v>
      </c>
      <c r="HP28" t="s">
        <v>3</v>
      </c>
      <c r="HQ28" t="s">
        <v>3</v>
      </c>
      <c r="IK28">
        <v>0</v>
      </c>
    </row>
    <row r="29" spans="1:245" x14ac:dyDescent="0.2">
      <c r="A29">
        <v>17</v>
      </c>
      <c r="B29">
        <v>1</v>
      </c>
      <c r="C29">
        <f>ROW(SmtRes!A8)</f>
        <v>8</v>
      </c>
      <c r="D29">
        <f>ROW(EtalonRes!A8)</f>
        <v>8</v>
      </c>
      <c r="E29" t="s">
        <v>26</v>
      </c>
      <c r="F29" t="s">
        <v>27</v>
      </c>
      <c r="G29" t="s">
        <v>28</v>
      </c>
      <c r="H29" t="s">
        <v>29</v>
      </c>
      <c r="J29">
        <v>0</v>
      </c>
      <c r="K29">
        <f>ROUND((5.8+24.4)/100,9)</f>
        <v>0.30199999999999999</v>
      </c>
      <c r="O29">
        <f t="shared" si="21"/>
        <v>0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0</v>
      </c>
      <c r="T29">
        <f t="shared" si="26"/>
        <v>0</v>
      </c>
      <c r="U29">
        <f t="shared" si="27"/>
        <v>0</v>
      </c>
      <c r="V29">
        <f t="shared" si="28"/>
        <v>0</v>
      </c>
      <c r="W29">
        <f t="shared" si="29"/>
        <v>0</v>
      </c>
      <c r="X29">
        <f t="shared" si="30"/>
        <v>0</v>
      </c>
      <c r="Y29">
        <f t="shared" si="30"/>
        <v>0</v>
      </c>
      <c r="AA29">
        <v>46416371</v>
      </c>
      <c r="AB29">
        <f t="shared" si="31"/>
        <v>1291.059</v>
      </c>
      <c r="AC29">
        <f t="shared" si="32"/>
        <v>0</v>
      </c>
      <c r="AD29">
        <f>ROUND(((((ET29*1.15))-((EU29*1.15)))+AE29),6)</f>
        <v>0</v>
      </c>
      <c r="AE29">
        <f t="shared" ref="AE29:AF33" si="52">ROUND(((EU29*1.15)),6)</f>
        <v>0</v>
      </c>
      <c r="AF29">
        <f t="shared" si="52"/>
        <v>1291.059</v>
      </c>
      <c r="AG29">
        <f t="shared" si="33"/>
        <v>0</v>
      </c>
      <c r="AH29">
        <f t="shared" ref="AH29:AI33" si="53">((EW29*1.15))</f>
        <v>177.1</v>
      </c>
      <c r="AI29">
        <f t="shared" si="53"/>
        <v>0</v>
      </c>
      <c r="AJ29">
        <f t="shared" si="34"/>
        <v>0</v>
      </c>
      <c r="AK29">
        <v>1122.6600000000001</v>
      </c>
      <c r="AL29">
        <v>0</v>
      </c>
      <c r="AM29">
        <v>0</v>
      </c>
      <c r="AN29">
        <v>0</v>
      </c>
      <c r="AO29">
        <v>1122.6600000000001</v>
      </c>
      <c r="AP29">
        <v>0</v>
      </c>
      <c r="AQ29">
        <v>154</v>
      </c>
      <c r="AR29">
        <v>0</v>
      </c>
      <c r="AS29">
        <v>0</v>
      </c>
      <c r="AT29">
        <v>80</v>
      </c>
      <c r="AU29">
        <v>45</v>
      </c>
      <c r="AV29">
        <v>1</v>
      </c>
      <c r="AW29">
        <v>1</v>
      </c>
      <c r="AZ29">
        <v>1</v>
      </c>
      <c r="BA29">
        <v>34.75</v>
      </c>
      <c r="BB29">
        <v>13.36</v>
      </c>
      <c r="BC29">
        <v>8.2899999999999991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30</v>
      </c>
      <c r="BM29">
        <v>1003</v>
      </c>
      <c r="BN29">
        <v>0</v>
      </c>
      <c r="BO29" t="s">
        <v>3</v>
      </c>
      <c r="BP29">
        <v>0</v>
      </c>
      <c r="BQ29">
        <v>2</v>
      </c>
      <c r="BR29">
        <v>0</v>
      </c>
      <c r="BS29">
        <v>34.75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80</v>
      </c>
      <c r="CA29">
        <v>45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675</v>
      </c>
      <c r="CO29">
        <v>0</v>
      </c>
      <c r="CP29">
        <f t="shared" si="35"/>
        <v>0</v>
      </c>
      <c r="CQ29">
        <f t="shared" si="36"/>
        <v>0</v>
      </c>
      <c r="CR29">
        <f t="shared" si="37"/>
        <v>0</v>
      </c>
      <c r="CS29">
        <f t="shared" si="38"/>
        <v>0</v>
      </c>
      <c r="CT29">
        <f t="shared" si="39"/>
        <v>44864.30025</v>
      </c>
      <c r="CU29">
        <f t="shared" si="40"/>
        <v>0</v>
      </c>
      <c r="CV29">
        <f t="shared" si="40"/>
        <v>177.1</v>
      </c>
      <c r="CW29">
        <f t="shared" si="40"/>
        <v>0</v>
      </c>
      <c r="CX29">
        <f t="shared" si="40"/>
        <v>0</v>
      </c>
      <c r="CY29">
        <f t="shared" si="41"/>
        <v>0</v>
      </c>
      <c r="CZ29">
        <f t="shared" si="42"/>
        <v>0</v>
      </c>
      <c r="DC29" t="s">
        <v>3</v>
      </c>
      <c r="DD29" t="s">
        <v>3</v>
      </c>
      <c r="DE29" t="s">
        <v>31</v>
      </c>
      <c r="DF29" t="s">
        <v>31</v>
      </c>
      <c r="DG29" t="s">
        <v>31</v>
      </c>
      <c r="DH29" t="s">
        <v>3</v>
      </c>
      <c r="DI29" t="s">
        <v>31</v>
      </c>
      <c r="DJ29" t="s">
        <v>31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29</v>
      </c>
      <c r="DW29" t="s">
        <v>29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42475885</v>
      </c>
      <c r="EF29">
        <v>2</v>
      </c>
      <c r="EG29" t="s">
        <v>22</v>
      </c>
      <c r="EH29">
        <v>0</v>
      </c>
      <c r="EI29" t="s">
        <v>3</v>
      </c>
      <c r="EJ29">
        <v>1</v>
      </c>
      <c r="EK29">
        <v>1003</v>
      </c>
      <c r="EL29" t="s">
        <v>32</v>
      </c>
      <c r="EM29" t="s">
        <v>33</v>
      </c>
      <c r="EO29" t="s">
        <v>34</v>
      </c>
      <c r="EQ29">
        <v>0</v>
      </c>
      <c r="ER29">
        <v>1122.6600000000001</v>
      </c>
      <c r="ES29">
        <v>0</v>
      </c>
      <c r="ET29">
        <v>0</v>
      </c>
      <c r="EU29">
        <v>0</v>
      </c>
      <c r="EV29">
        <v>1122.6600000000001</v>
      </c>
      <c r="EW29">
        <v>154</v>
      </c>
      <c r="EX29">
        <v>0</v>
      </c>
      <c r="EY29">
        <v>0</v>
      </c>
      <c r="FQ29">
        <v>0</v>
      </c>
      <c r="FR29">
        <f t="shared" si="43"/>
        <v>0</v>
      </c>
      <c r="FS29">
        <v>0</v>
      </c>
      <c r="FX29">
        <v>80</v>
      </c>
      <c r="FY29">
        <v>45</v>
      </c>
      <c r="GA29" t="s">
        <v>3</v>
      </c>
      <c r="GD29">
        <v>1</v>
      </c>
      <c r="GF29">
        <v>2029658113</v>
      </c>
      <c r="GG29">
        <v>2</v>
      </c>
      <c r="GH29">
        <v>1</v>
      </c>
      <c r="GI29">
        <v>4</v>
      </c>
      <c r="GJ29">
        <v>0</v>
      </c>
      <c r="GK29">
        <v>0</v>
      </c>
      <c r="GL29">
        <f t="shared" si="44"/>
        <v>0</v>
      </c>
      <c r="GM29">
        <f t="shared" si="45"/>
        <v>0</v>
      </c>
      <c r="GN29">
        <f t="shared" si="46"/>
        <v>0</v>
      </c>
      <c r="GO29">
        <f t="shared" si="47"/>
        <v>0</v>
      </c>
      <c r="GP29">
        <f t="shared" si="48"/>
        <v>0</v>
      </c>
      <c r="GR29">
        <v>0</v>
      </c>
      <c r="GS29">
        <v>3</v>
      </c>
      <c r="GT29">
        <v>0</v>
      </c>
      <c r="GU29" t="s">
        <v>3</v>
      </c>
      <c r="GV29">
        <f t="shared" si="49"/>
        <v>0</v>
      </c>
      <c r="GW29">
        <v>1</v>
      </c>
      <c r="GX29">
        <f t="shared" si="50"/>
        <v>0</v>
      </c>
      <c r="HA29">
        <v>0</v>
      </c>
      <c r="HB29">
        <v>0</v>
      </c>
      <c r="HC29">
        <f t="shared" si="51"/>
        <v>0</v>
      </c>
      <c r="HE29" t="s">
        <v>3</v>
      </c>
      <c r="HF29" t="s">
        <v>3</v>
      </c>
      <c r="HM29" t="s">
        <v>3</v>
      </c>
      <c r="HN29" t="s">
        <v>3</v>
      </c>
      <c r="HO29" t="s">
        <v>3</v>
      </c>
      <c r="HP29" t="s">
        <v>3</v>
      </c>
      <c r="HQ29" t="s">
        <v>3</v>
      </c>
      <c r="IK29">
        <v>0</v>
      </c>
    </row>
    <row r="30" spans="1:245" x14ac:dyDescent="0.2">
      <c r="A30">
        <v>17</v>
      </c>
      <c r="B30">
        <v>1</v>
      </c>
      <c r="C30">
        <f>ROW(SmtRes!A11)</f>
        <v>11</v>
      </c>
      <c r="D30">
        <f>ROW(EtalonRes!A11)</f>
        <v>11</v>
      </c>
      <c r="E30" t="s">
        <v>3</v>
      </c>
      <c r="F30" t="s">
        <v>35</v>
      </c>
      <c r="G30" t="s">
        <v>36</v>
      </c>
      <c r="H30" t="s">
        <v>37</v>
      </c>
      <c r="J30">
        <v>0</v>
      </c>
      <c r="K30">
        <f>ROUND(5.8/100,9)</f>
        <v>5.8000000000000003E-2</v>
      </c>
      <c r="O30">
        <f t="shared" si="21"/>
        <v>0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0</v>
      </c>
      <c r="T30">
        <f t="shared" si="26"/>
        <v>0</v>
      </c>
      <c r="U30">
        <f t="shared" si="27"/>
        <v>0</v>
      </c>
      <c r="V30">
        <f t="shared" si="28"/>
        <v>0</v>
      </c>
      <c r="W30">
        <f t="shared" si="29"/>
        <v>0</v>
      </c>
      <c r="X30">
        <f t="shared" si="30"/>
        <v>0</v>
      </c>
      <c r="Y30">
        <f t="shared" si="30"/>
        <v>0</v>
      </c>
      <c r="AA30">
        <v>-1</v>
      </c>
      <c r="AB30">
        <f t="shared" si="31"/>
        <v>1537.2855</v>
      </c>
      <c r="AC30">
        <f t="shared" si="32"/>
        <v>0</v>
      </c>
      <c r="AD30">
        <f>ROUND(((((ET30*1.15))-((EU30*1.15)))+AE30),6)</f>
        <v>123.7975</v>
      </c>
      <c r="AE30">
        <f t="shared" si="52"/>
        <v>24.000499999999999</v>
      </c>
      <c r="AF30">
        <f t="shared" si="52"/>
        <v>1413.4880000000001</v>
      </c>
      <c r="AG30">
        <f t="shared" si="33"/>
        <v>0</v>
      </c>
      <c r="AH30">
        <f t="shared" si="53"/>
        <v>192.04999999999998</v>
      </c>
      <c r="AI30">
        <f t="shared" si="53"/>
        <v>2.5529999999999999</v>
      </c>
      <c r="AJ30">
        <f t="shared" si="34"/>
        <v>0</v>
      </c>
      <c r="AK30">
        <v>1336.77</v>
      </c>
      <c r="AL30">
        <v>0</v>
      </c>
      <c r="AM30">
        <v>107.65</v>
      </c>
      <c r="AN30">
        <v>20.87</v>
      </c>
      <c r="AO30">
        <v>1229.1199999999999</v>
      </c>
      <c r="AP30">
        <v>0</v>
      </c>
      <c r="AQ30">
        <v>167</v>
      </c>
      <c r="AR30">
        <v>2.2200000000000002</v>
      </c>
      <c r="AS30">
        <v>0</v>
      </c>
      <c r="AT30">
        <v>78</v>
      </c>
      <c r="AU30">
        <v>48</v>
      </c>
      <c r="AV30">
        <v>1</v>
      </c>
      <c r="AW30">
        <v>1</v>
      </c>
      <c r="AZ30">
        <v>1</v>
      </c>
      <c r="BA30">
        <v>34.75</v>
      </c>
      <c r="BB30">
        <v>13.36</v>
      </c>
      <c r="BC30">
        <v>8.2899999999999991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38</v>
      </c>
      <c r="BM30">
        <v>51001</v>
      </c>
      <c r="BN30">
        <v>0</v>
      </c>
      <c r="BO30" t="s">
        <v>3</v>
      </c>
      <c r="BP30">
        <v>0</v>
      </c>
      <c r="BQ30">
        <v>6</v>
      </c>
      <c r="BR30">
        <v>0</v>
      </c>
      <c r="BS30">
        <v>34.75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78</v>
      </c>
      <c r="CA30">
        <v>48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39</v>
      </c>
      <c r="CO30">
        <v>0</v>
      </c>
      <c r="CP30">
        <f t="shared" si="35"/>
        <v>0</v>
      </c>
      <c r="CQ30">
        <f t="shared" si="36"/>
        <v>0</v>
      </c>
      <c r="CR30">
        <f t="shared" si="37"/>
        <v>1653.9345999999998</v>
      </c>
      <c r="CS30">
        <f t="shared" si="38"/>
        <v>834.01737500000002</v>
      </c>
      <c r="CT30">
        <f t="shared" si="39"/>
        <v>49118.707999999999</v>
      </c>
      <c r="CU30">
        <f t="shared" si="40"/>
        <v>0</v>
      </c>
      <c r="CV30">
        <f t="shared" si="40"/>
        <v>192.04999999999998</v>
      </c>
      <c r="CW30">
        <f t="shared" si="40"/>
        <v>2.5529999999999999</v>
      </c>
      <c r="CX30">
        <f t="shared" si="40"/>
        <v>0</v>
      </c>
      <c r="CY30">
        <f t="shared" si="41"/>
        <v>0</v>
      </c>
      <c r="CZ30">
        <f t="shared" si="42"/>
        <v>0</v>
      </c>
      <c r="DC30" t="s">
        <v>3</v>
      </c>
      <c r="DD30" t="s">
        <v>3</v>
      </c>
      <c r="DE30" t="s">
        <v>31</v>
      </c>
      <c r="DF30" t="s">
        <v>31</v>
      </c>
      <c r="DG30" t="s">
        <v>31</v>
      </c>
      <c r="DH30" t="s">
        <v>3</v>
      </c>
      <c r="DI30" t="s">
        <v>31</v>
      </c>
      <c r="DJ30" t="s">
        <v>31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37</v>
      </c>
      <c r="DW30" t="s">
        <v>37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42475981</v>
      </c>
      <c r="EF30">
        <v>6</v>
      </c>
      <c r="EG30" t="s">
        <v>40</v>
      </c>
      <c r="EH30">
        <v>0</v>
      </c>
      <c r="EI30" t="s">
        <v>3</v>
      </c>
      <c r="EJ30">
        <v>1</v>
      </c>
      <c r="EK30">
        <v>51001</v>
      </c>
      <c r="EL30" t="s">
        <v>41</v>
      </c>
      <c r="EM30" t="s">
        <v>42</v>
      </c>
      <c r="EO30" t="s">
        <v>43</v>
      </c>
      <c r="EQ30">
        <v>1024</v>
      </c>
      <c r="ER30">
        <v>1336.77</v>
      </c>
      <c r="ES30">
        <v>0</v>
      </c>
      <c r="ET30">
        <v>107.65</v>
      </c>
      <c r="EU30">
        <v>20.87</v>
      </c>
      <c r="EV30">
        <v>1229.1199999999999</v>
      </c>
      <c r="EW30">
        <v>167</v>
      </c>
      <c r="EX30">
        <v>2.2200000000000002</v>
      </c>
      <c r="EY30">
        <v>0</v>
      </c>
      <c r="FQ30">
        <v>0</v>
      </c>
      <c r="FR30">
        <f t="shared" si="43"/>
        <v>0</v>
      </c>
      <c r="FS30">
        <v>0</v>
      </c>
      <c r="FX30">
        <v>78</v>
      </c>
      <c r="FY30">
        <v>48</v>
      </c>
      <c r="GA30" t="s">
        <v>3</v>
      </c>
      <c r="GD30">
        <v>1</v>
      </c>
      <c r="GF30">
        <v>-1829925496</v>
      </c>
      <c r="GG30">
        <v>2</v>
      </c>
      <c r="GH30">
        <v>1</v>
      </c>
      <c r="GI30">
        <v>4</v>
      </c>
      <c r="GJ30">
        <v>0</v>
      </c>
      <c r="GK30">
        <v>0</v>
      </c>
      <c r="GL30">
        <f t="shared" si="44"/>
        <v>0</v>
      </c>
      <c r="GM30">
        <f t="shared" si="45"/>
        <v>0</v>
      </c>
      <c r="GN30">
        <f t="shared" si="46"/>
        <v>0</v>
      </c>
      <c r="GO30">
        <f t="shared" si="47"/>
        <v>0</v>
      </c>
      <c r="GP30">
        <f t="shared" si="48"/>
        <v>0</v>
      </c>
      <c r="GR30">
        <v>0</v>
      </c>
      <c r="GS30">
        <v>3</v>
      </c>
      <c r="GT30">
        <v>0</v>
      </c>
      <c r="GU30" t="s">
        <v>3</v>
      </c>
      <c r="GV30">
        <f t="shared" si="49"/>
        <v>0</v>
      </c>
      <c r="GW30">
        <v>1</v>
      </c>
      <c r="GX30">
        <f t="shared" si="50"/>
        <v>0</v>
      </c>
      <c r="HA30">
        <v>0</v>
      </c>
      <c r="HB30">
        <v>0</v>
      </c>
      <c r="HC30">
        <f t="shared" si="51"/>
        <v>0</v>
      </c>
      <c r="HE30" t="s">
        <v>3</v>
      </c>
      <c r="HF30" t="s">
        <v>3</v>
      </c>
      <c r="HM30" t="s">
        <v>3</v>
      </c>
      <c r="HN30" t="s">
        <v>3</v>
      </c>
      <c r="HO30" t="s">
        <v>3</v>
      </c>
      <c r="HP30" t="s">
        <v>3</v>
      </c>
      <c r="HQ30" t="s">
        <v>3</v>
      </c>
      <c r="IK30">
        <v>0</v>
      </c>
    </row>
    <row r="31" spans="1:245" x14ac:dyDescent="0.2">
      <c r="A31">
        <v>17</v>
      </c>
      <c r="B31">
        <v>1</v>
      </c>
      <c r="C31">
        <f>ROW(SmtRes!A16)</f>
        <v>16</v>
      </c>
      <c r="D31">
        <f>ROW(EtalonRes!A16)</f>
        <v>16</v>
      </c>
      <c r="E31" t="s">
        <v>3</v>
      </c>
      <c r="F31" t="s">
        <v>44</v>
      </c>
      <c r="G31" t="s">
        <v>45</v>
      </c>
      <c r="H31" t="s">
        <v>37</v>
      </c>
      <c r="J31">
        <v>0</v>
      </c>
      <c r="K31">
        <f>ROUND(110/100,9)</f>
        <v>1.1000000000000001</v>
      </c>
      <c r="O31">
        <f t="shared" si="21"/>
        <v>0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0</v>
      </c>
      <c r="W31">
        <f t="shared" si="29"/>
        <v>0</v>
      </c>
      <c r="X31">
        <f t="shared" si="30"/>
        <v>0</v>
      </c>
      <c r="Y31">
        <f t="shared" si="30"/>
        <v>0</v>
      </c>
      <c r="AA31">
        <v>-1</v>
      </c>
      <c r="AB31">
        <f t="shared" si="31"/>
        <v>2658.8</v>
      </c>
      <c r="AC31">
        <f t="shared" si="32"/>
        <v>0</v>
      </c>
      <c r="AD31">
        <f>ROUND(((((ET31*1.15))-((EU31*1.15)))+AE31),6)</f>
        <v>1180.6015</v>
      </c>
      <c r="AE31">
        <f t="shared" si="52"/>
        <v>111.527</v>
      </c>
      <c r="AF31">
        <f t="shared" si="52"/>
        <v>1478.1985</v>
      </c>
      <c r="AG31">
        <f t="shared" si="33"/>
        <v>0</v>
      </c>
      <c r="AH31">
        <f t="shared" si="53"/>
        <v>198.95</v>
      </c>
      <c r="AI31">
        <f t="shared" si="53"/>
        <v>10.327</v>
      </c>
      <c r="AJ31">
        <f t="shared" si="34"/>
        <v>0</v>
      </c>
      <c r="AK31">
        <v>2312</v>
      </c>
      <c r="AL31">
        <v>0</v>
      </c>
      <c r="AM31">
        <v>1026.6099999999999</v>
      </c>
      <c r="AN31">
        <v>96.98</v>
      </c>
      <c r="AO31">
        <v>1285.3900000000001</v>
      </c>
      <c r="AP31">
        <v>0</v>
      </c>
      <c r="AQ31">
        <v>173</v>
      </c>
      <c r="AR31">
        <v>8.98</v>
      </c>
      <c r="AS31">
        <v>0</v>
      </c>
      <c r="AT31">
        <v>78</v>
      </c>
      <c r="AU31">
        <v>48</v>
      </c>
      <c r="AV31">
        <v>1</v>
      </c>
      <c r="AW31">
        <v>1</v>
      </c>
      <c r="AZ31">
        <v>1</v>
      </c>
      <c r="BA31">
        <v>34.75</v>
      </c>
      <c r="BB31">
        <v>13.36</v>
      </c>
      <c r="BC31">
        <v>8.2899999999999991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46</v>
      </c>
      <c r="BM31">
        <v>51001</v>
      </c>
      <c r="BN31">
        <v>0</v>
      </c>
      <c r="BO31" t="s">
        <v>3</v>
      </c>
      <c r="BP31">
        <v>0</v>
      </c>
      <c r="BQ31">
        <v>6</v>
      </c>
      <c r="BR31">
        <v>0</v>
      </c>
      <c r="BS31">
        <v>34.75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78</v>
      </c>
      <c r="CA31">
        <v>48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676</v>
      </c>
      <c r="CO31">
        <v>0</v>
      </c>
      <c r="CP31">
        <f t="shared" si="35"/>
        <v>0</v>
      </c>
      <c r="CQ31">
        <f t="shared" si="36"/>
        <v>0</v>
      </c>
      <c r="CR31">
        <f t="shared" si="37"/>
        <v>15772.836039999998</v>
      </c>
      <c r="CS31">
        <f t="shared" si="38"/>
        <v>3875.5632500000002</v>
      </c>
      <c r="CT31">
        <f t="shared" si="39"/>
        <v>51367.397875000002</v>
      </c>
      <c r="CU31">
        <f t="shared" si="40"/>
        <v>0</v>
      </c>
      <c r="CV31">
        <f t="shared" si="40"/>
        <v>198.95</v>
      </c>
      <c r="CW31">
        <f t="shared" si="40"/>
        <v>10.327</v>
      </c>
      <c r="CX31">
        <f t="shared" si="40"/>
        <v>0</v>
      </c>
      <c r="CY31">
        <f t="shared" si="41"/>
        <v>0</v>
      </c>
      <c r="CZ31">
        <f t="shared" si="42"/>
        <v>0</v>
      </c>
      <c r="DC31" t="s">
        <v>3</v>
      </c>
      <c r="DD31" t="s">
        <v>3</v>
      </c>
      <c r="DE31" t="s">
        <v>47</v>
      </c>
      <c r="DF31" t="s">
        <v>47</v>
      </c>
      <c r="DG31" t="s">
        <v>31</v>
      </c>
      <c r="DH31" t="s">
        <v>3</v>
      </c>
      <c r="DI31" t="s">
        <v>31</v>
      </c>
      <c r="DJ31" t="s">
        <v>47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37</v>
      </c>
      <c r="DW31" t="s">
        <v>37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42475981</v>
      </c>
      <c r="EF31">
        <v>6</v>
      </c>
      <c r="EG31" t="s">
        <v>40</v>
      </c>
      <c r="EH31">
        <v>0</v>
      </c>
      <c r="EI31" t="s">
        <v>3</v>
      </c>
      <c r="EJ31">
        <v>1</v>
      </c>
      <c r="EK31">
        <v>51001</v>
      </c>
      <c r="EL31" t="s">
        <v>41</v>
      </c>
      <c r="EM31" t="s">
        <v>42</v>
      </c>
      <c r="EO31" t="s">
        <v>48</v>
      </c>
      <c r="EQ31">
        <v>1024</v>
      </c>
      <c r="ER31">
        <v>2312</v>
      </c>
      <c r="ES31">
        <v>0</v>
      </c>
      <c r="ET31">
        <v>1026.6099999999999</v>
      </c>
      <c r="EU31">
        <v>96.98</v>
      </c>
      <c r="EV31">
        <v>1285.3900000000001</v>
      </c>
      <c r="EW31">
        <v>173</v>
      </c>
      <c r="EX31">
        <v>8.98</v>
      </c>
      <c r="EY31">
        <v>0</v>
      </c>
      <c r="FQ31">
        <v>0</v>
      </c>
      <c r="FR31">
        <f t="shared" si="43"/>
        <v>0</v>
      </c>
      <c r="FS31">
        <v>0</v>
      </c>
      <c r="FX31">
        <v>78</v>
      </c>
      <c r="FY31">
        <v>48</v>
      </c>
      <c r="GA31" t="s">
        <v>3</v>
      </c>
      <c r="GD31">
        <v>1</v>
      </c>
      <c r="GF31">
        <v>414149039</v>
      </c>
      <c r="GG31">
        <v>2</v>
      </c>
      <c r="GH31">
        <v>1</v>
      </c>
      <c r="GI31">
        <v>4</v>
      </c>
      <c r="GJ31">
        <v>0</v>
      </c>
      <c r="GK31">
        <v>0</v>
      </c>
      <c r="GL31">
        <f t="shared" si="44"/>
        <v>0</v>
      </c>
      <c r="GM31">
        <f t="shared" si="45"/>
        <v>0</v>
      </c>
      <c r="GN31">
        <f t="shared" si="46"/>
        <v>0</v>
      </c>
      <c r="GO31">
        <f t="shared" si="47"/>
        <v>0</v>
      </c>
      <c r="GP31">
        <f t="shared" si="48"/>
        <v>0</v>
      </c>
      <c r="GR31">
        <v>0</v>
      </c>
      <c r="GS31">
        <v>3</v>
      </c>
      <c r="GT31">
        <v>0</v>
      </c>
      <c r="GU31" t="s">
        <v>3</v>
      </c>
      <c r="GV31">
        <f t="shared" si="49"/>
        <v>0</v>
      </c>
      <c r="GW31">
        <v>1</v>
      </c>
      <c r="GX31">
        <f t="shared" si="50"/>
        <v>0</v>
      </c>
      <c r="HA31">
        <v>0</v>
      </c>
      <c r="HB31">
        <v>0</v>
      </c>
      <c r="HC31">
        <f t="shared" si="51"/>
        <v>0</v>
      </c>
      <c r="HE31" t="s">
        <v>3</v>
      </c>
      <c r="HF31" t="s">
        <v>3</v>
      </c>
      <c r="HM31" t="s">
        <v>3</v>
      </c>
      <c r="HN31" t="s">
        <v>3</v>
      </c>
      <c r="HO31" t="s">
        <v>3</v>
      </c>
      <c r="HP31" t="s">
        <v>3</v>
      </c>
      <c r="HQ31" t="s">
        <v>3</v>
      </c>
      <c r="IK31">
        <v>0</v>
      </c>
    </row>
    <row r="32" spans="1:245" x14ac:dyDescent="0.2">
      <c r="A32">
        <v>17</v>
      </c>
      <c r="B32">
        <v>1</v>
      </c>
      <c r="C32">
        <f>ROW(SmtRes!A21)</f>
        <v>21</v>
      </c>
      <c r="D32">
        <f>ROW(EtalonRes!A21)</f>
        <v>21</v>
      </c>
      <c r="E32" t="s">
        <v>3</v>
      </c>
      <c r="F32" t="s">
        <v>44</v>
      </c>
      <c r="G32" t="s">
        <v>49</v>
      </c>
      <c r="H32" t="s">
        <v>37</v>
      </c>
      <c r="J32">
        <v>0</v>
      </c>
      <c r="K32">
        <f>ROUND(134/100,9)</f>
        <v>1.34</v>
      </c>
      <c r="O32">
        <f t="shared" si="21"/>
        <v>0</v>
      </c>
      <c r="P32">
        <f t="shared" si="22"/>
        <v>0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</v>
      </c>
      <c r="X32">
        <f t="shared" si="30"/>
        <v>0</v>
      </c>
      <c r="Y32">
        <f t="shared" si="30"/>
        <v>0</v>
      </c>
      <c r="AA32">
        <v>-1</v>
      </c>
      <c r="AB32">
        <f t="shared" si="31"/>
        <v>2658.8</v>
      </c>
      <c r="AC32">
        <f t="shared" si="32"/>
        <v>0</v>
      </c>
      <c r="AD32">
        <f>ROUND(((((ET32*1.15))-((EU32*1.15)))+AE32),6)</f>
        <v>1180.6015</v>
      </c>
      <c r="AE32">
        <f t="shared" si="52"/>
        <v>111.527</v>
      </c>
      <c r="AF32">
        <f t="shared" si="52"/>
        <v>1478.1985</v>
      </c>
      <c r="AG32">
        <f t="shared" si="33"/>
        <v>0</v>
      </c>
      <c r="AH32">
        <f t="shared" si="53"/>
        <v>198.95</v>
      </c>
      <c r="AI32">
        <f t="shared" si="53"/>
        <v>10.327</v>
      </c>
      <c r="AJ32">
        <f t="shared" si="34"/>
        <v>0</v>
      </c>
      <c r="AK32">
        <v>2312</v>
      </c>
      <c r="AL32">
        <v>0</v>
      </c>
      <c r="AM32">
        <v>1026.6099999999999</v>
      </c>
      <c r="AN32">
        <v>96.98</v>
      </c>
      <c r="AO32">
        <v>1285.3900000000001</v>
      </c>
      <c r="AP32">
        <v>0</v>
      </c>
      <c r="AQ32">
        <v>173</v>
      </c>
      <c r="AR32">
        <v>8.98</v>
      </c>
      <c r="AS32">
        <v>0</v>
      </c>
      <c r="AT32">
        <v>78</v>
      </c>
      <c r="AU32">
        <v>48</v>
      </c>
      <c r="AV32">
        <v>1</v>
      </c>
      <c r="AW32">
        <v>1</v>
      </c>
      <c r="AZ32">
        <v>1</v>
      </c>
      <c r="BA32">
        <v>34.75</v>
      </c>
      <c r="BB32">
        <v>13.36</v>
      </c>
      <c r="BC32">
        <v>8.2899999999999991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46</v>
      </c>
      <c r="BM32">
        <v>51001</v>
      </c>
      <c r="BN32">
        <v>0</v>
      </c>
      <c r="BO32" t="s">
        <v>3</v>
      </c>
      <c r="BP32">
        <v>0</v>
      </c>
      <c r="BQ32">
        <v>6</v>
      </c>
      <c r="BR32">
        <v>0</v>
      </c>
      <c r="BS32">
        <v>34.75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78</v>
      </c>
      <c r="CA32">
        <v>48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676</v>
      </c>
      <c r="CO32">
        <v>0</v>
      </c>
      <c r="CP32">
        <f t="shared" si="35"/>
        <v>0</v>
      </c>
      <c r="CQ32">
        <f t="shared" si="36"/>
        <v>0</v>
      </c>
      <c r="CR32">
        <f t="shared" si="37"/>
        <v>15772.836039999998</v>
      </c>
      <c r="CS32">
        <f t="shared" si="38"/>
        <v>3875.5632500000002</v>
      </c>
      <c r="CT32">
        <f t="shared" si="39"/>
        <v>51367.397875000002</v>
      </c>
      <c r="CU32">
        <f t="shared" si="40"/>
        <v>0</v>
      </c>
      <c r="CV32">
        <f t="shared" si="40"/>
        <v>198.95</v>
      </c>
      <c r="CW32">
        <f t="shared" si="40"/>
        <v>10.327</v>
      </c>
      <c r="CX32">
        <f t="shared" si="40"/>
        <v>0</v>
      </c>
      <c r="CY32">
        <f t="shared" si="41"/>
        <v>0</v>
      </c>
      <c r="CZ32">
        <f t="shared" si="42"/>
        <v>0</v>
      </c>
      <c r="DC32" t="s">
        <v>3</v>
      </c>
      <c r="DD32" t="s">
        <v>3</v>
      </c>
      <c r="DE32" t="s">
        <v>47</v>
      </c>
      <c r="DF32" t="s">
        <v>47</v>
      </c>
      <c r="DG32" t="s">
        <v>31</v>
      </c>
      <c r="DH32" t="s">
        <v>3</v>
      </c>
      <c r="DI32" t="s">
        <v>31</v>
      </c>
      <c r="DJ32" t="s">
        <v>47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37</v>
      </c>
      <c r="DW32" t="s">
        <v>37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42475981</v>
      </c>
      <c r="EF32">
        <v>6</v>
      </c>
      <c r="EG32" t="s">
        <v>40</v>
      </c>
      <c r="EH32">
        <v>0</v>
      </c>
      <c r="EI32" t="s">
        <v>3</v>
      </c>
      <c r="EJ32">
        <v>1</v>
      </c>
      <c r="EK32">
        <v>51001</v>
      </c>
      <c r="EL32" t="s">
        <v>41</v>
      </c>
      <c r="EM32" t="s">
        <v>42</v>
      </c>
      <c r="EO32" t="s">
        <v>48</v>
      </c>
      <c r="EQ32">
        <v>1024</v>
      </c>
      <c r="ER32">
        <v>2312</v>
      </c>
      <c r="ES32">
        <v>0</v>
      </c>
      <c r="ET32">
        <v>1026.6099999999999</v>
      </c>
      <c r="EU32">
        <v>96.98</v>
      </c>
      <c r="EV32">
        <v>1285.3900000000001</v>
      </c>
      <c r="EW32">
        <v>173</v>
      </c>
      <c r="EX32">
        <v>8.98</v>
      </c>
      <c r="EY32">
        <v>0</v>
      </c>
      <c r="FQ32">
        <v>0</v>
      </c>
      <c r="FR32">
        <f t="shared" si="43"/>
        <v>0</v>
      </c>
      <c r="FS32">
        <v>0</v>
      </c>
      <c r="FX32">
        <v>78</v>
      </c>
      <c r="FY32">
        <v>48</v>
      </c>
      <c r="GA32" t="s">
        <v>3</v>
      </c>
      <c r="GD32">
        <v>1</v>
      </c>
      <c r="GF32">
        <v>2102167728</v>
      </c>
      <c r="GG32">
        <v>2</v>
      </c>
      <c r="GH32">
        <v>1</v>
      </c>
      <c r="GI32">
        <v>4</v>
      </c>
      <c r="GJ32">
        <v>0</v>
      </c>
      <c r="GK32">
        <v>0</v>
      </c>
      <c r="GL32">
        <f t="shared" si="44"/>
        <v>0</v>
      </c>
      <c r="GM32">
        <f t="shared" si="45"/>
        <v>0</v>
      </c>
      <c r="GN32">
        <f t="shared" si="46"/>
        <v>0</v>
      </c>
      <c r="GO32">
        <f t="shared" si="47"/>
        <v>0</v>
      </c>
      <c r="GP32">
        <f t="shared" si="48"/>
        <v>0</v>
      </c>
      <c r="GR32">
        <v>0</v>
      </c>
      <c r="GS32">
        <v>3</v>
      </c>
      <c r="GT32">
        <v>0</v>
      </c>
      <c r="GU32" t="s">
        <v>3</v>
      </c>
      <c r="GV32">
        <f t="shared" si="49"/>
        <v>0</v>
      </c>
      <c r="GW32">
        <v>1</v>
      </c>
      <c r="GX32">
        <f t="shared" si="50"/>
        <v>0</v>
      </c>
      <c r="HA32">
        <v>0</v>
      </c>
      <c r="HB32">
        <v>0</v>
      </c>
      <c r="HC32">
        <f t="shared" si="51"/>
        <v>0</v>
      </c>
      <c r="HE32" t="s">
        <v>3</v>
      </c>
      <c r="HF32" t="s">
        <v>3</v>
      </c>
      <c r="HM32" t="s">
        <v>3</v>
      </c>
      <c r="HN32" t="s">
        <v>3</v>
      </c>
      <c r="HO32" t="s">
        <v>3</v>
      </c>
      <c r="HP32" t="s">
        <v>3</v>
      </c>
      <c r="HQ32" t="s">
        <v>3</v>
      </c>
      <c r="IK32">
        <v>0</v>
      </c>
    </row>
    <row r="33" spans="1:245" x14ac:dyDescent="0.2">
      <c r="A33">
        <v>17</v>
      </c>
      <c r="B33">
        <v>1</v>
      </c>
      <c r="C33">
        <f>ROW(SmtRes!A26)</f>
        <v>26</v>
      </c>
      <c r="D33">
        <f>ROW(EtalonRes!A26)</f>
        <v>26</v>
      </c>
      <c r="E33" t="s">
        <v>3</v>
      </c>
      <c r="F33" t="s">
        <v>50</v>
      </c>
      <c r="G33" t="s">
        <v>51</v>
      </c>
      <c r="H33" t="s">
        <v>52</v>
      </c>
      <c r="J33">
        <v>0</v>
      </c>
      <c r="K33">
        <f>ROUND(88/1000,9)</f>
        <v>8.7999999999999995E-2</v>
      </c>
      <c r="O33">
        <f t="shared" si="21"/>
        <v>0</v>
      </c>
      <c r="P33">
        <f t="shared" si="22"/>
        <v>0</v>
      </c>
      <c r="Q33">
        <f t="shared" si="23"/>
        <v>0</v>
      </c>
      <c r="R33">
        <f t="shared" si="24"/>
        <v>0</v>
      </c>
      <c r="S33">
        <f t="shared" si="25"/>
        <v>0</v>
      </c>
      <c r="T33">
        <f t="shared" si="26"/>
        <v>0</v>
      </c>
      <c r="U33">
        <f t="shared" si="27"/>
        <v>0</v>
      </c>
      <c r="V33">
        <f t="shared" si="28"/>
        <v>0</v>
      </c>
      <c r="W33">
        <f t="shared" si="29"/>
        <v>0</v>
      </c>
      <c r="X33">
        <f t="shared" si="30"/>
        <v>0</v>
      </c>
      <c r="Y33">
        <f t="shared" si="30"/>
        <v>0</v>
      </c>
      <c r="AA33">
        <v>-1</v>
      </c>
      <c r="AB33">
        <f t="shared" si="31"/>
        <v>5928.1949999999997</v>
      </c>
      <c r="AC33">
        <f t="shared" si="32"/>
        <v>4.66</v>
      </c>
      <c r="AD33">
        <f>ROUND(((((ET33*1.15))-((EU33*1.15)))+AE33),6)</f>
        <v>5660.9669999999996</v>
      </c>
      <c r="AE33">
        <f t="shared" si="52"/>
        <v>1123.067</v>
      </c>
      <c r="AF33">
        <f t="shared" si="52"/>
        <v>262.56799999999998</v>
      </c>
      <c r="AG33">
        <f t="shared" si="33"/>
        <v>0</v>
      </c>
      <c r="AH33">
        <f t="shared" si="53"/>
        <v>36.018000000000001</v>
      </c>
      <c r="AI33">
        <f t="shared" si="53"/>
        <v>103.6035</v>
      </c>
      <c r="AJ33">
        <f t="shared" si="34"/>
        <v>0</v>
      </c>
      <c r="AK33">
        <v>5155.5600000000004</v>
      </c>
      <c r="AL33">
        <v>4.66</v>
      </c>
      <c r="AM33">
        <v>4922.58</v>
      </c>
      <c r="AN33">
        <v>976.58</v>
      </c>
      <c r="AO33">
        <v>228.32</v>
      </c>
      <c r="AP33">
        <v>0</v>
      </c>
      <c r="AQ33">
        <v>31.32</v>
      </c>
      <c r="AR33">
        <v>90.09</v>
      </c>
      <c r="AS33">
        <v>0</v>
      </c>
      <c r="AT33">
        <v>95</v>
      </c>
      <c r="AU33">
        <v>50</v>
      </c>
      <c r="AV33">
        <v>1</v>
      </c>
      <c r="AW33">
        <v>1</v>
      </c>
      <c r="AZ33">
        <v>1</v>
      </c>
      <c r="BA33">
        <v>34.75</v>
      </c>
      <c r="BB33">
        <v>13.36</v>
      </c>
      <c r="BC33">
        <v>8.2899999999999991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53</v>
      </c>
      <c r="BM33">
        <v>1001</v>
      </c>
      <c r="BN33">
        <v>0</v>
      </c>
      <c r="BO33" t="s">
        <v>3</v>
      </c>
      <c r="BP33">
        <v>0</v>
      </c>
      <c r="BQ33">
        <v>2</v>
      </c>
      <c r="BR33">
        <v>0</v>
      </c>
      <c r="BS33">
        <v>34.75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95</v>
      </c>
      <c r="CA33">
        <v>50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677</v>
      </c>
      <c r="CO33">
        <v>0</v>
      </c>
      <c r="CP33">
        <f t="shared" si="35"/>
        <v>0</v>
      </c>
      <c r="CQ33">
        <f t="shared" si="36"/>
        <v>38.631399999999999</v>
      </c>
      <c r="CR33">
        <f t="shared" si="37"/>
        <v>75630.519119999997</v>
      </c>
      <c r="CS33">
        <f t="shared" si="38"/>
        <v>39026.578249999999</v>
      </c>
      <c r="CT33">
        <f t="shared" si="39"/>
        <v>9124.2379999999994</v>
      </c>
      <c r="CU33">
        <f t="shared" si="40"/>
        <v>0</v>
      </c>
      <c r="CV33">
        <f t="shared" si="40"/>
        <v>36.018000000000001</v>
      </c>
      <c r="CW33">
        <f t="shared" si="40"/>
        <v>103.6035</v>
      </c>
      <c r="CX33">
        <f t="shared" si="40"/>
        <v>0</v>
      </c>
      <c r="CY33">
        <f t="shared" si="41"/>
        <v>0</v>
      </c>
      <c r="CZ33">
        <f t="shared" si="42"/>
        <v>0</v>
      </c>
      <c r="DC33" t="s">
        <v>3</v>
      </c>
      <c r="DD33" t="s">
        <v>3</v>
      </c>
      <c r="DE33" t="s">
        <v>31</v>
      </c>
      <c r="DF33" t="s">
        <v>31</v>
      </c>
      <c r="DG33" t="s">
        <v>31</v>
      </c>
      <c r="DH33" t="s">
        <v>3</v>
      </c>
      <c r="DI33" t="s">
        <v>31</v>
      </c>
      <c r="DJ33" t="s">
        <v>31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52</v>
      </c>
      <c r="DW33" t="s">
        <v>52</v>
      </c>
      <c r="DX33">
        <v>1000</v>
      </c>
      <c r="DZ33" t="s">
        <v>3</v>
      </c>
      <c r="EA33" t="s">
        <v>3</v>
      </c>
      <c r="EB33" t="s">
        <v>3</v>
      </c>
      <c r="EC33" t="s">
        <v>3</v>
      </c>
      <c r="EE33">
        <v>42475883</v>
      </c>
      <c r="EF33">
        <v>2</v>
      </c>
      <c r="EG33" t="s">
        <v>22</v>
      </c>
      <c r="EH33">
        <v>0</v>
      </c>
      <c r="EI33" t="s">
        <v>3</v>
      </c>
      <c r="EJ33">
        <v>1</v>
      </c>
      <c r="EK33">
        <v>1001</v>
      </c>
      <c r="EL33" t="s">
        <v>54</v>
      </c>
      <c r="EM33" t="s">
        <v>33</v>
      </c>
      <c r="EO33" t="s">
        <v>55</v>
      </c>
      <c r="EQ33">
        <v>1024</v>
      </c>
      <c r="ER33">
        <v>5155.5600000000004</v>
      </c>
      <c r="ES33">
        <v>4.66</v>
      </c>
      <c r="ET33">
        <v>4922.58</v>
      </c>
      <c r="EU33">
        <v>976.58</v>
      </c>
      <c r="EV33">
        <v>228.32</v>
      </c>
      <c r="EW33">
        <v>31.32</v>
      </c>
      <c r="EX33">
        <v>90.09</v>
      </c>
      <c r="EY33">
        <v>0</v>
      </c>
      <c r="FQ33">
        <v>0</v>
      </c>
      <c r="FR33">
        <f t="shared" si="43"/>
        <v>0</v>
      </c>
      <c r="FS33">
        <v>0</v>
      </c>
      <c r="FX33">
        <v>95</v>
      </c>
      <c r="FY33">
        <v>50</v>
      </c>
      <c r="GA33" t="s">
        <v>3</v>
      </c>
      <c r="GD33">
        <v>1</v>
      </c>
      <c r="GF33">
        <v>1569562009</v>
      </c>
      <c r="GG33">
        <v>2</v>
      </c>
      <c r="GH33">
        <v>1</v>
      </c>
      <c r="GI33">
        <v>4</v>
      </c>
      <c r="GJ33">
        <v>0</v>
      </c>
      <c r="GK33">
        <v>0</v>
      </c>
      <c r="GL33">
        <f t="shared" si="44"/>
        <v>0</v>
      </c>
      <c r="GM33">
        <f t="shared" si="45"/>
        <v>0</v>
      </c>
      <c r="GN33">
        <f t="shared" si="46"/>
        <v>0</v>
      </c>
      <c r="GO33">
        <f t="shared" si="47"/>
        <v>0</v>
      </c>
      <c r="GP33">
        <f t="shared" si="48"/>
        <v>0</v>
      </c>
      <c r="GR33">
        <v>0</v>
      </c>
      <c r="GS33">
        <v>3</v>
      </c>
      <c r="GT33">
        <v>0</v>
      </c>
      <c r="GU33" t="s">
        <v>3</v>
      </c>
      <c r="GV33">
        <f t="shared" si="49"/>
        <v>0</v>
      </c>
      <c r="GW33">
        <v>1</v>
      </c>
      <c r="GX33">
        <f t="shared" si="50"/>
        <v>0</v>
      </c>
      <c r="HA33">
        <v>0</v>
      </c>
      <c r="HB33">
        <v>0</v>
      </c>
      <c r="HC33">
        <f t="shared" si="51"/>
        <v>0</v>
      </c>
      <c r="HE33" t="s">
        <v>3</v>
      </c>
      <c r="HF33" t="s">
        <v>3</v>
      </c>
      <c r="HM33" t="s">
        <v>3</v>
      </c>
      <c r="HN33" t="s">
        <v>3</v>
      </c>
      <c r="HO33" t="s">
        <v>3</v>
      </c>
      <c r="HP33" t="s">
        <v>3</v>
      </c>
      <c r="HQ33" t="s">
        <v>3</v>
      </c>
      <c r="IK33">
        <v>0</v>
      </c>
    </row>
    <row r="34" spans="1:245" x14ac:dyDescent="0.2">
      <c r="A34">
        <v>17</v>
      </c>
      <c r="B34">
        <v>1</v>
      </c>
      <c r="E34" t="s">
        <v>56</v>
      </c>
      <c r="F34" t="s">
        <v>57</v>
      </c>
      <c r="G34" t="s">
        <v>58</v>
      </c>
      <c r="H34" t="s">
        <v>59</v>
      </c>
      <c r="J34">
        <v>0</v>
      </c>
      <c r="K34">
        <v>27.7</v>
      </c>
      <c r="O34">
        <f t="shared" si="21"/>
        <v>0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0"/>
        <v>0</v>
      </c>
      <c r="AA34">
        <v>46416371</v>
      </c>
      <c r="AB34">
        <f t="shared" si="31"/>
        <v>2.72</v>
      </c>
      <c r="AC34">
        <f t="shared" si="32"/>
        <v>0</v>
      </c>
      <c r="AD34">
        <f>ROUND(((ET34)+ROUND(((EU34)*1.85),2)),6)</f>
        <v>2.72</v>
      </c>
      <c r="AE34">
        <f>ROUND(((EU34)+ROUND(((EU34)*1.85),2)),6)</f>
        <v>0</v>
      </c>
      <c r="AF34">
        <f>ROUND(((EV34)+ROUND(((EV34)*1.85),2)),6)</f>
        <v>0</v>
      </c>
      <c r="AG34">
        <f t="shared" si="33"/>
        <v>0</v>
      </c>
      <c r="AH34">
        <f>(EW34)</f>
        <v>0</v>
      </c>
      <c r="AI34">
        <f>(EX34)</f>
        <v>0</v>
      </c>
      <c r="AJ34">
        <f t="shared" si="34"/>
        <v>0</v>
      </c>
      <c r="AK34">
        <v>2.72</v>
      </c>
      <c r="AL34">
        <v>0</v>
      </c>
      <c r="AM34">
        <v>2.72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34.75</v>
      </c>
      <c r="BB34">
        <v>13.36</v>
      </c>
      <c r="BC34">
        <v>8.2899999999999991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60</v>
      </c>
      <c r="BM34">
        <v>700001</v>
      </c>
      <c r="BN34">
        <v>0</v>
      </c>
      <c r="BO34" t="s">
        <v>3</v>
      </c>
      <c r="BP34">
        <v>0</v>
      </c>
      <c r="BQ34">
        <v>10</v>
      </c>
      <c r="BR34">
        <v>0</v>
      </c>
      <c r="BS34">
        <v>34.75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5"/>
        <v>0</v>
      </c>
      <c r="CQ34">
        <f t="shared" si="36"/>
        <v>0</v>
      </c>
      <c r="CR34">
        <f t="shared" si="37"/>
        <v>36.339199999999998</v>
      </c>
      <c r="CS34">
        <f t="shared" si="38"/>
        <v>0</v>
      </c>
      <c r="CT34">
        <f t="shared" si="39"/>
        <v>0</v>
      </c>
      <c r="CU34">
        <f t="shared" si="40"/>
        <v>0</v>
      </c>
      <c r="CV34">
        <f t="shared" si="40"/>
        <v>0</v>
      </c>
      <c r="CW34">
        <f t="shared" si="40"/>
        <v>0</v>
      </c>
      <c r="CX34">
        <f t="shared" si="40"/>
        <v>0</v>
      </c>
      <c r="CY34">
        <f t="shared" si="41"/>
        <v>0</v>
      </c>
      <c r="CZ34">
        <f t="shared" si="42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59</v>
      </c>
      <c r="DW34" t="s">
        <v>59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42475847</v>
      </c>
      <c r="EF34">
        <v>10</v>
      </c>
      <c r="EG34" t="s">
        <v>61</v>
      </c>
      <c r="EH34">
        <v>0</v>
      </c>
      <c r="EI34" t="s">
        <v>3</v>
      </c>
      <c r="EJ34">
        <v>1</v>
      </c>
      <c r="EK34">
        <v>700001</v>
      </c>
      <c r="EL34" t="s">
        <v>62</v>
      </c>
      <c r="EM34" t="s">
        <v>63</v>
      </c>
      <c r="EO34" t="s">
        <v>3</v>
      </c>
      <c r="EQ34">
        <v>0</v>
      </c>
      <c r="ER34">
        <v>2.72</v>
      </c>
      <c r="ES34">
        <v>0</v>
      </c>
      <c r="ET34">
        <v>2.72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43"/>
        <v>0</v>
      </c>
      <c r="FS34">
        <v>0</v>
      </c>
      <c r="FX34">
        <v>0</v>
      </c>
      <c r="FY34">
        <v>0</v>
      </c>
      <c r="GA34" t="s">
        <v>3</v>
      </c>
      <c r="GD34">
        <v>1</v>
      </c>
      <c r="GF34">
        <v>-259009414</v>
      </c>
      <c r="GG34">
        <v>2</v>
      </c>
      <c r="GH34">
        <v>1</v>
      </c>
      <c r="GI34">
        <v>4</v>
      </c>
      <c r="GJ34">
        <v>0</v>
      </c>
      <c r="GK34">
        <v>0</v>
      </c>
      <c r="GL34">
        <f t="shared" si="44"/>
        <v>0</v>
      </c>
      <c r="GM34">
        <f t="shared" si="45"/>
        <v>0</v>
      </c>
      <c r="GN34">
        <f t="shared" si="46"/>
        <v>0</v>
      </c>
      <c r="GO34">
        <f t="shared" si="47"/>
        <v>0</v>
      </c>
      <c r="GP34">
        <f t="shared" si="48"/>
        <v>0</v>
      </c>
      <c r="GR34">
        <v>0</v>
      </c>
      <c r="GS34">
        <v>3</v>
      </c>
      <c r="GT34">
        <v>0</v>
      </c>
      <c r="GU34" t="s">
        <v>3</v>
      </c>
      <c r="GV34">
        <f t="shared" si="49"/>
        <v>0</v>
      </c>
      <c r="GW34">
        <v>1</v>
      </c>
      <c r="GX34">
        <f t="shared" si="50"/>
        <v>0</v>
      </c>
      <c r="HA34">
        <v>0</v>
      </c>
      <c r="HB34">
        <v>0</v>
      </c>
      <c r="HC34">
        <f t="shared" si="51"/>
        <v>0</v>
      </c>
      <c r="HD34">
        <f>GM34</f>
        <v>0</v>
      </c>
      <c r="HE34" t="s">
        <v>3</v>
      </c>
      <c r="HF34" t="s">
        <v>3</v>
      </c>
      <c r="HM34" t="s">
        <v>3</v>
      </c>
      <c r="HN34" t="s">
        <v>3</v>
      </c>
      <c r="HO34" t="s">
        <v>3</v>
      </c>
      <c r="HP34" t="s">
        <v>3</v>
      </c>
      <c r="HQ34" t="s">
        <v>3</v>
      </c>
      <c r="IK34">
        <v>0</v>
      </c>
    </row>
    <row r="35" spans="1:245" x14ac:dyDescent="0.2">
      <c r="A35">
        <v>17</v>
      </c>
      <c r="B35">
        <v>1</v>
      </c>
      <c r="E35" t="s">
        <v>64</v>
      </c>
      <c r="F35" t="s">
        <v>65</v>
      </c>
      <c r="G35" t="s">
        <v>66</v>
      </c>
      <c r="H35" t="s">
        <v>59</v>
      </c>
      <c r="J35">
        <v>0</v>
      </c>
      <c r="K35">
        <v>27.7</v>
      </c>
      <c r="O35">
        <f t="shared" si="21"/>
        <v>0</v>
      </c>
      <c r="P35">
        <f t="shared" si="22"/>
        <v>0</v>
      </c>
      <c r="Q35">
        <f t="shared" si="23"/>
        <v>0</v>
      </c>
      <c r="R35">
        <f t="shared" si="24"/>
        <v>0</v>
      </c>
      <c r="S35">
        <f t="shared" si="25"/>
        <v>0</v>
      </c>
      <c r="T35">
        <f t="shared" si="26"/>
        <v>0</v>
      </c>
      <c r="U35">
        <f t="shared" si="27"/>
        <v>0</v>
      </c>
      <c r="V35">
        <f t="shared" si="28"/>
        <v>0</v>
      </c>
      <c r="W35">
        <f t="shared" si="29"/>
        <v>0</v>
      </c>
      <c r="X35">
        <f t="shared" si="30"/>
        <v>0</v>
      </c>
      <c r="Y35">
        <f t="shared" si="30"/>
        <v>0</v>
      </c>
      <c r="AA35">
        <v>46416371</v>
      </c>
      <c r="AB35">
        <f t="shared" si="31"/>
        <v>8.0399999999999991</v>
      </c>
      <c r="AC35">
        <f t="shared" si="32"/>
        <v>0</v>
      </c>
      <c r="AD35">
        <f>ROUND(((ET35)+ROUND(((EU35)*1.85),2)),6)</f>
        <v>8.0399999999999991</v>
      </c>
      <c r="AE35">
        <f>ROUND(((EU35)+ROUND(((EU35)*1.85),2)),6)</f>
        <v>0</v>
      </c>
      <c r="AF35">
        <f>ROUND(((EV35)+ROUND(((EV35)*1.85),2)),6)</f>
        <v>0</v>
      </c>
      <c r="AG35">
        <f t="shared" si="33"/>
        <v>0</v>
      </c>
      <c r="AH35">
        <f>(EW35)</f>
        <v>0</v>
      </c>
      <c r="AI35">
        <f>(EX35)</f>
        <v>0</v>
      </c>
      <c r="AJ35">
        <f t="shared" si="34"/>
        <v>0</v>
      </c>
      <c r="AK35">
        <v>8.0399999999999991</v>
      </c>
      <c r="AL35">
        <v>0</v>
      </c>
      <c r="AM35">
        <v>8.0399999999999991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34.75</v>
      </c>
      <c r="BB35">
        <v>13.36</v>
      </c>
      <c r="BC35">
        <v>8.2899999999999991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67</v>
      </c>
      <c r="BM35">
        <v>700001</v>
      </c>
      <c r="BN35">
        <v>0</v>
      </c>
      <c r="BO35" t="s">
        <v>3</v>
      </c>
      <c r="BP35">
        <v>0</v>
      </c>
      <c r="BQ35">
        <v>10</v>
      </c>
      <c r="BR35">
        <v>0</v>
      </c>
      <c r="BS35">
        <v>34.75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5"/>
        <v>0</v>
      </c>
      <c r="CQ35">
        <f t="shared" si="36"/>
        <v>0</v>
      </c>
      <c r="CR35">
        <f t="shared" si="37"/>
        <v>107.41439999999999</v>
      </c>
      <c r="CS35">
        <f t="shared" si="38"/>
        <v>0</v>
      </c>
      <c r="CT35">
        <f t="shared" si="39"/>
        <v>0</v>
      </c>
      <c r="CU35">
        <f t="shared" si="40"/>
        <v>0</v>
      </c>
      <c r="CV35">
        <f t="shared" si="40"/>
        <v>0</v>
      </c>
      <c r="CW35">
        <f t="shared" si="40"/>
        <v>0</v>
      </c>
      <c r="CX35">
        <f t="shared" si="40"/>
        <v>0</v>
      </c>
      <c r="CY35">
        <f t="shared" si="41"/>
        <v>0</v>
      </c>
      <c r="CZ35">
        <f t="shared" si="42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59</v>
      </c>
      <c r="DW35" t="s">
        <v>59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42475847</v>
      </c>
      <c r="EF35">
        <v>10</v>
      </c>
      <c r="EG35" t="s">
        <v>61</v>
      </c>
      <c r="EH35">
        <v>0</v>
      </c>
      <c r="EI35" t="s">
        <v>3</v>
      </c>
      <c r="EJ35">
        <v>1</v>
      </c>
      <c r="EK35">
        <v>700001</v>
      </c>
      <c r="EL35" t="s">
        <v>62</v>
      </c>
      <c r="EM35" t="s">
        <v>63</v>
      </c>
      <c r="EO35" t="s">
        <v>3</v>
      </c>
      <c r="EQ35">
        <v>0</v>
      </c>
      <c r="ER35">
        <v>8.0399999999999991</v>
      </c>
      <c r="ES35">
        <v>0</v>
      </c>
      <c r="ET35">
        <v>8.0399999999999991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3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-369081496</v>
      </c>
      <c r="GG35">
        <v>2</v>
      </c>
      <c r="GH35">
        <v>1</v>
      </c>
      <c r="GI35">
        <v>4</v>
      </c>
      <c r="GJ35">
        <v>0</v>
      </c>
      <c r="GK35">
        <v>0</v>
      </c>
      <c r="GL35">
        <f t="shared" si="44"/>
        <v>0</v>
      </c>
      <c r="GM35">
        <f t="shared" si="45"/>
        <v>0</v>
      </c>
      <c r="GN35">
        <f t="shared" si="46"/>
        <v>0</v>
      </c>
      <c r="GO35">
        <f t="shared" si="47"/>
        <v>0</v>
      </c>
      <c r="GP35">
        <f t="shared" si="48"/>
        <v>0</v>
      </c>
      <c r="GR35">
        <v>0</v>
      </c>
      <c r="GS35">
        <v>3</v>
      </c>
      <c r="GT35">
        <v>0</v>
      </c>
      <c r="GU35" t="s">
        <v>3</v>
      </c>
      <c r="GV35">
        <f t="shared" si="49"/>
        <v>0</v>
      </c>
      <c r="GW35">
        <v>1</v>
      </c>
      <c r="GX35">
        <f t="shared" si="50"/>
        <v>0</v>
      </c>
      <c r="HA35">
        <v>0</v>
      </c>
      <c r="HB35">
        <v>0</v>
      </c>
      <c r="HC35">
        <f t="shared" si="51"/>
        <v>0</v>
      </c>
      <c r="HD35">
        <f>GM35</f>
        <v>0</v>
      </c>
      <c r="HE35" t="s">
        <v>3</v>
      </c>
      <c r="HF35" t="s">
        <v>3</v>
      </c>
      <c r="HM35" t="s">
        <v>3</v>
      </c>
      <c r="HN35" t="s">
        <v>3</v>
      </c>
      <c r="HO35" t="s">
        <v>3</v>
      </c>
      <c r="HP35" t="s">
        <v>3</v>
      </c>
      <c r="HQ35" t="s">
        <v>3</v>
      </c>
      <c r="IK35">
        <v>0</v>
      </c>
    </row>
    <row r="37" spans="1:245" x14ac:dyDescent="0.2">
      <c r="A37" s="2">
        <v>51</v>
      </c>
      <c r="B37" s="2">
        <f>B24</f>
        <v>1</v>
      </c>
      <c r="C37" s="2">
        <f>A24</f>
        <v>4</v>
      </c>
      <c r="D37" s="2">
        <f>ROW(A24)</f>
        <v>24</v>
      </c>
      <c r="E37" s="2"/>
      <c r="F37" s="2" t="str">
        <f>IF(F24&lt;&gt;"",F24,"")</f>
        <v>Новый раздел</v>
      </c>
      <c r="G37" s="2" t="str">
        <f>IF(G24&lt;&gt;"",G24,"")</f>
        <v>Подготовительные работы</v>
      </c>
      <c r="H37" s="2">
        <v>0</v>
      </c>
      <c r="I37" s="2"/>
      <c r="J37" s="2"/>
      <c r="K37" s="2"/>
      <c r="L37" s="2"/>
      <c r="M37" s="2"/>
      <c r="N37" s="2"/>
      <c r="O37" s="2">
        <f t="shared" ref="O37:T37" si="54">ROUND(AB37,0)</f>
        <v>0</v>
      </c>
      <c r="P37" s="2">
        <f t="shared" si="54"/>
        <v>0</v>
      </c>
      <c r="Q37" s="2">
        <f t="shared" si="54"/>
        <v>0</v>
      </c>
      <c r="R37" s="2">
        <f t="shared" si="54"/>
        <v>0</v>
      </c>
      <c r="S37" s="2">
        <f t="shared" si="54"/>
        <v>0</v>
      </c>
      <c r="T37" s="2">
        <f t="shared" si="54"/>
        <v>0</v>
      </c>
      <c r="U37" s="2">
        <f>AH37</f>
        <v>0</v>
      </c>
      <c r="V37" s="2">
        <f>AI37</f>
        <v>0</v>
      </c>
      <c r="W37" s="2">
        <f>ROUND(AJ37,0)</f>
        <v>0</v>
      </c>
      <c r="X37" s="2">
        <f>ROUND(AK37,0)</f>
        <v>0</v>
      </c>
      <c r="Y37" s="2">
        <f>ROUND(AL37,0)</f>
        <v>0</v>
      </c>
      <c r="Z37" s="2"/>
      <c r="AA37" s="2"/>
      <c r="AB37" s="2">
        <f>ROUND(SUMIF(AA28:AA35,"=46416371",O28:O35),0)</f>
        <v>0</v>
      </c>
      <c r="AC37" s="2">
        <f>ROUND(SUMIF(AA28:AA35,"=46416371",P28:P35),0)</f>
        <v>0</v>
      </c>
      <c r="AD37" s="2">
        <f>ROUND(SUMIF(AA28:AA35,"=46416371",Q28:Q35),0)</f>
        <v>0</v>
      </c>
      <c r="AE37" s="2">
        <f>ROUND(SUMIF(AA28:AA35,"=46416371",R28:R35),0)</f>
        <v>0</v>
      </c>
      <c r="AF37" s="2">
        <f>ROUND(SUMIF(AA28:AA35,"=46416371",S28:S35),0)</f>
        <v>0</v>
      </c>
      <c r="AG37" s="2">
        <f>ROUND(SUMIF(AA28:AA35,"=46416371",T28:T35),0)</f>
        <v>0</v>
      </c>
      <c r="AH37" s="2">
        <f>SUMIF(AA28:AA35,"=46416371",U28:U35)</f>
        <v>0</v>
      </c>
      <c r="AI37" s="2">
        <f>SUMIF(AA28:AA35,"=46416371",V28:V35)</f>
        <v>0</v>
      </c>
      <c r="AJ37" s="2">
        <f>ROUND(SUMIF(AA28:AA35,"=46416371",W28:W35),0)</f>
        <v>0</v>
      </c>
      <c r="AK37" s="2">
        <f>ROUND(SUMIF(AA28:AA35,"=46416371",X28:X35),0)</f>
        <v>0</v>
      </c>
      <c r="AL37" s="2">
        <f>ROUND(SUMIF(AA28:AA35,"=46416371",Y28:Y35),0)</f>
        <v>0</v>
      </c>
      <c r="AM37" s="2"/>
      <c r="AN37" s="2"/>
      <c r="AO37" s="2">
        <f t="shared" ref="AO37:BD37" si="55">ROUND(BX37,0)</f>
        <v>0</v>
      </c>
      <c r="AP37" s="2">
        <f t="shared" si="55"/>
        <v>0</v>
      </c>
      <c r="AQ37" s="2">
        <f t="shared" si="55"/>
        <v>0</v>
      </c>
      <c r="AR37" s="2">
        <f t="shared" si="55"/>
        <v>0</v>
      </c>
      <c r="AS37" s="2">
        <f t="shared" si="55"/>
        <v>0</v>
      </c>
      <c r="AT37" s="2">
        <f t="shared" si="55"/>
        <v>0</v>
      </c>
      <c r="AU37" s="2">
        <f t="shared" si="55"/>
        <v>0</v>
      </c>
      <c r="AV37" s="2">
        <f t="shared" si="55"/>
        <v>0</v>
      </c>
      <c r="AW37" s="2">
        <f t="shared" si="55"/>
        <v>0</v>
      </c>
      <c r="AX37" s="2">
        <f t="shared" si="55"/>
        <v>0</v>
      </c>
      <c r="AY37" s="2">
        <f t="shared" si="55"/>
        <v>0</v>
      </c>
      <c r="AZ37" s="2">
        <f t="shared" si="55"/>
        <v>0</v>
      </c>
      <c r="BA37" s="2">
        <f t="shared" si="55"/>
        <v>0</v>
      </c>
      <c r="BB37" s="2">
        <f t="shared" si="55"/>
        <v>0</v>
      </c>
      <c r="BC37" s="2">
        <f t="shared" si="55"/>
        <v>0</v>
      </c>
      <c r="BD37" s="2">
        <f t="shared" si="55"/>
        <v>0</v>
      </c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>
        <f>ROUND(SUMIF(AA28:AA35,"=46416371",FQ28:FQ35),0)</f>
        <v>0</v>
      </c>
      <c r="BY37" s="2">
        <f>ROUND(SUMIF(AA28:AA35,"=46416371",FR28:FR35),0)</f>
        <v>0</v>
      </c>
      <c r="BZ37" s="2">
        <f>ROUND(SUMIF(AA28:AA35,"=46416371",GL28:GL35),0)</f>
        <v>0</v>
      </c>
      <c r="CA37" s="2">
        <f>ROUND(SUMIF(AA28:AA35,"=46416371",GM28:GM35),0)</f>
        <v>0</v>
      </c>
      <c r="CB37" s="2">
        <f>ROUND(SUMIF(AA28:AA35,"=46416371",GN28:GN35),0)</f>
        <v>0</v>
      </c>
      <c r="CC37" s="2">
        <f>ROUND(SUMIF(AA28:AA35,"=46416371",GO28:GO35),0)</f>
        <v>0</v>
      </c>
      <c r="CD37" s="2">
        <f>ROUND(SUMIF(AA28:AA35,"=46416371",GP28:GP35),0)</f>
        <v>0</v>
      </c>
      <c r="CE37" s="2">
        <f>AC37-BX37</f>
        <v>0</v>
      </c>
      <c r="CF37" s="2">
        <f>AC37-BY37</f>
        <v>0</v>
      </c>
      <c r="CG37" s="2">
        <f>BX37-BZ37</f>
        <v>0</v>
      </c>
      <c r="CH37" s="2">
        <f>AC37-BX37-BY37+BZ37</f>
        <v>0</v>
      </c>
      <c r="CI37" s="2">
        <f>BY37-BZ37</f>
        <v>0</v>
      </c>
      <c r="CJ37" s="2">
        <f>ROUND(SUMIF(AA28:AA35,"=46416371",GX28:GX35),0)</f>
        <v>0</v>
      </c>
      <c r="CK37" s="2">
        <f>ROUND(SUMIF(AA28:AA35,"=46416371",GY28:GY35),0)</f>
        <v>0</v>
      </c>
      <c r="CL37" s="2">
        <f>ROUND(SUMIF(AA28:AA35,"=46416371",GZ28:GZ35),0)</f>
        <v>0</v>
      </c>
      <c r="CM37" s="2">
        <f>ROUND(SUMIF(AA28:AA35,"=46416371",HD28:HD35),0)</f>
        <v>0</v>
      </c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>
        <v>0</v>
      </c>
    </row>
    <row r="39" spans="1:245" x14ac:dyDescent="0.2">
      <c r="A39" s="4">
        <v>50</v>
      </c>
      <c r="B39" s="4">
        <v>0</v>
      </c>
      <c r="C39" s="4">
        <v>0</v>
      </c>
      <c r="D39" s="4">
        <v>1</v>
      </c>
      <c r="E39" s="4">
        <v>201</v>
      </c>
      <c r="F39" s="4">
        <f>ROUND(Source!O37,O39)</f>
        <v>0</v>
      </c>
      <c r="G39" s="4" t="s">
        <v>68</v>
      </c>
      <c r="H39" s="4" t="s">
        <v>69</v>
      </c>
      <c r="I39" s="4"/>
      <c r="J39" s="4"/>
      <c r="K39" s="4">
        <v>201</v>
      </c>
      <c r="L39" s="4">
        <v>1</v>
      </c>
      <c r="M39" s="4">
        <v>3</v>
      </c>
      <c r="N39" s="4" t="s">
        <v>3</v>
      </c>
      <c r="O39" s="4">
        <v>0</v>
      </c>
      <c r="P39" s="4"/>
      <c r="Q39" s="4"/>
      <c r="R39" s="4"/>
      <c r="S39" s="4"/>
      <c r="T39" s="4"/>
      <c r="U39" s="4"/>
      <c r="V39" s="4"/>
      <c r="W39" s="4">
        <v>51869</v>
      </c>
      <c r="X39" s="4">
        <v>1</v>
      </c>
      <c r="Y39" s="4">
        <v>51869</v>
      </c>
      <c r="Z39" s="4"/>
      <c r="AA39" s="4"/>
      <c r="AB39" s="4"/>
    </row>
    <row r="40" spans="1:245" x14ac:dyDescent="0.2">
      <c r="A40" s="4">
        <v>50</v>
      </c>
      <c r="B40" s="4">
        <v>0</v>
      </c>
      <c r="C40" s="4">
        <v>0</v>
      </c>
      <c r="D40" s="4">
        <v>1</v>
      </c>
      <c r="E40" s="4">
        <v>202</v>
      </c>
      <c r="F40" s="4">
        <f>ROUND(Source!P37,O40)</f>
        <v>0</v>
      </c>
      <c r="G40" s="4" t="s">
        <v>70</v>
      </c>
      <c r="H40" s="4" t="s">
        <v>71</v>
      </c>
      <c r="I40" s="4"/>
      <c r="J40" s="4"/>
      <c r="K40" s="4">
        <v>202</v>
      </c>
      <c r="L40" s="4">
        <v>2</v>
      </c>
      <c r="M40" s="4">
        <v>3</v>
      </c>
      <c r="N40" s="4" t="s">
        <v>3</v>
      </c>
      <c r="O40" s="4">
        <v>0</v>
      </c>
      <c r="P40" s="4"/>
      <c r="Q40" s="4"/>
      <c r="R40" s="4"/>
      <c r="S40" s="4"/>
      <c r="T40" s="4"/>
      <c r="U40" s="4"/>
      <c r="V40" s="4"/>
      <c r="W40" s="4">
        <v>2825</v>
      </c>
      <c r="X40" s="4">
        <v>1</v>
      </c>
      <c r="Y40" s="4">
        <v>2825</v>
      </c>
      <c r="Z40" s="4"/>
      <c r="AA40" s="4"/>
      <c r="AB40" s="4"/>
    </row>
    <row r="41" spans="1:245" x14ac:dyDescent="0.2">
      <c r="A41" s="4">
        <v>50</v>
      </c>
      <c r="B41" s="4">
        <v>0</v>
      </c>
      <c r="C41" s="4">
        <v>0</v>
      </c>
      <c r="D41" s="4">
        <v>1</v>
      </c>
      <c r="E41" s="4">
        <v>222</v>
      </c>
      <c r="F41" s="4">
        <f>ROUND(Source!AO37,O41)</f>
        <v>0</v>
      </c>
      <c r="G41" s="4" t="s">
        <v>72</v>
      </c>
      <c r="H41" s="4" t="s">
        <v>73</v>
      </c>
      <c r="I41" s="4"/>
      <c r="J41" s="4"/>
      <c r="K41" s="4">
        <v>222</v>
      </c>
      <c r="L41" s="4">
        <v>3</v>
      </c>
      <c r="M41" s="4">
        <v>3</v>
      </c>
      <c r="N41" s="4" t="s">
        <v>3</v>
      </c>
      <c r="O41" s="4">
        <v>0</v>
      </c>
      <c r="P41" s="4"/>
      <c r="Q41" s="4"/>
      <c r="R41" s="4"/>
      <c r="S41" s="4"/>
      <c r="T41" s="4"/>
      <c r="U41" s="4"/>
      <c r="V41" s="4"/>
      <c r="W41" s="4">
        <v>0</v>
      </c>
      <c r="X41" s="4">
        <v>1</v>
      </c>
      <c r="Y41" s="4">
        <v>0</v>
      </c>
      <c r="Z41" s="4"/>
      <c r="AA41" s="4"/>
      <c r="AB41" s="4"/>
    </row>
    <row r="42" spans="1:245" x14ac:dyDescent="0.2">
      <c r="A42" s="4">
        <v>50</v>
      </c>
      <c r="B42" s="4">
        <v>0</v>
      </c>
      <c r="C42" s="4">
        <v>0</v>
      </c>
      <c r="D42" s="4">
        <v>1</v>
      </c>
      <c r="E42" s="4">
        <v>225</v>
      </c>
      <c r="F42" s="4">
        <f>ROUND(Source!AV37,O42)</f>
        <v>0</v>
      </c>
      <c r="G42" s="4" t="s">
        <v>74</v>
      </c>
      <c r="H42" s="4" t="s">
        <v>75</v>
      </c>
      <c r="I42" s="4"/>
      <c r="J42" s="4"/>
      <c r="K42" s="4">
        <v>225</v>
      </c>
      <c r="L42" s="4">
        <v>4</v>
      </c>
      <c r="M42" s="4">
        <v>3</v>
      </c>
      <c r="N42" s="4" t="s">
        <v>3</v>
      </c>
      <c r="O42" s="4">
        <v>0</v>
      </c>
      <c r="P42" s="4"/>
      <c r="Q42" s="4"/>
      <c r="R42" s="4"/>
      <c r="S42" s="4"/>
      <c r="T42" s="4"/>
      <c r="U42" s="4"/>
      <c r="V42" s="4"/>
      <c r="W42" s="4">
        <v>2825</v>
      </c>
      <c r="X42" s="4">
        <v>1</v>
      </c>
      <c r="Y42" s="4">
        <v>2825</v>
      </c>
      <c r="Z42" s="4"/>
      <c r="AA42" s="4"/>
      <c r="AB42" s="4"/>
    </row>
    <row r="43" spans="1:245" x14ac:dyDescent="0.2">
      <c r="A43" s="4">
        <v>50</v>
      </c>
      <c r="B43" s="4">
        <v>0</v>
      </c>
      <c r="C43" s="4">
        <v>0</v>
      </c>
      <c r="D43" s="4">
        <v>1</v>
      </c>
      <c r="E43" s="4">
        <v>226</v>
      </c>
      <c r="F43" s="4">
        <f>ROUND(Source!AW37,O43)</f>
        <v>0</v>
      </c>
      <c r="G43" s="4" t="s">
        <v>76</v>
      </c>
      <c r="H43" s="4" t="s">
        <v>77</v>
      </c>
      <c r="I43" s="4"/>
      <c r="J43" s="4"/>
      <c r="K43" s="4">
        <v>226</v>
      </c>
      <c r="L43" s="4">
        <v>5</v>
      </c>
      <c r="M43" s="4">
        <v>3</v>
      </c>
      <c r="N43" s="4" t="s">
        <v>3</v>
      </c>
      <c r="O43" s="4">
        <v>0</v>
      </c>
      <c r="P43" s="4"/>
      <c r="Q43" s="4"/>
      <c r="R43" s="4"/>
      <c r="S43" s="4"/>
      <c r="T43" s="4"/>
      <c r="U43" s="4"/>
      <c r="V43" s="4"/>
      <c r="W43" s="4">
        <v>2825</v>
      </c>
      <c r="X43" s="4">
        <v>1</v>
      </c>
      <c r="Y43" s="4">
        <v>2825</v>
      </c>
      <c r="Z43" s="4"/>
      <c r="AA43" s="4"/>
      <c r="AB43" s="4"/>
    </row>
    <row r="44" spans="1:245" x14ac:dyDescent="0.2">
      <c r="A44" s="4">
        <v>50</v>
      </c>
      <c r="B44" s="4">
        <v>0</v>
      </c>
      <c r="C44" s="4">
        <v>0</v>
      </c>
      <c r="D44" s="4">
        <v>1</v>
      </c>
      <c r="E44" s="4">
        <v>227</v>
      </c>
      <c r="F44" s="4">
        <f>ROUND(Source!AX37,O44)</f>
        <v>0</v>
      </c>
      <c r="G44" s="4" t="s">
        <v>78</v>
      </c>
      <c r="H44" s="4" t="s">
        <v>79</v>
      </c>
      <c r="I44" s="4"/>
      <c r="J44" s="4"/>
      <c r="K44" s="4">
        <v>227</v>
      </c>
      <c r="L44" s="4">
        <v>6</v>
      </c>
      <c r="M44" s="4">
        <v>3</v>
      </c>
      <c r="N44" s="4" t="s">
        <v>3</v>
      </c>
      <c r="O44" s="4">
        <v>0</v>
      </c>
      <c r="P44" s="4"/>
      <c r="Q44" s="4"/>
      <c r="R44" s="4"/>
      <c r="S44" s="4"/>
      <c r="T44" s="4"/>
      <c r="U44" s="4"/>
      <c r="V44" s="4"/>
      <c r="W44" s="4">
        <v>0</v>
      </c>
      <c r="X44" s="4">
        <v>1</v>
      </c>
      <c r="Y44" s="4">
        <v>0</v>
      </c>
      <c r="Z44" s="4"/>
      <c r="AA44" s="4"/>
      <c r="AB44" s="4"/>
    </row>
    <row r="45" spans="1:245" x14ac:dyDescent="0.2">
      <c r="A45" s="4">
        <v>50</v>
      </c>
      <c r="B45" s="4">
        <v>0</v>
      </c>
      <c r="C45" s="4">
        <v>0</v>
      </c>
      <c r="D45" s="4">
        <v>1</v>
      </c>
      <c r="E45" s="4">
        <v>228</v>
      </c>
      <c r="F45" s="4">
        <f>ROUND(Source!AY37,O45)</f>
        <v>0</v>
      </c>
      <c r="G45" s="4" t="s">
        <v>80</v>
      </c>
      <c r="H45" s="4" t="s">
        <v>81</v>
      </c>
      <c r="I45" s="4"/>
      <c r="J45" s="4"/>
      <c r="K45" s="4">
        <v>228</v>
      </c>
      <c r="L45" s="4">
        <v>7</v>
      </c>
      <c r="M45" s="4">
        <v>3</v>
      </c>
      <c r="N45" s="4" t="s">
        <v>3</v>
      </c>
      <c r="O45" s="4">
        <v>0</v>
      </c>
      <c r="P45" s="4"/>
      <c r="Q45" s="4"/>
      <c r="R45" s="4"/>
      <c r="S45" s="4"/>
      <c r="T45" s="4"/>
      <c r="U45" s="4"/>
      <c r="V45" s="4"/>
      <c r="W45" s="4">
        <v>2825</v>
      </c>
      <c r="X45" s="4">
        <v>1</v>
      </c>
      <c r="Y45" s="4">
        <v>2825</v>
      </c>
      <c r="Z45" s="4"/>
      <c r="AA45" s="4"/>
      <c r="AB45" s="4"/>
    </row>
    <row r="46" spans="1:245" x14ac:dyDescent="0.2">
      <c r="A46" s="4">
        <v>50</v>
      </c>
      <c r="B46" s="4">
        <v>0</v>
      </c>
      <c r="C46" s="4">
        <v>0</v>
      </c>
      <c r="D46" s="4">
        <v>1</v>
      </c>
      <c r="E46" s="4">
        <v>216</v>
      </c>
      <c r="F46" s="4">
        <f>ROUND(Source!AP37,O46)</f>
        <v>0</v>
      </c>
      <c r="G46" s="4" t="s">
        <v>82</v>
      </c>
      <c r="H46" s="4" t="s">
        <v>83</v>
      </c>
      <c r="I46" s="4"/>
      <c r="J46" s="4"/>
      <c r="K46" s="4">
        <v>216</v>
      </c>
      <c r="L46" s="4">
        <v>8</v>
      </c>
      <c r="M46" s="4">
        <v>3</v>
      </c>
      <c r="N46" s="4" t="s">
        <v>3</v>
      </c>
      <c r="O46" s="4">
        <v>0</v>
      </c>
      <c r="P46" s="4"/>
      <c r="Q46" s="4"/>
      <c r="R46" s="4"/>
      <c r="S46" s="4"/>
      <c r="T46" s="4"/>
      <c r="U46" s="4"/>
      <c r="V46" s="4"/>
      <c r="W46" s="4">
        <v>0</v>
      </c>
      <c r="X46" s="4">
        <v>1</v>
      </c>
      <c r="Y46" s="4">
        <v>0</v>
      </c>
      <c r="Z46" s="4"/>
      <c r="AA46" s="4"/>
      <c r="AB46" s="4"/>
    </row>
    <row r="47" spans="1:245" x14ac:dyDescent="0.2">
      <c r="A47" s="4">
        <v>50</v>
      </c>
      <c r="B47" s="4">
        <v>0</v>
      </c>
      <c r="C47" s="4">
        <v>0</v>
      </c>
      <c r="D47" s="4">
        <v>1</v>
      </c>
      <c r="E47" s="4">
        <v>223</v>
      </c>
      <c r="F47" s="4">
        <f>ROUND(Source!AQ37,O47)</f>
        <v>0</v>
      </c>
      <c r="G47" s="4" t="s">
        <v>84</v>
      </c>
      <c r="H47" s="4" t="s">
        <v>85</v>
      </c>
      <c r="I47" s="4"/>
      <c r="J47" s="4"/>
      <c r="K47" s="4">
        <v>223</v>
      </c>
      <c r="L47" s="4">
        <v>9</v>
      </c>
      <c r="M47" s="4">
        <v>3</v>
      </c>
      <c r="N47" s="4" t="s">
        <v>3</v>
      </c>
      <c r="O47" s="4">
        <v>0</v>
      </c>
      <c r="P47" s="4"/>
      <c r="Q47" s="4"/>
      <c r="R47" s="4"/>
      <c r="S47" s="4"/>
      <c r="T47" s="4"/>
      <c r="U47" s="4"/>
      <c r="V47" s="4"/>
      <c r="W47" s="4">
        <v>0</v>
      </c>
      <c r="X47" s="4">
        <v>1</v>
      </c>
      <c r="Y47" s="4">
        <v>0</v>
      </c>
      <c r="Z47" s="4"/>
      <c r="AA47" s="4"/>
      <c r="AB47" s="4"/>
    </row>
    <row r="48" spans="1:245" x14ac:dyDescent="0.2">
      <c r="A48" s="4">
        <v>50</v>
      </c>
      <c r="B48" s="4">
        <v>0</v>
      </c>
      <c r="C48" s="4">
        <v>0</v>
      </c>
      <c r="D48" s="4">
        <v>1</v>
      </c>
      <c r="E48" s="4">
        <v>229</v>
      </c>
      <c r="F48" s="4">
        <f>ROUND(Source!AZ37,O48)</f>
        <v>0</v>
      </c>
      <c r="G48" s="4" t="s">
        <v>86</v>
      </c>
      <c r="H48" s="4" t="s">
        <v>87</v>
      </c>
      <c r="I48" s="4"/>
      <c r="J48" s="4"/>
      <c r="K48" s="4">
        <v>229</v>
      </c>
      <c r="L48" s="4">
        <v>10</v>
      </c>
      <c r="M48" s="4">
        <v>3</v>
      </c>
      <c r="N48" s="4" t="s">
        <v>3</v>
      </c>
      <c r="O48" s="4">
        <v>0</v>
      </c>
      <c r="P48" s="4"/>
      <c r="Q48" s="4"/>
      <c r="R48" s="4"/>
      <c r="S48" s="4"/>
      <c r="T48" s="4"/>
      <c r="U48" s="4"/>
      <c r="V48" s="4"/>
      <c r="W48" s="4">
        <v>0</v>
      </c>
      <c r="X48" s="4">
        <v>1</v>
      </c>
      <c r="Y48" s="4">
        <v>0</v>
      </c>
      <c r="Z48" s="4"/>
      <c r="AA48" s="4"/>
      <c r="AB48" s="4"/>
    </row>
    <row r="49" spans="1:28" x14ac:dyDescent="0.2">
      <c r="A49" s="4">
        <v>50</v>
      </c>
      <c r="B49" s="4">
        <v>0</v>
      </c>
      <c r="C49" s="4">
        <v>0</v>
      </c>
      <c r="D49" s="4">
        <v>1</v>
      </c>
      <c r="E49" s="4">
        <v>203</v>
      </c>
      <c r="F49" s="4">
        <f>ROUND(Source!Q37,O49)</f>
        <v>0</v>
      </c>
      <c r="G49" s="4" t="s">
        <v>88</v>
      </c>
      <c r="H49" s="4" t="s">
        <v>89</v>
      </c>
      <c r="I49" s="4"/>
      <c r="J49" s="4"/>
      <c r="K49" s="4">
        <v>203</v>
      </c>
      <c r="L49" s="4">
        <v>11</v>
      </c>
      <c r="M49" s="4">
        <v>3</v>
      </c>
      <c r="N49" s="4" t="s">
        <v>3</v>
      </c>
      <c r="O49" s="4">
        <v>0</v>
      </c>
      <c r="P49" s="4"/>
      <c r="Q49" s="4"/>
      <c r="R49" s="4"/>
      <c r="S49" s="4"/>
      <c r="T49" s="4"/>
      <c r="U49" s="4"/>
      <c r="V49" s="4"/>
      <c r="W49" s="4">
        <v>20685</v>
      </c>
      <c r="X49" s="4">
        <v>1</v>
      </c>
      <c r="Y49" s="4">
        <v>20685</v>
      </c>
      <c r="Z49" s="4"/>
      <c r="AA49" s="4"/>
      <c r="AB49" s="4"/>
    </row>
    <row r="50" spans="1:28" x14ac:dyDescent="0.2">
      <c r="A50" s="4">
        <v>50</v>
      </c>
      <c r="B50" s="4">
        <v>0</v>
      </c>
      <c r="C50" s="4">
        <v>0</v>
      </c>
      <c r="D50" s="4">
        <v>1</v>
      </c>
      <c r="E50" s="4">
        <v>231</v>
      </c>
      <c r="F50" s="4">
        <f>ROUND(Source!BB37,O50)</f>
        <v>0</v>
      </c>
      <c r="G50" s="4" t="s">
        <v>90</v>
      </c>
      <c r="H50" s="4" t="s">
        <v>91</v>
      </c>
      <c r="I50" s="4"/>
      <c r="J50" s="4"/>
      <c r="K50" s="4">
        <v>231</v>
      </c>
      <c r="L50" s="4">
        <v>12</v>
      </c>
      <c r="M50" s="4">
        <v>3</v>
      </c>
      <c r="N50" s="4" t="s">
        <v>3</v>
      </c>
      <c r="O50" s="4">
        <v>0</v>
      </c>
      <c r="P50" s="4"/>
      <c r="Q50" s="4"/>
      <c r="R50" s="4"/>
      <c r="S50" s="4"/>
      <c r="T50" s="4"/>
      <c r="U50" s="4"/>
      <c r="V50" s="4"/>
      <c r="W50" s="4">
        <v>0</v>
      </c>
      <c r="X50" s="4">
        <v>1</v>
      </c>
      <c r="Y50" s="4">
        <v>0</v>
      </c>
      <c r="Z50" s="4"/>
      <c r="AA50" s="4"/>
      <c r="AB50" s="4"/>
    </row>
    <row r="51" spans="1:28" x14ac:dyDescent="0.2">
      <c r="A51" s="4">
        <v>50</v>
      </c>
      <c r="B51" s="4">
        <v>0</v>
      </c>
      <c r="C51" s="4">
        <v>0</v>
      </c>
      <c r="D51" s="4">
        <v>1</v>
      </c>
      <c r="E51" s="4">
        <v>204</v>
      </c>
      <c r="F51" s="4">
        <f>ROUND(Source!R37,O51)</f>
        <v>0</v>
      </c>
      <c r="G51" s="4" t="s">
        <v>92</v>
      </c>
      <c r="H51" s="4" t="s">
        <v>93</v>
      </c>
      <c r="I51" s="4"/>
      <c r="J51" s="4"/>
      <c r="K51" s="4">
        <v>204</v>
      </c>
      <c r="L51" s="4">
        <v>13</v>
      </c>
      <c r="M51" s="4">
        <v>3</v>
      </c>
      <c r="N51" s="4" t="s">
        <v>3</v>
      </c>
      <c r="O51" s="4">
        <v>0</v>
      </c>
      <c r="P51" s="4"/>
      <c r="Q51" s="4"/>
      <c r="R51" s="4"/>
      <c r="S51" s="4"/>
      <c r="T51" s="4"/>
      <c r="U51" s="4"/>
      <c r="V51" s="4"/>
      <c r="W51" s="4">
        <v>3999</v>
      </c>
      <c r="X51" s="4">
        <v>1</v>
      </c>
      <c r="Y51" s="4">
        <v>3999</v>
      </c>
      <c r="Z51" s="4"/>
      <c r="AA51" s="4"/>
      <c r="AB51" s="4"/>
    </row>
    <row r="52" spans="1:28" x14ac:dyDescent="0.2">
      <c r="A52" s="4">
        <v>50</v>
      </c>
      <c r="B52" s="4">
        <v>0</v>
      </c>
      <c r="C52" s="4">
        <v>0</v>
      </c>
      <c r="D52" s="4">
        <v>1</v>
      </c>
      <c r="E52" s="4">
        <v>205</v>
      </c>
      <c r="F52" s="4">
        <f>ROUND(Source!S37,O52)</f>
        <v>0</v>
      </c>
      <c r="G52" s="4" t="s">
        <v>94</v>
      </c>
      <c r="H52" s="4" t="s">
        <v>95</v>
      </c>
      <c r="I52" s="4"/>
      <c r="J52" s="4"/>
      <c r="K52" s="4">
        <v>205</v>
      </c>
      <c r="L52" s="4">
        <v>14</v>
      </c>
      <c r="M52" s="4">
        <v>3</v>
      </c>
      <c r="N52" s="4" t="s">
        <v>3</v>
      </c>
      <c r="O52" s="4">
        <v>0</v>
      </c>
      <c r="P52" s="4"/>
      <c r="Q52" s="4"/>
      <c r="R52" s="4"/>
      <c r="S52" s="4"/>
      <c r="T52" s="4"/>
      <c r="U52" s="4"/>
      <c r="V52" s="4"/>
      <c r="W52" s="4">
        <v>28359</v>
      </c>
      <c r="X52" s="4">
        <v>1</v>
      </c>
      <c r="Y52" s="4">
        <v>28359</v>
      </c>
      <c r="Z52" s="4"/>
      <c r="AA52" s="4"/>
      <c r="AB52" s="4"/>
    </row>
    <row r="53" spans="1:28" x14ac:dyDescent="0.2">
      <c r="A53" s="4">
        <v>50</v>
      </c>
      <c r="B53" s="4">
        <v>0</v>
      </c>
      <c r="C53" s="4">
        <v>0</v>
      </c>
      <c r="D53" s="4">
        <v>1</v>
      </c>
      <c r="E53" s="4">
        <v>232</v>
      </c>
      <c r="F53" s="4">
        <f>ROUND(Source!BC37,O53)</f>
        <v>0</v>
      </c>
      <c r="G53" s="4" t="s">
        <v>96</v>
      </c>
      <c r="H53" s="4" t="s">
        <v>97</v>
      </c>
      <c r="I53" s="4"/>
      <c r="J53" s="4"/>
      <c r="K53" s="4">
        <v>232</v>
      </c>
      <c r="L53" s="4">
        <v>15</v>
      </c>
      <c r="M53" s="4">
        <v>3</v>
      </c>
      <c r="N53" s="4" t="s">
        <v>3</v>
      </c>
      <c r="O53" s="4">
        <v>0</v>
      </c>
      <c r="P53" s="4"/>
      <c r="Q53" s="4"/>
      <c r="R53" s="4"/>
      <c r="S53" s="4"/>
      <c r="T53" s="4"/>
      <c r="U53" s="4"/>
      <c r="V53" s="4"/>
      <c r="W53" s="4">
        <v>0</v>
      </c>
      <c r="X53" s="4">
        <v>1</v>
      </c>
      <c r="Y53" s="4">
        <v>0</v>
      </c>
      <c r="Z53" s="4"/>
      <c r="AA53" s="4"/>
      <c r="AB53" s="4"/>
    </row>
    <row r="54" spans="1:28" x14ac:dyDescent="0.2">
      <c r="A54" s="4">
        <v>50</v>
      </c>
      <c r="B54" s="4">
        <v>0</v>
      </c>
      <c r="C54" s="4">
        <v>0</v>
      </c>
      <c r="D54" s="4">
        <v>1</v>
      </c>
      <c r="E54" s="4">
        <v>214</v>
      </c>
      <c r="F54" s="4">
        <f>ROUND(Source!AS37,O54)</f>
        <v>0</v>
      </c>
      <c r="G54" s="4" t="s">
        <v>98</v>
      </c>
      <c r="H54" s="4" t="s">
        <v>99</v>
      </c>
      <c r="I54" s="4"/>
      <c r="J54" s="4"/>
      <c r="K54" s="4">
        <v>214</v>
      </c>
      <c r="L54" s="4">
        <v>16</v>
      </c>
      <c r="M54" s="4">
        <v>3</v>
      </c>
      <c r="N54" s="4" t="s">
        <v>3</v>
      </c>
      <c r="O54" s="4">
        <v>0</v>
      </c>
      <c r="P54" s="4"/>
      <c r="Q54" s="4"/>
      <c r="R54" s="4"/>
      <c r="S54" s="4"/>
      <c r="T54" s="4"/>
      <c r="U54" s="4"/>
      <c r="V54" s="4"/>
      <c r="W54" s="4">
        <v>102661</v>
      </c>
      <c r="X54" s="4">
        <v>1</v>
      </c>
      <c r="Y54" s="4">
        <v>102661</v>
      </c>
      <c r="Z54" s="4"/>
      <c r="AA54" s="4"/>
      <c r="AB54" s="4"/>
    </row>
    <row r="55" spans="1:28" x14ac:dyDescent="0.2">
      <c r="A55" s="4">
        <v>50</v>
      </c>
      <c r="B55" s="4">
        <v>0</v>
      </c>
      <c r="C55" s="4">
        <v>0</v>
      </c>
      <c r="D55" s="4">
        <v>1</v>
      </c>
      <c r="E55" s="4">
        <v>215</v>
      </c>
      <c r="F55" s="4">
        <f>ROUND(Source!AT37,O55)</f>
        <v>0</v>
      </c>
      <c r="G55" s="4" t="s">
        <v>100</v>
      </c>
      <c r="H55" s="4" t="s">
        <v>101</v>
      </c>
      <c r="I55" s="4"/>
      <c r="J55" s="4"/>
      <c r="K55" s="4">
        <v>215</v>
      </c>
      <c r="L55" s="4">
        <v>17</v>
      </c>
      <c r="M55" s="4">
        <v>3</v>
      </c>
      <c r="N55" s="4" t="s">
        <v>3</v>
      </c>
      <c r="O55" s="4">
        <v>0</v>
      </c>
      <c r="P55" s="4"/>
      <c r="Q55" s="4"/>
      <c r="R55" s="4"/>
      <c r="S55" s="4"/>
      <c r="T55" s="4"/>
      <c r="U55" s="4"/>
      <c r="V55" s="4"/>
      <c r="W55" s="4">
        <v>0</v>
      </c>
      <c r="X55" s="4">
        <v>1</v>
      </c>
      <c r="Y55" s="4">
        <v>0</v>
      </c>
      <c r="Z55" s="4"/>
      <c r="AA55" s="4"/>
      <c r="AB55" s="4"/>
    </row>
    <row r="56" spans="1:28" x14ac:dyDescent="0.2">
      <c r="A56" s="4">
        <v>50</v>
      </c>
      <c r="B56" s="4">
        <v>0</v>
      </c>
      <c r="C56" s="4">
        <v>0</v>
      </c>
      <c r="D56" s="4">
        <v>1</v>
      </c>
      <c r="E56" s="4">
        <v>217</v>
      </c>
      <c r="F56" s="4">
        <f>ROUND(Source!AU37,O56)</f>
        <v>0</v>
      </c>
      <c r="G56" s="4" t="s">
        <v>102</v>
      </c>
      <c r="H56" s="4" t="s">
        <v>103</v>
      </c>
      <c r="I56" s="4"/>
      <c r="J56" s="4"/>
      <c r="K56" s="4">
        <v>217</v>
      </c>
      <c r="L56" s="4">
        <v>18</v>
      </c>
      <c r="M56" s="4">
        <v>3</v>
      </c>
      <c r="N56" s="4" t="s">
        <v>3</v>
      </c>
      <c r="O56" s="4">
        <v>0</v>
      </c>
      <c r="P56" s="4"/>
      <c r="Q56" s="4"/>
      <c r="R56" s="4"/>
      <c r="S56" s="4"/>
      <c r="T56" s="4"/>
      <c r="U56" s="4"/>
      <c r="V56" s="4"/>
      <c r="W56" s="4">
        <v>0</v>
      </c>
      <c r="X56" s="4">
        <v>1</v>
      </c>
      <c r="Y56" s="4">
        <v>0</v>
      </c>
      <c r="Z56" s="4"/>
      <c r="AA56" s="4"/>
      <c r="AB56" s="4"/>
    </row>
    <row r="57" spans="1:28" x14ac:dyDescent="0.2">
      <c r="A57" s="4">
        <v>50</v>
      </c>
      <c r="B57" s="4">
        <v>0</v>
      </c>
      <c r="C57" s="4">
        <v>0</v>
      </c>
      <c r="D57" s="4">
        <v>1</v>
      </c>
      <c r="E57" s="4">
        <v>230</v>
      </c>
      <c r="F57" s="4">
        <f>ROUND(Source!BA37,O57)</f>
        <v>0</v>
      </c>
      <c r="G57" s="4" t="s">
        <v>104</v>
      </c>
      <c r="H57" s="4" t="s">
        <v>105</v>
      </c>
      <c r="I57" s="4"/>
      <c r="J57" s="4"/>
      <c r="K57" s="4">
        <v>230</v>
      </c>
      <c r="L57" s="4">
        <v>19</v>
      </c>
      <c r="M57" s="4">
        <v>3</v>
      </c>
      <c r="N57" s="4" t="s">
        <v>3</v>
      </c>
      <c r="O57" s="4">
        <v>0</v>
      </c>
      <c r="P57" s="4"/>
      <c r="Q57" s="4"/>
      <c r="R57" s="4"/>
      <c r="S57" s="4"/>
      <c r="T57" s="4"/>
      <c r="U57" s="4"/>
      <c r="V57" s="4"/>
      <c r="W57" s="4">
        <v>0</v>
      </c>
      <c r="X57" s="4">
        <v>1</v>
      </c>
      <c r="Y57" s="4">
        <v>0</v>
      </c>
      <c r="Z57" s="4"/>
      <c r="AA57" s="4"/>
      <c r="AB57" s="4"/>
    </row>
    <row r="58" spans="1:28" x14ac:dyDescent="0.2">
      <c r="A58" s="4">
        <v>50</v>
      </c>
      <c r="B58" s="4">
        <v>0</v>
      </c>
      <c r="C58" s="4">
        <v>0</v>
      </c>
      <c r="D58" s="4">
        <v>1</v>
      </c>
      <c r="E58" s="4">
        <v>206</v>
      </c>
      <c r="F58" s="4">
        <f>ROUND(Source!T37,O58)</f>
        <v>0</v>
      </c>
      <c r="G58" s="4" t="s">
        <v>106</v>
      </c>
      <c r="H58" s="4" t="s">
        <v>107</v>
      </c>
      <c r="I58" s="4"/>
      <c r="J58" s="4"/>
      <c r="K58" s="4">
        <v>206</v>
      </c>
      <c r="L58" s="4">
        <v>20</v>
      </c>
      <c r="M58" s="4">
        <v>3</v>
      </c>
      <c r="N58" s="4" t="s">
        <v>3</v>
      </c>
      <c r="O58" s="4">
        <v>0</v>
      </c>
      <c r="P58" s="4"/>
      <c r="Q58" s="4"/>
      <c r="R58" s="4"/>
      <c r="S58" s="4"/>
      <c r="T58" s="4"/>
      <c r="U58" s="4"/>
      <c r="V58" s="4"/>
      <c r="W58" s="4">
        <v>0</v>
      </c>
      <c r="X58" s="4">
        <v>1</v>
      </c>
      <c r="Y58" s="4">
        <v>0</v>
      </c>
      <c r="Z58" s="4"/>
      <c r="AA58" s="4"/>
      <c r="AB58" s="4"/>
    </row>
    <row r="59" spans="1:28" x14ac:dyDescent="0.2">
      <c r="A59" s="4">
        <v>50</v>
      </c>
      <c r="B59" s="4">
        <v>0</v>
      </c>
      <c r="C59" s="4">
        <v>0</v>
      </c>
      <c r="D59" s="4">
        <v>1</v>
      </c>
      <c r="E59" s="4">
        <v>207</v>
      </c>
      <c r="F59" s="4">
        <f>Source!U37</f>
        <v>0</v>
      </c>
      <c r="G59" s="4" t="s">
        <v>108</v>
      </c>
      <c r="H59" s="4" t="s">
        <v>109</v>
      </c>
      <c r="I59" s="4"/>
      <c r="J59" s="4"/>
      <c r="K59" s="4">
        <v>207</v>
      </c>
      <c r="L59" s="4">
        <v>21</v>
      </c>
      <c r="M59" s="4">
        <v>3</v>
      </c>
      <c r="N59" s="4" t="s">
        <v>3</v>
      </c>
      <c r="O59" s="4">
        <v>-1</v>
      </c>
      <c r="P59" s="4"/>
      <c r="Q59" s="4"/>
      <c r="R59" s="4"/>
      <c r="S59" s="4"/>
      <c r="T59" s="4"/>
      <c r="U59" s="4"/>
      <c r="V59" s="4"/>
      <c r="W59" s="4">
        <v>106.9569</v>
      </c>
      <c r="X59" s="4">
        <v>1</v>
      </c>
      <c r="Y59" s="4">
        <v>106.9569</v>
      </c>
      <c r="Z59" s="4"/>
      <c r="AA59" s="4"/>
      <c r="AB59" s="4"/>
    </row>
    <row r="60" spans="1:28" x14ac:dyDescent="0.2">
      <c r="A60" s="4">
        <v>50</v>
      </c>
      <c r="B60" s="4">
        <v>0</v>
      </c>
      <c r="C60" s="4">
        <v>0</v>
      </c>
      <c r="D60" s="4">
        <v>1</v>
      </c>
      <c r="E60" s="4">
        <v>208</v>
      </c>
      <c r="F60" s="4">
        <f>Source!V37</f>
        <v>0</v>
      </c>
      <c r="G60" s="4" t="s">
        <v>110</v>
      </c>
      <c r="H60" s="4" t="s">
        <v>111</v>
      </c>
      <c r="I60" s="4"/>
      <c r="J60" s="4"/>
      <c r="K60" s="4">
        <v>208</v>
      </c>
      <c r="L60" s="4">
        <v>22</v>
      </c>
      <c r="M60" s="4">
        <v>3</v>
      </c>
      <c r="N60" s="4" t="s">
        <v>3</v>
      </c>
      <c r="O60" s="4">
        <v>-1</v>
      </c>
      <c r="P60" s="4"/>
      <c r="Q60" s="4"/>
      <c r="R60" s="4"/>
      <c r="S60" s="4"/>
      <c r="T60" s="4"/>
      <c r="U60" s="4"/>
      <c r="V60" s="4"/>
      <c r="W60" s="4">
        <v>12.243245</v>
      </c>
      <c r="X60" s="4">
        <v>1</v>
      </c>
      <c r="Y60" s="4">
        <v>12.243245</v>
      </c>
      <c r="Z60" s="4"/>
      <c r="AA60" s="4"/>
      <c r="AB60" s="4"/>
    </row>
    <row r="61" spans="1:28" x14ac:dyDescent="0.2">
      <c r="A61" s="4">
        <v>50</v>
      </c>
      <c r="B61" s="4">
        <v>0</v>
      </c>
      <c r="C61" s="4">
        <v>0</v>
      </c>
      <c r="D61" s="4">
        <v>1</v>
      </c>
      <c r="E61" s="4">
        <v>209</v>
      </c>
      <c r="F61" s="4">
        <f>ROUND(Source!W37,O61)</f>
        <v>0</v>
      </c>
      <c r="G61" s="4" t="s">
        <v>112</v>
      </c>
      <c r="H61" s="4" t="s">
        <v>113</v>
      </c>
      <c r="I61" s="4"/>
      <c r="J61" s="4"/>
      <c r="K61" s="4">
        <v>209</v>
      </c>
      <c r="L61" s="4">
        <v>23</v>
      </c>
      <c r="M61" s="4">
        <v>3</v>
      </c>
      <c r="N61" s="4" t="s">
        <v>3</v>
      </c>
      <c r="O61" s="4">
        <v>0</v>
      </c>
      <c r="P61" s="4"/>
      <c r="Q61" s="4"/>
      <c r="R61" s="4"/>
      <c r="S61" s="4"/>
      <c r="T61" s="4"/>
      <c r="U61" s="4"/>
      <c r="V61" s="4"/>
      <c r="W61" s="4">
        <v>0</v>
      </c>
      <c r="X61" s="4">
        <v>1</v>
      </c>
      <c r="Y61" s="4">
        <v>0</v>
      </c>
      <c r="Z61" s="4"/>
      <c r="AA61" s="4"/>
      <c r="AB61" s="4"/>
    </row>
    <row r="62" spans="1:28" x14ac:dyDescent="0.2">
      <c r="A62" s="4">
        <v>50</v>
      </c>
      <c r="B62" s="4">
        <v>0</v>
      </c>
      <c r="C62" s="4">
        <v>0</v>
      </c>
      <c r="D62" s="4">
        <v>1</v>
      </c>
      <c r="E62" s="4">
        <v>233</v>
      </c>
      <c r="F62" s="4">
        <f>ROUND(Source!BD37,O62)</f>
        <v>0</v>
      </c>
      <c r="G62" s="4" t="s">
        <v>114</v>
      </c>
      <c r="H62" s="4" t="s">
        <v>115</v>
      </c>
      <c r="I62" s="4"/>
      <c r="J62" s="4"/>
      <c r="K62" s="4">
        <v>233</v>
      </c>
      <c r="L62" s="4">
        <v>24</v>
      </c>
      <c r="M62" s="4">
        <v>3</v>
      </c>
      <c r="N62" s="4" t="s">
        <v>3</v>
      </c>
      <c r="O62" s="4">
        <v>0</v>
      </c>
      <c r="P62" s="4"/>
      <c r="Q62" s="4"/>
      <c r="R62" s="4"/>
      <c r="S62" s="4"/>
      <c r="T62" s="4"/>
      <c r="U62" s="4"/>
      <c r="V62" s="4"/>
      <c r="W62" s="4">
        <v>3982</v>
      </c>
      <c r="X62" s="4">
        <v>1</v>
      </c>
      <c r="Y62" s="4">
        <v>3982</v>
      </c>
      <c r="Z62" s="4"/>
      <c r="AA62" s="4"/>
      <c r="AB62" s="4"/>
    </row>
    <row r="63" spans="1:28" x14ac:dyDescent="0.2">
      <c r="A63" s="4">
        <v>50</v>
      </c>
      <c r="B63" s="4">
        <v>0</v>
      </c>
      <c r="C63" s="4">
        <v>0</v>
      </c>
      <c r="D63" s="4">
        <v>1</v>
      </c>
      <c r="E63" s="4">
        <v>210</v>
      </c>
      <c r="F63" s="4">
        <f>ROUND(Source!X37,O63)</f>
        <v>0</v>
      </c>
      <c r="G63" s="4" t="s">
        <v>116</v>
      </c>
      <c r="H63" s="4" t="s">
        <v>117</v>
      </c>
      <c r="I63" s="4"/>
      <c r="J63" s="4"/>
      <c r="K63" s="4">
        <v>210</v>
      </c>
      <c r="L63" s="4">
        <v>25</v>
      </c>
      <c r="M63" s="4">
        <v>3</v>
      </c>
      <c r="N63" s="4" t="s">
        <v>3</v>
      </c>
      <c r="O63" s="4">
        <v>0</v>
      </c>
      <c r="P63" s="4"/>
      <c r="Q63" s="4"/>
      <c r="R63" s="4"/>
      <c r="S63" s="4"/>
      <c r="T63" s="4"/>
      <c r="U63" s="4"/>
      <c r="V63" s="4"/>
      <c r="W63" s="4">
        <v>31529</v>
      </c>
      <c r="X63" s="4">
        <v>1</v>
      </c>
      <c r="Y63" s="4">
        <v>31529</v>
      </c>
      <c r="Z63" s="4"/>
      <c r="AA63" s="4"/>
      <c r="AB63" s="4"/>
    </row>
    <row r="64" spans="1:28" x14ac:dyDescent="0.2">
      <c r="A64" s="4">
        <v>50</v>
      </c>
      <c r="B64" s="4">
        <v>0</v>
      </c>
      <c r="C64" s="4">
        <v>0</v>
      </c>
      <c r="D64" s="4">
        <v>1</v>
      </c>
      <c r="E64" s="4">
        <v>211</v>
      </c>
      <c r="F64" s="4">
        <f>ROUND(Source!Y37,O64)</f>
        <v>0</v>
      </c>
      <c r="G64" s="4" t="s">
        <v>118</v>
      </c>
      <c r="H64" s="4" t="s">
        <v>119</v>
      </c>
      <c r="I64" s="4"/>
      <c r="J64" s="4"/>
      <c r="K64" s="4">
        <v>211</v>
      </c>
      <c r="L64" s="4">
        <v>26</v>
      </c>
      <c r="M64" s="4">
        <v>3</v>
      </c>
      <c r="N64" s="4" t="s">
        <v>3</v>
      </c>
      <c r="O64" s="4">
        <v>0</v>
      </c>
      <c r="P64" s="4"/>
      <c r="Q64" s="4"/>
      <c r="R64" s="4"/>
      <c r="S64" s="4"/>
      <c r="T64" s="4"/>
      <c r="U64" s="4"/>
      <c r="V64" s="4"/>
      <c r="W64" s="4">
        <v>19263</v>
      </c>
      <c r="X64" s="4">
        <v>1</v>
      </c>
      <c r="Y64" s="4">
        <v>19263</v>
      </c>
      <c r="Z64" s="4"/>
      <c r="AA64" s="4"/>
      <c r="AB64" s="4"/>
    </row>
    <row r="65" spans="1:245" x14ac:dyDescent="0.2">
      <c r="A65" s="4">
        <v>50</v>
      </c>
      <c r="B65" s="4">
        <v>0</v>
      </c>
      <c r="C65" s="4">
        <v>0</v>
      </c>
      <c r="D65" s="4">
        <v>1</v>
      </c>
      <c r="E65" s="4">
        <v>224</v>
      </c>
      <c r="F65" s="4">
        <f>ROUND(Source!AR37,O65)</f>
        <v>0</v>
      </c>
      <c r="G65" s="4" t="s">
        <v>120</v>
      </c>
      <c r="H65" s="4" t="s">
        <v>121</v>
      </c>
      <c r="I65" s="4"/>
      <c r="J65" s="4"/>
      <c r="K65" s="4">
        <v>224</v>
      </c>
      <c r="L65" s="4">
        <v>27</v>
      </c>
      <c r="M65" s="4">
        <v>3</v>
      </c>
      <c r="N65" s="4" t="s">
        <v>3</v>
      </c>
      <c r="O65" s="4">
        <v>0</v>
      </c>
      <c r="P65" s="4"/>
      <c r="Q65" s="4"/>
      <c r="R65" s="4"/>
      <c r="S65" s="4"/>
      <c r="T65" s="4"/>
      <c r="U65" s="4"/>
      <c r="V65" s="4"/>
      <c r="W65" s="4">
        <v>102661</v>
      </c>
      <c r="X65" s="4">
        <v>1</v>
      </c>
      <c r="Y65" s="4">
        <v>102661</v>
      </c>
      <c r="Z65" s="4"/>
      <c r="AA65" s="4"/>
      <c r="AB65" s="4"/>
    </row>
    <row r="67" spans="1:245" x14ac:dyDescent="0.2">
      <c r="A67" s="1">
        <v>4</v>
      </c>
      <c r="B67" s="1">
        <v>1</v>
      </c>
      <c r="C67" s="1"/>
      <c r="D67" s="1">
        <f>ROW(A213)</f>
        <v>213</v>
      </c>
      <c r="E67" s="1"/>
      <c r="F67" s="1" t="s">
        <v>13</v>
      </c>
      <c r="G67" s="1" t="s">
        <v>122</v>
      </c>
      <c r="H67" s="1" t="s">
        <v>3</v>
      </c>
      <c r="I67" s="1">
        <v>0</v>
      </c>
      <c r="J67" s="1"/>
      <c r="K67" s="1">
        <v>0</v>
      </c>
      <c r="L67" s="1"/>
      <c r="M67" s="1" t="s">
        <v>3</v>
      </c>
      <c r="N67" s="1"/>
      <c r="O67" s="1"/>
      <c r="P67" s="1"/>
      <c r="Q67" s="1"/>
      <c r="R67" s="1"/>
      <c r="S67" s="1">
        <v>0</v>
      </c>
      <c r="T67" s="1"/>
      <c r="U67" s="1" t="s">
        <v>3</v>
      </c>
      <c r="V67" s="1">
        <v>0</v>
      </c>
      <c r="W67" s="1"/>
      <c r="X67" s="1"/>
      <c r="Y67" s="1"/>
      <c r="Z67" s="1"/>
      <c r="AA67" s="1"/>
      <c r="AB67" s="1" t="s">
        <v>3</v>
      </c>
      <c r="AC67" s="1" t="s">
        <v>3</v>
      </c>
      <c r="AD67" s="1" t="s">
        <v>3</v>
      </c>
      <c r="AE67" s="1" t="s">
        <v>3</v>
      </c>
      <c r="AF67" s="1" t="s">
        <v>3</v>
      </c>
      <c r="AG67" s="1" t="s">
        <v>3</v>
      </c>
      <c r="AH67" s="1"/>
      <c r="AI67" s="1"/>
      <c r="AJ67" s="1"/>
      <c r="AK67" s="1"/>
      <c r="AL67" s="1"/>
      <c r="AM67" s="1"/>
      <c r="AN67" s="1"/>
      <c r="AO67" s="1"/>
      <c r="AP67" s="1" t="s">
        <v>3</v>
      </c>
      <c r="AQ67" s="1" t="s">
        <v>3</v>
      </c>
      <c r="AR67" s="1" t="s">
        <v>3</v>
      </c>
      <c r="AS67" s="1"/>
      <c r="AT67" s="1"/>
      <c r="AU67" s="1"/>
      <c r="AV67" s="1"/>
      <c r="AW67" s="1"/>
      <c r="AX67" s="1"/>
      <c r="AY67" s="1"/>
      <c r="AZ67" s="1" t="s">
        <v>3</v>
      </c>
      <c r="BA67" s="1"/>
      <c r="BB67" s="1" t="s">
        <v>3</v>
      </c>
      <c r="BC67" s="1" t="s">
        <v>3</v>
      </c>
      <c r="BD67" s="1" t="s">
        <v>3</v>
      </c>
      <c r="BE67" s="1" t="s">
        <v>3</v>
      </c>
      <c r="BF67" s="1" t="s">
        <v>3</v>
      </c>
      <c r="BG67" s="1" t="s">
        <v>3</v>
      </c>
      <c r="BH67" s="1" t="s">
        <v>3</v>
      </c>
      <c r="BI67" s="1" t="s">
        <v>3</v>
      </c>
      <c r="BJ67" s="1" t="s">
        <v>3</v>
      </c>
      <c r="BK67" s="1" t="s">
        <v>3</v>
      </c>
      <c r="BL67" s="1" t="s">
        <v>3</v>
      </c>
      <c r="BM67" s="1" t="s">
        <v>3</v>
      </c>
      <c r="BN67" s="1" t="s">
        <v>3</v>
      </c>
      <c r="BO67" s="1" t="s">
        <v>3</v>
      </c>
      <c r="BP67" s="1" t="s">
        <v>3</v>
      </c>
      <c r="BQ67" s="1"/>
      <c r="BR67" s="1"/>
      <c r="BS67" s="1"/>
      <c r="BT67" s="1"/>
      <c r="BU67" s="1"/>
      <c r="BV67" s="1"/>
      <c r="BW67" s="1"/>
      <c r="BX67" s="1">
        <v>0</v>
      </c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>
        <v>0</v>
      </c>
    </row>
    <row r="69" spans="1:245" x14ac:dyDescent="0.2">
      <c r="A69" s="2">
        <v>52</v>
      </c>
      <c r="B69" s="2">
        <f t="shared" ref="B69:G69" si="56">B213</f>
        <v>1</v>
      </c>
      <c r="C69" s="2">
        <f t="shared" si="56"/>
        <v>4</v>
      </c>
      <c r="D69" s="2">
        <f t="shared" si="56"/>
        <v>67</v>
      </c>
      <c r="E69" s="2">
        <f t="shared" si="56"/>
        <v>0</v>
      </c>
      <c r="F69" s="2" t="str">
        <f t="shared" si="56"/>
        <v>Новый раздел</v>
      </c>
      <c r="G69" s="2" t="str">
        <f t="shared" si="56"/>
        <v>Бетонные работы</v>
      </c>
      <c r="H69" s="2"/>
      <c r="I69" s="2"/>
      <c r="J69" s="2"/>
      <c r="K69" s="2"/>
      <c r="L69" s="2"/>
      <c r="M69" s="2"/>
      <c r="N69" s="2"/>
      <c r="O69" s="2">
        <f t="shared" ref="O69:AT69" si="57">O213</f>
        <v>650206</v>
      </c>
      <c r="P69" s="2">
        <f t="shared" si="57"/>
        <v>439460</v>
      </c>
      <c r="Q69" s="2">
        <f t="shared" si="57"/>
        <v>33276</v>
      </c>
      <c r="R69" s="2">
        <f t="shared" si="57"/>
        <v>7595</v>
      </c>
      <c r="S69" s="2">
        <f t="shared" si="57"/>
        <v>177470</v>
      </c>
      <c r="T69" s="2">
        <f t="shared" si="57"/>
        <v>0</v>
      </c>
      <c r="U69" s="2">
        <f t="shared" si="57"/>
        <v>639.5771598</v>
      </c>
      <c r="V69" s="2">
        <f t="shared" si="57"/>
        <v>20.442213124999999</v>
      </c>
      <c r="W69" s="2">
        <f t="shared" si="57"/>
        <v>0</v>
      </c>
      <c r="X69" s="2">
        <f t="shared" si="57"/>
        <v>216070</v>
      </c>
      <c r="Y69" s="2">
        <f t="shared" si="57"/>
        <v>135626</v>
      </c>
      <c r="Z69" s="2">
        <f t="shared" si="57"/>
        <v>0</v>
      </c>
      <c r="AA69" s="2">
        <f t="shared" si="57"/>
        <v>0</v>
      </c>
      <c r="AB69" s="2">
        <f t="shared" si="57"/>
        <v>0</v>
      </c>
      <c r="AC69" s="2">
        <f t="shared" si="57"/>
        <v>0</v>
      </c>
      <c r="AD69" s="2">
        <f t="shared" si="57"/>
        <v>0</v>
      </c>
      <c r="AE69" s="2">
        <f t="shared" si="57"/>
        <v>0</v>
      </c>
      <c r="AF69" s="2">
        <f t="shared" si="57"/>
        <v>0</v>
      </c>
      <c r="AG69" s="2">
        <f t="shared" si="57"/>
        <v>0</v>
      </c>
      <c r="AH69" s="2">
        <f t="shared" si="57"/>
        <v>0</v>
      </c>
      <c r="AI69" s="2">
        <f t="shared" si="57"/>
        <v>0</v>
      </c>
      <c r="AJ69" s="2">
        <f t="shared" si="57"/>
        <v>0</v>
      </c>
      <c r="AK69" s="2">
        <f t="shared" si="57"/>
        <v>0</v>
      </c>
      <c r="AL69" s="2">
        <f t="shared" si="57"/>
        <v>0</v>
      </c>
      <c r="AM69" s="2">
        <f t="shared" si="57"/>
        <v>0</v>
      </c>
      <c r="AN69" s="2">
        <f t="shared" si="57"/>
        <v>0</v>
      </c>
      <c r="AO69" s="2">
        <f t="shared" si="57"/>
        <v>0</v>
      </c>
      <c r="AP69" s="2">
        <f t="shared" si="57"/>
        <v>0</v>
      </c>
      <c r="AQ69" s="2">
        <f t="shared" si="57"/>
        <v>0</v>
      </c>
      <c r="AR69" s="2">
        <f t="shared" si="57"/>
        <v>1001902</v>
      </c>
      <c r="AS69" s="2">
        <f t="shared" si="57"/>
        <v>631083</v>
      </c>
      <c r="AT69" s="2">
        <f t="shared" si="57"/>
        <v>0</v>
      </c>
      <c r="AU69" s="2">
        <f t="shared" ref="AU69:BZ69" si="58">AU213</f>
        <v>370819</v>
      </c>
      <c r="AV69" s="2">
        <f t="shared" si="58"/>
        <v>439460</v>
      </c>
      <c r="AW69" s="2">
        <f t="shared" si="58"/>
        <v>439460</v>
      </c>
      <c r="AX69" s="2">
        <f t="shared" si="58"/>
        <v>0</v>
      </c>
      <c r="AY69" s="2">
        <f t="shared" si="58"/>
        <v>439460</v>
      </c>
      <c r="AZ69" s="2">
        <f t="shared" si="58"/>
        <v>0</v>
      </c>
      <c r="BA69" s="2">
        <f t="shared" si="58"/>
        <v>0</v>
      </c>
      <c r="BB69" s="2">
        <f t="shared" si="58"/>
        <v>0</v>
      </c>
      <c r="BC69" s="2">
        <f t="shared" si="58"/>
        <v>0</v>
      </c>
      <c r="BD69" s="2">
        <f t="shared" si="58"/>
        <v>0</v>
      </c>
      <c r="BE69" s="2">
        <f t="shared" si="58"/>
        <v>0</v>
      </c>
      <c r="BF69" s="2">
        <f t="shared" si="58"/>
        <v>0</v>
      </c>
      <c r="BG69" s="2">
        <f t="shared" si="58"/>
        <v>0</v>
      </c>
      <c r="BH69" s="2">
        <f t="shared" si="58"/>
        <v>0</v>
      </c>
      <c r="BI69" s="2">
        <f t="shared" si="58"/>
        <v>0</v>
      </c>
      <c r="BJ69" s="2">
        <f t="shared" si="58"/>
        <v>0</v>
      </c>
      <c r="BK69" s="2">
        <f t="shared" si="58"/>
        <v>0</v>
      </c>
      <c r="BL69" s="2">
        <f t="shared" si="58"/>
        <v>0</v>
      </c>
      <c r="BM69" s="2">
        <f t="shared" si="58"/>
        <v>0</v>
      </c>
      <c r="BN69" s="2">
        <f t="shared" si="58"/>
        <v>0</v>
      </c>
      <c r="BO69" s="2">
        <f t="shared" si="58"/>
        <v>0</v>
      </c>
      <c r="BP69" s="2">
        <f t="shared" si="58"/>
        <v>0</v>
      </c>
      <c r="BQ69" s="2">
        <f t="shared" si="58"/>
        <v>0</v>
      </c>
      <c r="BR69" s="2">
        <f t="shared" si="58"/>
        <v>0</v>
      </c>
      <c r="BS69" s="2">
        <f t="shared" si="58"/>
        <v>0</v>
      </c>
      <c r="BT69" s="2">
        <f t="shared" si="58"/>
        <v>0</v>
      </c>
      <c r="BU69" s="2">
        <f t="shared" si="58"/>
        <v>0</v>
      </c>
      <c r="BV69" s="2">
        <f t="shared" si="58"/>
        <v>0</v>
      </c>
      <c r="BW69" s="2">
        <f t="shared" si="58"/>
        <v>0</v>
      </c>
      <c r="BX69" s="2">
        <f t="shared" si="58"/>
        <v>0</v>
      </c>
      <c r="BY69" s="2">
        <f t="shared" si="58"/>
        <v>0</v>
      </c>
      <c r="BZ69" s="2">
        <f t="shared" si="58"/>
        <v>0</v>
      </c>
      <c r="CA69" s="2">
        <f t="shared" ref="CA69:DF69" si="59">CA213</f>
        <v>0</v>
      </c>
      <c r="CB69" s="2">
        <f t="shared" si="59"/>
        <v>0</v>
      </c>
      <c r="CC69" s="2">
        <f t="shared" si="59"/>
        <v>0</v>
      </c>
      <c r="CD69" s="2">
        <f t="shared" si="59"/>
        <v>0</v>
      </c>
      <c r="CE69" s="2">
        <f t="shared" si="59"/>
        <v>0</v>
      </c>
      <c r="CF69" s="2">
        <f t="shared" si="59"/>
        <v>0</v>
      </c>
      <c r="CG69" s="2">
        <f t="shared" si="59"/>
        <v>0</v>
      </c>
      <c r="CH69" s="2">
        <f t="shared" si="59"/>
        <v>0</v>
      </c>
      <c r="CI69" s="2">
        <f t="shared" si="59"/>
        <v>0</v>
      </c>
      <c r="CJ69" s="2">
        <f t="shared" si="59"/>
        <v>0</v>
      </c>
      <c r="CK69" s="2">
        <f t="shared" si="59"/>
        <v>0</v>
      </c>
      <c r="CL69" s="2">
        <f t="shared" si="59"/>
        <v>0</v>
      </c>
      <c r="CM69" s="2">
        <f t="shared" si="59"/>
        <v>0</v>
      </c>
      <c r="CN69" s="2">
        <f t="shared" si="59"/>
        <v>0</v>
      </c>
      <c r="CO69" s="2">
        <f t="shared" si="59"/>
        <v>0</v>
      </c>
      <c r="CP69" s="2">
        <f t="shared" si="59"/>
        <v>0</v>
      </c>
      <c r="CQ69" s="2">
        <f t="shared" si="59"/>
        <v>0</v>
      </c>
      <c r="CR69" s="2">
        <f t="shared" si="59"/>
        <v>0</v>
      </c>
      <c r="CS69" s="2">
        <f t="shared" si="59"/>
        <v>0</v>
      </c>
      <c r="CT69" s="2">
        <f t="shared" si="59"/>
        <v>0</v>
      </c>
      <c r="CU69" s="2">
        <f t="shared" si="59"/>
        <v>0</v>
      </c>
      <c r="CV69" s="2">
        <f t="shared" si="59"/>
        <v>0</v>
      </c>
      <c r="CW69" s="2">
        <f t="shared" si="59"/>
        <v>0</v>
      </c>
      <c r="CX69" s="2">
        <f t="shared" si="59"/>
        <v>0</v>
      </c>
      <c r="CY69" s="2">
        <f t="shared" si="59"/>
        <v>0</v>
      </c>
      <c r="CZ69" s="2">
        <f t="shared" si="59"/>
        <v>0</v>
      </c>
      <c r="DA69" s="2">
        <f t="shared" si="59"/>
        <v>0</v>
      </c>
      <c r="DB69" s="2">
        <f t="shared" si="59"/>
        <v>0</v>
      </c>
      <c r="DC69" s="2">
        <f t="shared" si="59"/>
        <v>0</v>
      </c>
      <c r="DD69" s="2">
        <f t="shared" si="59"/>
        <v>0</v>
      </c>
      <c r="DE69" s="2">
        <f t="shared" si="59"/>
        <v>0</v>
      </c>
      <c r="DF69" s="2">
        <f t="shared" si="59"/>
        <v>0</v>
      </c>
      <c r="DG69" s="3">
        <f t="shared" ref="DG69:EL69" si="60">DG213</f>
        <v>0</v>
      </c>
      <c r="DH69" s="3">
        <f t="shared" si="60"/>
        <v>0</v>
      </c>
      <c r="DI69" s="3">
        <f t="shared" si="60"/>
        <v>0</v>
      </c>
      <c r="DJ69" s="3">
        <f t="shared" si="60"/>
        <v>0</v>
      </c>
      <c r="DK69" s="3">
        <f t="shared" si="60"/>
        <v>0</v>
      </c>
      <c r="DL69" s="3">
        <f t="shared" si="60"/>
        <v>0</v>
      </c>
      <c r="DM69" s="3">
        <f t="shared" si="60"/>
        <v>0</v>
      </c>
      <c r="DN69" s="3">
        <f t="shared" si="60"/>
        <v>0</v>
      </c>
      <c r="DO69" s="3">
        <f t="shared" si="60"/>
        <v>0</v>
      </c>
      <c r="DP69" s="3">
        <f t="shared" si="60"/>
        <v>0</v>
      </c>
      <c r="DQ69" s="3">
        <f t="shared" si="60"/>
        <v>0</v>
      </c>
      <c r="DR69" s="3">
        <f t="shared" si="60"/>
        <v>0</v>
      </c>
      <c r="DS69" s="3">
        <f t="shared" si="60"/>
        <v>0</v>
      </c>
      <c r="DT69" s="3">
        <f t="shared" si="60"/>
        <v>0</v>
      </c>
      <c r="DU69" s="3">
        <f t="shared" si="60"/>
        <v>0</v>
      </c>
      <c r="DV69" s="3">
        <f t="shared" si="60"/>
        <v>0</v>
      </c>
      <c r="DW69" s="3">
        <f t="shared" si="60"/>
        <v>0</v>
      </c>
      <c r="DX69" s="3">
        <f t="shared" si="60"/>
        <v>0</v>
      </c>
      <c r="DY69" s="3">
        <f t="shared" si="60"/>
        <v>0</v>
      </c>
      <c r="DZ69" s="3">
        <f t="shared" si="60"/>
        <v>0</v>
      </c>
      <c r="EA69" s="3">
        <f t="shared" si="60"/>
        <v>0</v>
      </c>
      <c r="EB69" s="3">
        <f t="shared" si="60"/>
        <v>0</v>
      </c>
      <c r="EC69" s="3">
        <f t="shared" si="60"/>
        <v>0</v>
      </c>
      <c r="ED69" s="3">
        <f t="shared" si="60"/>
        <v>0</v>
      </c>
      <c r="EE69" s="3">
        <f t="shared" si="60"/>
        <v>0</v>
      </c>
      <c r="EF69" s="3">
        <f t="shared" si="60"/>
        <v>0</v>
      </c>
      <c r="EG69" s="3">
        <f t="shared" si="60"/>
        <v>0</v>
      </c>
      <c r="EH69" s="3">
        <f t="shared" si="60"/>
        <v>0</v>
      </c>
      <c r="EI69" s="3">
        <f t="shared" si="60"/>
        <v>0</v>
      </c>
      <c r="EJ69" s="3">
        <f t="shared" si="60"/>
        <v>0</v>
      </c>
      <c r="EK69" s="3">
        <f t="shared" si="60"/>
        <v>0</v>
      </c>
      <c r="EL69" s="3">
        <f t="shared" si="60"/>
        <v>0</v>
      </c>
      <c r="EM69" s="3">
        <f t="shared" ref="EM69:FR69" si="61">EM213</f>
        <v>0</v>
      </c>
      <c r="EN69" s="3">
        <f t="shared" si="61"/>
        <v>0</v>
      </c>
      <c r="EO69" s="3">
        <f t="shared" si="61"/>
        <v>0</v>
      </c>
      <c r="EP69" s="3">
        <f t="shared" si="61"/>
        <v>0</v>
      </c>
      <c r="EQ69" s="3">
        <f t="shared" si="61"/>
        <v>0</v>
      </c>
      <c r="ER69" s="3">
        <f t="shared" si="61"/>
        <v>0</v>
      </c>
      <c r="ES69" s="3">
        <f t="shared" si="61"/>
        <v>0</v>
      </c>
      <c r="ET69" s="3">
        <f t="shared" si="61"/>
        <v>0</v>
      </c>
      <c r="EU69" s="3">
        <f t="shared" si="61"/>
        <v>0</v>
      </c>
      <c r="EV69" s="3">
        <f t="shared" si="61"/>
        <v>0</v>
      </c>
      <c r="EW69" s="3">
        <f t="shared" si="61"/>
        <v>0</v>
      </c>
      <c r="EX69" s="3">
        <f t="shared" si="61"/>
        <v>0</v>
      </c>
      <c r="EY69" s="3">
        <f t="shared" si="61"/>
        <v>0</v>
      </c>
      <c r="EZ69" s="3">
        <f t="shared" si="61"/>
        <v>0</v>
      </c>
      <c r="FA69" s="3">
        <f t="shared" si="61"/>
        <v>0</v>
      </c>
      <c r="FB69" s="3">
        <f t="shared" si="61"/>
        <v>0</v>
      </c>
      <c r="FC69" s="3">
        <f t="shared" si="61"/>
        <v>0</v>
      </c>
      <c r="FD69" s="3">
        <f t="shared" si="61"/>
        <v>0</v>
      </c>
      <c r="FE69" s="3">
        <f t="shared" si="61"/>
        <v>0</v>
      </c>
      <c r="FF69" s="3">
        <f t="shared" si="61"/>
        <v>0</v>
      </c>
      <c r="FG69" s="3">
        <f t="shared" si="61"/>
        <v>0</v>
      </c>
      <c r="FH69" s="3">
        <f t="shared" si="61"/>
        <v>0</v>
      </c>
      <c r="FI69" s="3">
        <f t="shared" si="61"/>
        <v>0</v>
      </c>
      <c r="FJ69" s="3">
        <f t="shared" si="61"/>
        <v>0</v>
      </c>
      <c r="FK69" s="3">
        <f t="shared" si="61"/>
        <v>0</v>
      </c>
      <c r="FL69" s="3">
        <f t="shared" si="61"/>
        <v>0</v>
      </c>
      <c r="FM69" s="3">
        <f t="shared" si="61"/>
        <v>0</v>
      </c>
      <c r="FN69" s="3">
        <f t="shared" si="61"/>
        <v>0</v>
      </c>
      <c r="FO69" s="3">
        <f t="shared" si="61"/>
        <v>0</v>
      </c>
      <c r="FP69" s="3">
        <f t="shared" si="61"/>
        <v>0</v>
      </c>
      <c r="FQ69" s="3">
        <f t="shared" si="61"/>
        <v>0</v>
      </c>
      <c r="FR69" s="3">
        <f t="shared" si="61"/>
        <v>0</v>
      </c>
      <c r="FS69" s="3">
        <f t="shared" ref="FS69:GX69" si="62">FS213</f>
        <v>0</v>
      </c>
      <c r="FT69" s="3">
        <f t="shared" si="62"/>
        <v>0</v>
      </c>
      <c r="FU69" s="3">
        <f t="shared" si="62"/>
        <v>0</v>
      </c>
      <c r="FV69" s="3">
        <f t="shared" si="62"/>
        <v>0</v>
      </c>
      <c r="FW69" s="3">
        <f t="shared" si="62"/>
        <v>0</v>
      </c>
      <c r="FX69" s="3">
        <f t="shared" si="62"/>
        <v>0</v>
      </c>
      <c r="FY69" s="3">
        <f t="shared" si="62"/>
        <v>0</v>
      </c>
      <c r="FZ69" s="3">
        <f t="shared" si="62"/>
        <v>0</v>
      </c>
      <c r="GA69" s="3">
        <f t="shared" si="62"/>
        <v>0</v>
      </c>
      <c r="GB69" s="3">
        <f t="shared" si="62"/>
        <v>0</v>
      </c>
      <c r="GC69" s="3">
        <f t="shared" si="62"/>
        <v>0</v>
      </c>
      <c r="GD69" s="3">
        <f t="shared" si="62"/>
        <v>0</v>
      </c>
      <c r="GE69" s="3">
        <f t="shared" si="62"/>
        <v>0</v>
      </c>
      <c r="GF69" s="3">
        <f t="shared" si="62"/>
        <v>0</v>
      </c>
      <c r="GG69" s="3">
        <f t="shared" si="62"/>
        <v>0</v>
      </c>
      <c r="GH69" s="3">
        <f t="shared" si="62"/>
        <v>0</v>
      </c>
      <c r="GI69" s="3">
        <f t="shared" si="62"/>
        <v>0</v>
      </c>
      <c r="GJ69" s="3">
        <f t="shared" si="62"/>
        <v>0</v>
      </c>
      <c r="GK69" s="3">
        <f t="shared" si="62"/>
        <v>0</v>
      </c>
      <c r="GL69" s="3">
        <f t="shared" si="62"/>
        <v>0</v>
      </c>
      <c r="GM69" s="3">
        <f t="shared" si="62"/>
        <v>0</v>
      </c>
      <c r="GN69" s="3">
        <f t="shared" si="62"/>
        <v>0</v>
      </c>
      <c r="GO69" s="3">
        <f t="shared" si="62"/>
        <v>0</v>
      </c>
      <c r="GP69" s="3">
        <f t="shared" si="62"/>
        <v>0</v>
      </c>
      <c r="GQ69" s="3">
        <f t="shared" si="62"/>
        <v>0</v>
      </c>
      <c r="GR69" s="3">
        <f t="shared" si="62"/>
        <v>0</v>
      </c>
      <c r="GS69" s="3">
        <f t="shared" si="62"/>
        <v>0</v>
      </c>
      <c r="GT69" s="3">
        <f t="shared" si="62"/>
        <v>0</v>
      </c>
      <c r="GU69" s="3">
        <f t="shared" si="62"/>
        <v>0</v>
      </c>
      <c r="GV69" s="3">
        <f t="shared" si="62"/>
        <v>0</v>
      </c>
      <c r="GW69" s="3">
        <f t="shared" si="62"/>
        <v>0</v>
      </c>
      <c r="GX69" s="3">
        <f t="shared" si="62"/>
        <v>0</v>
      </c>
    </row>
    <row r="71" spans="1:245" x14ac:dyDescent="0.2">
      <c r="A71" s="1">
        <v>5</v>
      </c>
      <c r="B71" s="1">
        <v>1</v>
      </c>
      <c r="C71" s="1"/>
      <c r="D71" s="1">
        <f>ROW(A89)</f>
        <v>89</v>
      </c>
      <c r="E71" s="1"/>
      <c r="F71" s="1" t="s">
        <v>123</v>
      </c>
      <c r="G71" s="1" t="s">
        <v>124</v>
      </c>
      <c r="H71" s="1" t="s">
        <v>3</v>
      </c>
      <c r="I71" s="1">
        <v>0</v>
      </c>
      <c r="J71" s="1"/>
      <c r="K71" s="1">
        <v>-1</v>
      </c>
      <c r="L71" s="1"/>
      <c r="M71" s="1" t="s">
        <v>3</v>
      </c>
      <c r="N71" s="1"/>
      <c r="O71" s="1"/>
      <c r="P71" s="1"/>
      <c r="Q71" s="1"/>
      <c r="R71" s="1"/>
      <c r="S71" s="1">
        <v>0</v>
      </c>
      <c r="T71" s="1"/>
      <c r="U71" s="1" t="s">
        <v>3</v>
      </c>
      <c r="V71" s="1">
        <v>0</v>
      </c>
      <c r="W71" s="1"/>
      <c r="X71" s="1"/>
      <c r="Y71" s="1"/>
      <c r="Z71" s="1"/>
      <c r="AA71" s="1"/>
      <c r="AB71" s="1" t="s">
        <v>3</v>
      </c>
      <c r="AC71" s="1" t="s">
        <v>3</v>
      </c>
      <c r="AD71" s="1" t="s">
        <v>3</v>
      </c>
      <c r="AE71" s="1" t="s">
        <v>3</v>
      </c>
      <c r="AF71" s="1" t="s">
        <v>3</v>
      </c>
      <c r="AG71" s="1" t="s">
        <v>3</v>
      </c>
      <c r="AH71" s="1"/>
      <c r="AI71" s="1"/>
      <c r="AJ71" s="1"/>
      <c r="AK71" s="1"/>
      <c r="AL71" s="1"/>
      <c r="AM71" s="1"/>
      <c r="AN71" s="1"/>
      <c r="AO71" s="1"/>
      <c r="AP71" s="1" t="s">
        <v>3</v>
      </c>
      <c r="AQ71" s="1" t="s">
        <v>3</v>
      </c>
      <c r="AR71" s="1" t="s">
        <v>3</v>
      </c>
      <c r="AS71" s="1"/>
      <c r="AT71" s="1"/>
      <c r="AU71" s="1"/>
      <c r="AV71" s="1"/>
      <c r="AW71" s="1"/>
      <c r="AX71" s="1"/>
      <c r="AY71" s="1"/>
      <c r="AZ71" s="1" t="s">
        <v>3</v>
      </c>
      <c r="BA71" s="1"/>
      <c r="BB71" s="1" t="s">
        <v>3</v>
      </c>
      <c r="BC71" s="1" t="s">
        <v>3</v>
      </c>
      <c r="BD71" s="1" t="s">
        <v>3</v>
      </c>
      <c r="BE71" s="1" t="s">
        <v>3</v>
      </c>
      <c r="BF71" s="1" t="s">
        <v>3</v>
      </c>
      <c r="BG71" s="1" t="s">
        <v>3</v>
      </c>
      <c r="BH71" s="1" t="s">
        <v>3</v>
      </c>
      <c r="BI71" s="1" t="s">
        <v>3</v>
      </c>
      <c r="BJ71" s="1" t="s">
        <v>3</v>
      </c>
      <c r="BK71" s="1" t="s">
        <v>3</v>
      </c>
      <c r="BL71" s="1" t="s">
        <v>3</v>
      </c>
      <c r="BM71" s="1" t="s">
        <v>3</v>
      </c>
      <c r="BN71" s="1" t="s">
        <v>3</v>
      </c>
      <c r="BO71" s="1" t="s">
        <v>3</v>
      </c>
      <c r="BP71" s="1" t="s">
        <v>3</v>
      </c>
      <c r="BQ71" s="1"/>
      <c r="BR71" s="1"/>
      <c r="BS71" s="1"/>
      <c r="BT71" s="1"/>
      <c r="BU71" s="1"/>
      <c r="BV71" s="1"/>
      <c r="BW71" s="1"/>
      <c r="BX71" s="1">
        <v>0</v>
      </c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>
        <v>0</v>
      </c>
    </row>
    <row r="73" spans="1:245" x14ac:dyDescent="0.2">
      <c r="A73" s="2">
        <v>52</v>
      </c>
      <c r="B73" s="2">
        <f t="shared" ref="B73:G73" si="63">B89</f>
        <v>1</v>
      </c>
      <c r="C73" s="2">
        <f t="shared" si="63"/>
        <v>5</v>
      </c>
      <c r="D73" s="2">
        <f t="shared" si="63"/>
        <v>71</v>
      </c>
      <c r="E73" s="2">
        <f t="shared" si="63"/>
        <v>0</v>
      </c>
      <c r="F73" s="2" t="str">
        <f t="shared" si="63"/>
        <v>Новый подраздел</v>
      </c>
      <c r="G73" s="2" t="str">
        <f t="shared" si="63"/>
        <v>Участок ТИП1</v>
      </c>
      <c r="H73" s="2"/>
      <c r="I73" s="2"/>
      <c r="J73" s="2"/>
      <c r="K73" s="2"/>
      <c r="L73" s="2"/>
      <c r="M73" s="2"/>
      <c r="N73" s="2"/>
      <c r="O73" s="2">
        <f t="shared" ref="O73:AT73" si="64">O89</f>
        <v>99444</v>
      </c>
      <c r="P73" s="2">
        <f t="shared" si="64"/>
        <v>79701</v>
      </c>
      <c r="Q73" s="2">
        <f t="shared" si="64"/>
        <v>4819</v>
      </c>
      <c r="R73" s="2">
        <f t="shared" si="64"/>
        <v>1146</v>
      </c>
      <c r="S73" s="2">
        <f t="shared" si="64"/>
        <v>14924</v>
      </c>
      <c r="T73" s="2">
        <f t="shared" si="64"/>
        <v>0</v>
      </c>
      <c r="U73" s="2">
        <f t="shared" si="64"/>
        <v>53.323604799999991</v>
      </c>
      <c r="V73" s="2">
        <f t="shared" si="64"/>
        <v>3.1553556249999994</v>
      </c>
      <c r="W73" s="2">
        <f t="shared" si="64"/>
        <v>0</v>
      </c>
      <c r="X73" s="2">
        <f t="shared" si="64"/>
        <v>19689</v>
      </c>
      <c r="Y73" s="2">
        <f t="shared" si="64"/>
        <v>12311</v>
      </c>
      <c r="Z73" s="2">
        <f t="shared" si="64"/>
        <v>0</v>
      </c>
      <c r="AA73" s="2">
        <f t="shared" si="64"/>
        <v>0</v>
      </c>
      <c r="AB73" s="2">
        <f t="shared" si="64"/>
        <v>99444</v>
      </c>
      <c r="AC73" s="2">
        <f t="shared" si="64"/>
        <v>79701</v>
      </c>
      <c r="AD73" s="2">
        <f t="shared" si="64"/>
        <v>4819</v>
      </c>
      <c r="AE73" s="2">
        <f t="shared" si="64"/>
        <v>1146</v>
      </c>
      <c r="AF73" s="2">
        <f t="shared" si="64"/>
        <v>14924</v>
      </c>
      <c r="AG73" s="2">
        <f t="shared" si="64"/>
        <v>0</v>
      </c>
      <c r="AH73" s="2">
        <f t="shared" si="64"/>
        <v>53.323604799999991</v>
      </c>
      <c r="AI73" s="2">
        <f t="shared" si="64"/>
        <v>3.1553556249999994</v>
      </c>
      <c r="AJ73" s="2">
        <f t="shared" si="64"/>
        <v>0</v>
      </c>
      <c r="AK73" s="2">
        <f t="shared" si="64"/>
        <v>19689</v>
      </c>
      <c r="AL73" s="2">
        <f t="shared" si="64"/>
        <v>12311</v>
      </c>
      <c r="AM73" s="2">
        <f t="shared" si="64"/>
        <v>0</v>
      </c>
      <c r="AN73" s="2">
        <f t="shared" si="64"/>
        <v>0</v>
      </c>
      <c r="AO73" s="2">
        <f t="shared" si="64"/>
        <v>0</v>
      </c>
      <c r="AP73" s="2">
        <f t="shared" si="64"/>
        <v>0</v>
      </c>
      <c r="AQ73" s="2">
        <f t="shared" si="64"/>
        <v>0</v>
      </c>
      <c r="AR73" s="2">
        <f t="shared" si="64"/>
        <v>131444</v>
      </c>
      <c r="AS73" s="2">
        <f t="shared" si="64"/>
        <v>61272</v>
      </c>
      <c r="AT73" s="2">
        <f t="shared" si="64"/>
        <v>0</v>
      </c>
      <c r="AU73" s="2">
        <f t="shared" ref="AU73:BZ73" si="65">AU89</f>
        <v>70172</v>
      </c>
      <c r="AV73" s="2">
        <f t="shared" si="65"/>
        <v>79701</v>
      </c>
      <c r="AW73" s="2">
        <f t="shared" si="65"/>
        <v>79701</v>
      </c>
      <c r="AX73" s="2">
        <f t="shared" si="65"/>
        <v>0</v>
      </c>
      <c r="AY73" s="2">
        <f t="shared" si="65"/>
        <v>79701</v>
      </c>
      <c r="AZ73" s="2">
        <f t="shared" si="65"/>
        <v>0</v>
      </c>
      <c r="BA73" s="2">
        <f t="shared" si="65"/>
        <v>0</v>
      </c>
      <c r="BB73" s="2">
        <f t="shared" si="65"/>
        <v>0</v>
      </c>
      <c r="BC73" s="2">
        <f t="shared" si="65"/>
        <v>0</v>
      </c>
      <c r="BD73" s="2">
        <f t="shared" si="65"/>
        <v>0</v>
      </c>
      <c r="BE73" s="2">
        <f t="shared" si="65"/>
        <v>0</v>
      </c>
      <c r="BF73" s="2">
        <f t="shared" si="65"/>
        <v>0</v>
      </c>
      <c r="BG73" s="2">
        <f t="shared" si="65"/>
        <v>0</v>
      </c>
      <c r="BH73" s="2">
        <f t="shared" si="65"/>
        <v>0</v>
      </c>
      <c r="BI73" s="2">
        <f t="shared" si="65"/>
        <v>0</v>
      </c>
      <c r="BJ73" s="2">
        <f t="shared" si="65"/>
        <v>0</v>
      </c>
      <c r="BK73" s="2">
        <f t="shared" si="65"/>
        <v>0</v>
      </c>
      <c r="BL73" s="2">
        <f t="shared" si="65"/>
        <v>0</v>
      </c>
      <c r="BM73" s="2">
        <f t="shared" si="65"/>
        <v>0</v>
      </c>
      <c r="BN73" s="2">
        <f t="shared" si="65"/>
        <v>0</v>
      </c>
      <c r="BO73" s="2">
        <f t="shared" si="65"/>
        <v>0</v>
      </c>
      <c r="BP73" s="2">
        <f t="shared" si="65"/>
        <v>0</v>
      </c>
      <c r="BQ73" s="2">
        <f t="shared" si="65"/>
        <v>0</v>
      </c>
      <c r="BR73" s="2">
        <f t="shared" si="65"/>
        <v>0</v>
      </c>
      <c r="BS73" s="2">
        <f t="shared" si="65"/>
        <v>0</v>
      </c>
      <c r="BT73" s="2">
        <f t="shared" si="65"/>
        <v>0</v>
      </c>
      <c r="BU73" s="2">
        <f t="shared" si="65"/>
        <v>0</v>
      </c>
      <c r="BV73" s="2">
        <f t="shared" si="65"/>
        <v>0</v>
      </c>
      <c r="BW73" s="2">
        <f t="shared" si="65"/>
        <v>0</v>
      </c>
      <c r="BX73" s="2">
        <f t="shared" si="65"/>
        <v>0</v>
      </c>
      <c r="BY73" s="2">
        <f t="shared" si="65"/>
        <v>0</v>
      </c>
      <c r="BZ73" s="2">
        <f t="shared" si="65"/>
        <v>0</v>
      </c>
      <c r="CA73" s="2">
        <f t="shared" ref="CA73:DF73" si="66">CA89</f>
        <v>131444</v>
      </c>
      <c r="CB73" s="2">
        <f t="shared" si="66"/>
        <v>61272</v>
      </c>
      <c r="CC73" s="2">
        <f t="shared" si="66"/>
        <v>0</v>
      </c>
      <c r="CD73" s="2">
        <f t="shared" si="66"/>
        <v>70172</v>
      </c>
      <c r="CE73" s="2">
        <f t="shared" si="66"/>
        <v>79701</v>
      </c>
      <c r="CF73" s="2">
        <f t="shared" si="66"/>
        <v>79701</v>
      </c>
      <c r="CG73" s="2">
        <f t="shared" si="66"/>
        <v>0</v>
      </c>
      <c r="CH73" s="2">
        <f t="shared" si="66"/>
        <v>79701</v>
      </c>
      <c r="CI73" s="2">
        <f t="shared" si="66"/>
        <v>0</v>
      </c>
      <c r="CJ73" s="2">
        <f t="shared" si="66"/>
        <v>0</v>
      </c>
      <c r="CK73" s="2">
        <f t="shared" si="66"/>
        <v>0</v>
      </c>
      <c r="CL73" s="2">
        <f t="shared" si="66"/>
        <v>0</v>
      </c>
      <c r="CM73" s="2">
        <f t="shared" si="66"/>
        <v>0</v>
      </c>
      <c r="CN73" s="2">
        <f t="shared" si="66"/>
        <v>0</v>
      </c>
      <c r="CO73" s="2">
        <f t="shared" si="66"/>
        <v>0</v>
      </c>
      <c r="CP73" s="2">
        <f t="shared" si="66"/>
        <v>0</v>
      </c>
      <c r="CQ73" s="2">
        <f t="shared" si="66"/>
        <v>0</v>
      </c>
      <c r="CR73" s="2">
        <f t="shared" si="66"/>
        <v>0</v>
      </c>
      <c r="CS73" s="2">
        <f t="shared" si="66"/>
        <v>0</v>
      </c>
      <c r="CT73" s="2">
        <f t="shared" si="66"/>
        <v>0</v>
      </c>
      <c r="CU73" s="2">
        <f t="shared" si="66"/>
        <v>0</v>
      </c>
      <c r="CV73" s="2">
        <f t="shared" si="66"/>
        <v>0</v>
      </c>
      <c r="CW73" s="2">
        <f t="shared" si="66"/>
        <v>0</v>
      </c>
      <c r="CX73" s="2">
        <f t="shared" si="66"/>
        <v>0</v>
      </c>
      <c r="CY73" s="2">
        <f t="shared" si="66"/>
        <v>0</v>
      </c>
      <c r="CZ73" s="2">
        <f t="shared" si="66"/>
        <v>0</v>
      </c>
      <c r="DA73" s="2">
        <f t="shared" si="66"/>
        <v>0</v>
      </c>
      <c r="DB73" s="2">
        <f t="shared" si="66"/>
        <v>0</v>
      </c>
      <c r="DC73" s="2">
        <f t="shared" si="66"/>
        <v>0</v>
      </c>
      <c r="DD73" s="2">
        <f t="shared" si="66"/>
        <v>0</v>
      </c>
      <c r="DE73" s="2">
        <f t="shared" si="66"/>
        <v>0</v>
      </c>
      <c r="DF73" s="2">
        <f t="shared" si="66"/>
        <v>0</v>
      </c>
      <c r="DG73" s="3">
        <f t="shared" ref="DG73:EL73" si="67">DG89</f>
        <v>0</v>
      </c>
      <c r="DH73" s="3">
        <f t="shared" si="67"/>
        <v>0</v>
      </c>
      <c r="DI73" s="3">
        <f t="shared" si="67"/>
        <v>0</v>
      </c>
      <c r="DJ73" s="3">
        <f t="shared" si="67"/>
        <v>0</v>
      </c>
      <c r="DK73" s="3">
        <f t="shared" si="67"/>
        <v>0</v>
      </c>
      <c r="DL73" s="3">
        <f t="shared" si="67"/>
        <v>0</v>
      </c>
      <c r="DM73" s="3">
        <f t="shared" si="67"/>
        <v>0</v>
      </c>
      <c r="DN73" s="3">
        <f t="shared" si="67"/>
        <v>0</v>
      </c>
      <c r="DO73" s="3">
        <f t="shared" si="67"/>
        <v>0</v>
      </c>
      <c r="DP73" s="3">
        <f t="shared" si="67"/>
        <v>0</v>
      </c>
      <c r="DQ73" s="3">
        <f t="shared" si="67"/>
        <v>0</v>
      </c>
      <c r="DR73" s="3">
        <f t="shared" si="67"/>
        <v>0</v>
      </c>
      <c r="DS73" s="3">
        <f t="shared" si="67"/>
        <v>0</v>
      </c>
      <c r="DT73" s="3">
        <f t="shared" si="67"/>
        <v>0</v>
      </c>
      <c r="DU73" s="3">
        <f t="shared" si="67"/>
        <v>0</v>
      </c>
      <c r="DV73" s="3">
        <f t="shared" si="67"/>
        <v>0</v>
      </c>
      <c r="DW73" s="3">
        <f t="shared" si="67"/>
        <v>0</v>
      </c>
      <c r="DX73" s="3">
        <f t="shared" si="67"/>
        <v>0</v>
      </c>
      <c r="DY73" s="3">
        <f t="shared" si="67"/>
        <v>0</v>
      </c>
      <c r="DZ73" s="3">
        <f t="shared" si="67"/>
        <v>0</v>
      </c>
      <c r="EA73" s="3">
        <f t="shared" si="67"/>
        <v>0</v>
      </c>
      <c r="EB73" s="3">
        <f t="shared" si="67"/>
        <v>0</v>
      </c>
      <c r="EC73" s="3">
        <f t="shared" si="67"/>
        <v>0</v>
      </c>
      <c r="ED73" s="3">
        <f t="shared" si="67"/>
        <v>0</v>
      </c>
      <c r="EE73" s="3">
        <f t="shared" si="67"/>
        <v>0</v>
      </c>
      <c r="EF73" s="3">
        <f t="shared" si="67"/>
        <v>0</v>
      </c>
      <c r="EG73" s="3">
        <f t="shared" si="67"/>
        <v>0</v>
      </c>
      <c r="EH73" s="3">
        <f t="shared" si="67"/>
        <v>0</v>
      </c>
      <c r="EI73" s="3">
        <f t="shared" si="67"/>
        <v>0</v>
      </c>
      <c r="EJ73" s="3">
        <f t="shared" si="67"/>
        <v>0</v>
      </c>
      <c r="EK73" s="3">
        <f t="shared" si="67"/>
        <v>0</v>
      </c>
      <c r="EL73" s="3">
        <f t="shared" si="67"/>
        <v>0</v>
      </c>
      <c r="EM73" s="3">
        <f t="shared" ref="EM73:FR73" si="68">EM89</f>
        <v>0</v>
      </c>
      <c r="EN73" s="3">
        <f t="shared" si="68"/>
        <v>0</v>
      </c>
      <c r="EO73" s="3">
        <f t="shared" si="68"/>
        <v>0</v>
      </c>
      <c r="EP73" s="3">
        <f t="shared" si="68"/>
        <v>0</v>
      </c>
      <c r="EQ73" s="3">
        <f t="shared" si="68"/>
        <v>0</v>
      </c>
      <c r="ER73" s="3">
        <f t="shared" si="68"/>
        <v>0</v>
      </c>
      <c r="ES73" s="3">
        <f t="shared" si="68"/>
        <v>0</v>
      </c>
      <c r="ET73" s="3">
        <f t="shared" si="68"/>
        <v>0</v>
      </c>
      <c r="EU73" s="3">
        <f t="shared" si="68"/>
        <v>0</v>
      </c>
      <c r="EV73" s="3">
        <f t="shared" si="68"/>
        <v>0</v>
      </c>
      <c r="EW73" s="3">
        <f t="shared" si="68"/>
        <v>0</v>
      </c>
      <c r="EX73" s="3">
        <f t="shared" si="68"/>
        <v>0</v>
      </c>
      <c r="EY73" s="3">
        <f t="shared" si="68"/>
        <v>0</v>
      </c>
      <c r="EZ73" s="3">
        <f t="shared" si="68"/>
        <v>0</v>
      </c>
      <c r="FA73" s="3">
        <f t="shared" si="68"/>
        <v>0</v>
      </c>
      <c r="FB73" s="3">
        <f t="shared" si="68"/>
        <v>0</v>
      </c>
      <c r="FC73" s="3">
        <f t="shared" si="68"/>
        <v>0</v>
      </c>
      <c r="FD73" s="3">
        <f t="shared" si="68"/>
        <v>0</v>
      </c>
      <c r="FE73" s="3">
        <f t="shared" si="68"/>
        <v>0</v>
      </c>
      <c r="FF73" s="3">
        <f t="shared" si="68"/>
        <v>0</v>
      </c>
      <c r="FG73" s="3">
        <f t="shared" si="68"/>
        <v>0</v>
      </c>
      <c r="FH73" s="3">
        <f t="shared" si="68"/>
        <v>0</v>
      </c>
      <c r="FI73" s="3">
        <f t="shared" si="68"/>
        <v>0</v>
      </c>
      <c r="FJ73" s="3">
        <f t="shared" si="68"/>
        <v>0</v>
      </c>
      <c r="FK73" s="3">
        <f t="shared" si="68"/>
        <v>0</v>
      </c>
      <c r="FL73" s="3">
        <f t="shared" si="68"/>
        <v>0</v>
      </c>
      <c r="FM73" s="3">
        <f t="shared" si="68"/>
        <v>0</v>
      </c>
      <c r="FN73" s="3">
        <f t="shared" si="68"/>
        <v>0</v>
      </c>
      <c r="FO73" s="3">
        <f t="shared" si="68"/>
        <v>0</v>
      </c>
      <c r="FP73" s="3">
        <f t="shared" si="68"/>
        <v>0</v>
      </c>
      <c r="FQ73" s="3">
        <f t="shared" si="68"/>
        <v>0</v>
      </c>
      <c r="FR73" s="3">
        <f t="shared" si="68"/>
        <v>0</v>
      </c>
      <c r="FS73" s="3">
        <f t="shared" ref="FS73:GX73" si="69">FS89</f>
        <v>0</v>
      </c>
      <c r="FT73" s="3">
        <f t="shared" si="69"/>
        <v>0</v>
      </c>
      <c r="FU73" s="3">
        <f t="shared" si="69"/>
        <v>0</v>
      </c>
      <c r="FV73" s="3">
        <f t="shared" si="69"/>
        <v>0</v>
      </c>
      <c r="FW73" s="3">
        <f t="shared" si="69"/>
        <v>0</v>
      </c>
      <c r="FX73" s="3">
        <f t="shared" si="69"/>
        <v>0</v>
      </c>
      <c r="FY73" s="3">
        <f t="shared" si="69"/>
        <v>0</v>
      </c>
      <c r="FZ73" s="3">
        <f t="shared" si="69"/>
        <v>0</v>
      </c>
      <c r="GA73" s="3">
        <f t="shared" si="69"/>
        <v>0</v>
      </c>
      <c r="GB73" s="3">
        <f t="shared" si="69"/>
        <v>0</v>
      </c>
      <c r="GC73" s="3">
        <f t="shared" si="69"/>
        <v>0</v>
      </c>
      <c r="GD73" s="3">
        <f t="shared" si="69"/>
        <v>0</v>
      </c>
      <c r="GE73" s="3">
        <f t="shared" si="69"/>
        <v>0</v>
      </c>
      <c r="GF73" s="3">
        <f t="shared" si="69"/>
        <v>0</v>
      </c>
      <c r="GG73" s="3">
        <f t="shared" si="69"/>
        <v>0</v>
      </c>
      <c r="GH73" s="3">
        <f t="shared" si="69"/>
        <v>0</v>
      </c>
      <c r="GI73" s="3">
        <f t="shared" si="69"/>
        <v>0</v>
      </c>
      <c r="GJ73" s="3">
        <f t="shared" si="69"/>
        <v>0</v>
      </c>
      <c r="GK73" s="3">
        <f t="shared" si="69"/>
        <v>0</v>
      </c>
      <c r="GL73" s="3">
        <f t="shared" si="69"/>
        <v>0</v>
      </c>
      <c r="GM73" s="3">
        <f t="shared" si="69"/>
        <v>0</v>
      </c>
      <c r="GN73" s="3">
        <f t="shared" si="69"/>
        <v>0</v>
      </c>
      <c r="GO73" s="3">
        <f t="shared" si="69"/>
        <v>0</v>
      </c>
      <c r="GP73" s="3">
        <f t="shared" si="69"/>
        <v>0</v>
      </c>
      <c r="GQ73" s="3">
        <f t="shared" si="69"/>
        <v>0</v>
      </c>
      <c r="GR73" s="3">
        <f t="shared" si="69"/>
        <v>0</v>
      </c>
      <c r="GS73" s="3">
        <f t="shared" si="69"/>
        <v>0</v>
      </c>
      <c r="GT73" s="3">
        <f t="shared" si="69"/>
        <v>0</v>
      </c>
      <c r="GU73" s="3">
        <f t="shared" si="69"/>
        <v>0</v>
      </c>
      <c r="GV73" s="3">
        <f t="shared" si="69"/>
        <v>0</v>
      </c>
      <c r="GW73" s="3">
        <f t="shared" si="69"/>
        <v>0</v>
      </c>
      <c r="GX73" s="3">
        <f t="shared" si="69"/>
        <v>0</v>
      </c>
    </row>
    <row r="75" spans="1:245" x14ac:dyDescent="0.2">
      <c r="A75">
        <v>17</v>
      </c>
      <c r="B75">
        <v>1</v>
      </c>
      <c r="C75">
        <f>ROW(SmtRes!A30)</f>
        <v>30</v>
      </c>
      <c r="D75">
        <f>ROW(EtalonRes!A30)</f>
        <v>30</v>
      </c>
      <c r="E75" t="s">
        <v>15</v>
      </c>
      <c r="F75" t="s">
        <v>125</v>
      </c>
      <c r="G75" t="s">
        <v>126</v>
      </c>
      <c r="H75" t="s">
        <v>127</v>
      </c>
      <c r="I75">
        <v>0</v>
      </c>
      <c r="J75">
        <v>0</v>
      </c>
      <c r="K75">
        <f>ROUND(5.7/100,9)</f>
        <v>5.7000000000000002E-2</v>
      </c>
      <c r="O75">
        <f t="shared" ref="O75:O87" si="70">ROUND(CP75,0)</f>
        <v>0</v>
      </c>
      <c r="P75">
        <f t="shared" ref="P75:P87" si="71">ROUND(CQ75*I75,0)</f>
        <v>0</v>
      </c>
      <c r="Q75">
        <f t="shared" ref="Q75:Q87" si="72">ROUND(CR75*I75,0)</f>
        <v>0</v>
      </c>
      <c r="R75">
        <f t="shared" ref="R75:R87" si="73">ROUND(CS75*I75,0)</f>
        <v>0</v>
      </c>
      <c r="S75">
        <f t="shared" ref="S75:S87" si="74">ROUND(CT75*I75,0)</f>
        <v>0</v>
      </c>
      <c r="T75">
        <f t="shared" ref="T75:T87" si="75">ROUND(CU75*I75,0)</f>
        <v>0</v>
      </c>
      <c r="U75">
        <f t="shared" ref="U75:U87" si="76">CV75*I75</f>
        <v>0</v>
      </c>
      <c r="V75">
        <f t="shared" ref="V75:V87" si="77">CW75*I75</f>
        <v>0</v>
      </c>
      <c r="W75">
        <f t="shared" ref="W75:W87" si="78">ROUND(CX75*I75,0)</f>
        <v>0</v>
      </c>
      <c r="X75">
        <f t="shared" ref="X75:X87" si="79">ROUND(CY75,0)</f>
        <v>0</v>
      </c>
      <c r="Y75">
        <f t="shared" ref="Y75:Y87" si="80">ROUND(CZ75,0)</f>
        <v>0</v>
      </c>
      <c r="AA75">
        <v>46416371</v>
      </c>
      <c r="AB75">
        <f t="shared" ref="AB75:AB87" si="81">ROUND((AC75+AD75+AF75),6)</f>
        <v>468.18799999999999</v>
      </c>
      <c r="AC75">
        <f t="shared" ref="AC75:AC87" si="82">ROUND((ES75),6)</f>
        <v>0</v>
      </c>
      <c r="AD75">
        <f>ROUND(((((ET75*1.15))-((EU75*1.15)))+AE75),6)</f>
        <v>353.34899999999999</v>
      </c>
      <c r="AE75">
        <f>ROUND(((EU75*1.15)),6)</f>
        <v>32.866999999999997</v>
      </c>
      <c r="AF75">
        <f>ROUND(((EV75*1.15)),6)</f>
        <v>114.839</v>
      </c>
      <c r="AG75">
        <f t="shared" ref="AG75:AG87" si="83">ROUND((AP75),6)</f>
        <v>0</v>
      </c>
      <c r="AH75">
        <f>((EW75*1.15))</f>
        <v>14.409499999999998</v>
      </c>
      <c r="AI75">
        <f>((EX75*1.15))</f>
        <v>3.4959999999999996</v>
      </c>
      <c r="AJ75">
        <f t="shared" ref="AJ75:AJ87" si="84">(AS75)</f>
        <v>0</v>
      </c>
      <c r="AK75">
        <v>407.12</v>
      </c>
      <c r="AL75">
        <v>0</v>
      </c>
      <c r="AM75">
        <v>307.26</v>
      </c>
      <c r="AN75">
        <v>28.58</v>
      </c>
      <c r="AO75">
        <v>99.86</v>
      </c>
      <c r="AP75">
        <v>0</v>
      </c>
      <c r="AQ75">
        <v>12.53</v>
      </c>
      <c r="AR75">
        <v>3.04</v>
      </c>
      <c r="AS75">
        <v>0</v>
      </c>
      <c r="AT75">
        <v>95</v>
      </c>
      <c r="AU75">
        <v>50</v>
      </c>
      <c r="AV75">
        <v>1</v>
      </c>
      <c r="AW75">
        <v>1</v>
      </c>
      <c r="AZ75">
        <v>1</v>
      </c>
      <c r="BA75">
        <v>34.75</v>
      </c>
      <c r="BB75">
        <v>13.36</v>
      </c>
      <c r="BC75">
        <v>8.2899999999999991</v>
      </c>
      <c r="BD75" t="s">
        <v>3</v>
      </c>
      <c r="BE75" t="s">
        <v>3</v>
      </c>
      <c r="BF75" t="s">
        <v>3</v>
      </c>
      <c r="BG75" t="s">
        <v>3</v>
      </c>
      <c r="BH75">
        <v>0</v>
      </c>
      <c r="BI75">
        <v>1</v>
      </c>
      <c r="BJ75" t="s">
        <v>128</v>
      </c>
      <c r="BM75">
        <v>1002</v>
      </c>
      <c r="BN75">
        <v>0</v>
      </c>
      <c r="BO75" t="s">
        <v>3</v>
      </c>
      <c r="BP75">
        <v>0</v>
      </c>
      <c r="BQ75">
        <v>2</v>
      </c>
      <c r="BR75">
        <v>0</v>
      </c>
      <c r="BS75">
        <v>34.75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95</v>
      </c>
      <c r="CA75">
        <v>50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675</v>
      </c>
      <c r="CO75">
        <v>0</v>
      </c>
      <c r="CP75">
        <f t="shared" ref="CP75:CP87" si="85">(P75+Q75+S75)</f>
        <v>0</v>
      </c>
      <c r="CQ75">
        <f t="shared" ref="CQ75:CQ87" si="86">AC75*BC75</f>
        <v>0</v>
      </c>
      <c r="CR75">
        <f t="shared" ref="CR75:CR87" si="87">AD75*BB75</f>
        <v>4720.7426399999995</v>
      </c>
      <c r="CS75">
        <f t="shared" ref="CS75:CS87" si="88">AE75*BS75</f>
        <v>1142.12825</v>
      </c>
      <c r="CT75">
        <f t="shared" ref="CT75:CT87" si="89">AF75*BA75</f>
        <v>3990.6552499999998</v>
      </c>
      <c r="CU75">
        <f t="shared" ref="CU75:CU87" si="90">AG75</f>
        <v>0</v>
      </c>
      <c r="CV75">
        <f t="shared" ref="CV75:CV87" si="91">AH75</f>
        <v>14.409499999999998</v>
      </c>
      <c r="CW75">
        <f t="shared" ref="CW75:CW87" si="92">AI75</f>
        <v>3.4959999999999996</v>
      </c>
      <c r="CX75">
        <f t="shared" ref="CX75:CX87" si="93">AJ75</f>
        <v>0</v>
      </c>
      <c r="CY75">
        <f t="shared" ref="CY75:CY87" si="94">(((S75+R75)*AT75)/100)</f>
        <v>0</v>
      </c>
      <c r="CZ75">
        <f t="shared" ref="CZ75:CZ87" si="95">(((S75+R75)*AU75)/100)</f>
        <v>0</v>
      </c>
      <c r="DC75" t="s">
        <v>3</v>
      </c>
      <c r="DD75" t="s">
        <v>3</v>
      </c>
      <c r="DE75" t="s">
        <v>31</v>
      </c>
      <c r="DF75" t="s">
        <v>31</v>
      </c>
      <c r="DG75" t="s">
        <v>31</v>
      </c>
      <c r="DH75" t="s">
        <v>3</v>
      </c>
      <c r="DI75" t="s">
        <v>31</v>
      </c>
      <c r="DJ75" t="s">
        <v>31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1013</v>
      </c>
      <c r="DV75" t="s">
        <v>127</v>
      </c>
      <c r="DW75" t="s">
        <v>127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42475884</v>
      </c>
      <c r="EF75">
        <v>2</v>
      </c>
      <c r="EG75" t="s">
        <v>22</v>
      </c>
      <c r="EH75">
        <v>0</v>
      </c>
      <c r="EI75" t="s">
        <v>3</v>
      </c>
      <c r="EJ75">
        <v>1</v>
      </c>
      <c r="EK75">
        <v>1002</v>
      </c>
      <c r="EL75" t="s">
        <v>54</v>
      </c>
      <c r="EM75" t="s">
        <v>33</v>
      </c>
      <c r="EO75" t="s">
        <v>34</v>
      </c>
      <c r="EQ75">
        <v>0</v>
      </c>
      <c r="ER75">
        <v>407.12</v>
      </c>
      <c r="ES75">
        <v>0</v>
      </c>
      <c r="ET75">
        <v>307.26</v>
      </c>
      <c r="EU75">
        <v>28.58</v>
      </c>
      <c r="EV75">
        <v>99.86</v>
      </c>
      <c r="EW75">
        <v>12.53</v>
      </c>
      <c r="EX75">
        <v>3.04</v>
      </c>
      <c r="EY75">
        <v>0</v>
      </c>
      <c r="FQ75">
        <v>0</v>
      </c>
      <c r="FR75">
        <f t="shared" ref="FR75:FR87" si="96">ROUND(IF(AND(BH75=3,BI75=3),P75,0),0)</f>
        <v>0</v>
      </c>
      <c r="FS75">
        <v>0</v>
      </c>
      <c r="FX75">
        <v>95</v>
      </c>
      <c r="FY75">
        <v>50</v>
      </c>
      <c r="GA75" t="s">
        <v>3</v>
      </c>
      <c r="GD75">
        <v>1</v>
      </c>
      <c r="GF75">
        <v>-2137936402</v>
      </c>
      <c r="GG75">
        <v>2</v>
      </c>
      <c r="GH75">
        <v>1</v>
      </c>
      <c r="GI75">
        <v>4</v>
      </c>
      <c r="GJ75">
        <v>0</v>
      </c>
      <c r="GK75">
        <v>0</v>
      </c>
      <c r="GL75">
        <f t="shared" ref="GL75:GL87" si="97">ROUND(IF(AND(BH75=3,BI75=3,FS75&lt;&gt;0),P75,0),0)</f>
        <v>0</v>
      </c>
      <c r="GM75">
        <f t="shared" ref="GM75:GM87" si="98">ROUND(O75+X75+Y75,0)+GX75</f>
        <v>0</v>
      </c>
      <c r="GN75">
        <f t="shared" ref="GN75:GN87" si="99">IF(OR(BI75=0,BI75=1),ROUND(O75+X75+Y75,0),0)</f>
        <v>0</v>
      </c>
      <c r="GO75">
        <f t="shared" ref="GO75:GO87" si="100">IF(BI75=2,ROUND(O75+X75+Y75,0),0)</f>
        <v>0</v>
      </c>
      <c r="GP75">
        <f t="shared" ref="GP75:GP87" si="101">IF(BI75=4,ROUND(O75+X75+Y75,0)+GX75,0)</f>
        <v>0</v>
      </c>
      <c r="GR75">
        <v>0</v>
      </c>
      <c r="GS75">
        <v>3</v>
      </c>
      <c r="GT75">
        <v>0</v>
      </c>
      <c r="GU75" t="s">
        <v>3</v>
      </c>
      <c r="GV75">
        <f t="shared" ref="GV75:GV87" si="102">ROUND((GT75),6)</f>
        <v>0</v>
      </c>
      <c r="GW75">
        <v>1</v>
      </c>
      <c r="GX75">
        <f t="shared" ref="GX75:GX87" si="103">ROUND(HC75*I75,0)</f>
        <v>0</v>
      </c>
      <c r="HA75">
        <v>0</v>
      </c>
      <c r="HB75">
        <v>0</v>
      </c>
      <c r="HC75">
        <f t="shared" ref="HC75:HC87" si="104">GV75*GW75</f>
        <v>0</v>
      </c>
      <c r="HE75" t="s">
        <v>3</v>
      </c>
      <c r="HF75" t="s">
        <v>3</v>
      </c>
      <c r="HM75" t="s">
        <v>3</v>
      </c>
      <c r="HN75" t="s">
        <v>3</v>
      </c>
      <c r="HO75" t="s">
        <v>3</v>
      </c>
      <c r="HP75" t="s">
        <v>3</v>
      </c>
      <c r="HQ75" t="s">
        <v>3</v>
      </c>
      <c r="IK75">
        <v>0</v>
      </c>
    </row>
    <row r="76" spans="1:245" x14ac:dyDescent="0.2">
      <c r="A76">
        <v>17</v>
      </c>
      <c r="B76">
        <v>1</v>
      </c>
      <c r="C76">
        <f>ROW(SmtRes!A38)</f>
        <v>38</v>
      </c>
      <c r="D76">
        <f>ROW(EtalonRes!A37)</f>
        <v>37</v>
      </c>
      <c r="E76" t="s">
        <v>56</v>
      </c>
      <c r="F76" t="s">
        <v>129</v>
      </c>
      <c r="G76" t="s">
        <v>130</v>
      </c>
      <c r="H76" t="s">
        <v>131</v>
      </c>
      <c r="I76">
        <v>6.1</v>
      </c>
      <c r="J76">
        <v>0</v>
      </c>
      <c r="K76">
        <v>6.1</v>
      </c>
      <c r="O76">
        <f t="shared" si="70"/>
        <v>13683</v>
      </c>
      <c r="P76">
        <f t="shared" si="71"/>
        <v>4247</v>
      </c>
      <c r="Q76">
        <f t="shared" si="72"/>
        <v>2727</v>
      </c>
      <c r="R76">
        <f t="shared" si="73"/>
        <v>687</v>
      </c>
      <c r="S76">
        <f t="shared" si="74"/>
        <v>6709</v>
      </c>
      <c r="T76">
        <f t="shared" si="75"/>
        <v>0</v>
      </c>
      <c r="U76">
        <f t="shared" si="76"/>
        <v>23.921149999999997</v>
      </c>
      <c r="V76">
        <f t="shared" si="77"/>
        <v>2.1044999999999998</v>
      </c>
      <c r="W76">
        <f t="shared" si="78"/>
        <v>0</v>
      </c>
      <c r="X76">
        <f t="shared" si="79"/>
        <v>9097</v>
      </c>
      <c r="Y76">
        <f t="shared" si="80"/>
        <v>5547</v>
      </c>
      <c r="AA76">
        <v>46416371</v>
      </c>
      <c r="AB76">
        <f t="shared" si="81"/>
        <v>149.10300000000001</v>
      </c>
      <c r="AC76">
        <f t="shared" si="82"/>
        <v>83.99</v>
      </c>
      <c r="AD76">
        <f>ROUND(((((ET76*1.15))-((EU76*1.15)))+AE76),6)</f>
        <v>33.465000000000003</v>
      </c>
      <c r="AE76">
        <f>ROUND(((EU76*1.15)),6)</f>
        <v>3.2429999999999999</v>
      </c>
      <c r="AF76">
        <f>ROUND(((EV76*1.15)),6)</f>
        <v>31.648</v>
      </c>
      <c r="AG76">
        <f t="shared" si="83"/>
        <v>0</v>
      </c>
      <c r="AH76">
        <f>((EW76*1.15))</f>
        <v>3.9215</v>
      </c>
      <c r="AI76">
        <f>((EX76*1.15))</f>
        <v>0.34499999999999997</v>
      </c>
      <c r="AJ76">
        <f t="shared" si="84"/>
        <v>0</v>
      </c>
      <c r="AK76">
        <v>140.61000000000001</v>
      </c>
      <c r="AL76">
        <v>83.99</v>
      </c>
      <c r="AM76">
        <v>29.1</v>
      </c>
      <c r="AN76">
        <v>2.82</v>
      </c>
      <c r="AO76">
        <v>27.52</v>
      </c>
      <c r="AP76">
        <v>0</v>
      </c>
      <c r="AQ76">
        <v>3.41</v>
      </c>
      <c r="AR76">
        <v>0.3</v>
      </c>
      <c r="AS76">
        <v>0</v>
      </c>
      <c r="AT76">
        <v>123</v>
      </c>
      <c r="AU76">
        <v>75</v>
      </c>
      <c r="AV76">
        <v>1</v>
      </c>
      <c r="AW76">
        <v>1</v>
      </c>
      <c r="AZ76">
        <v>1</v>
      </c>
      <c r="BA76">
        <v>34.75</v>
      </c>
      <c r="BB76">
        <v>13.36</v>
      </c>
      <c r="BC76">
        <v>8.2899999999999991</v>
      </c>
      <c r="BD76" t="s">
        <v>3</v>
      </c>
      <c r="BE76" t="s">
        <v>3</v>
      </c>
      <c r="BF76" t="s">
        <v>3</v>
      </c>
      <c r="BG76" t="s">
        <v>3</v>
      </c>
      <c r="BH76">
        <v>0</v>
      </c>
      <c r="BI76">
        <v>1</v>
      </c>
      <c r="BJ76" t="s">
        <v>132</v>
      </c>
      <c r="BM76">
        <v>11001</v>
      </c>
      <c r="BN76">
        <v>0</v>
      </c>
      <c r="BO76" t="s">
        <v>3</v>
      </c>
      <c r="BP76">
        <v>0</v>
      </c>
      <c r="BQ76">
        <v>2</v>
      </c>
      <c r="BR76">
        <v>0</v>
      </c>
      <c r="BS76">
        <v>34.75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123</v>
      </c>
      <c r="CA76">
        <v>75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678</v>
      </c>
      <c r="CO76">
        <v>0</v>
      </c>
      <c r="CP76">
        <f t="shared" si="85"/>
        <v>13683</v>
      </c>
      <c r="CQ76">
        <f t="shared" si="86"/>
        <v>696.2770999999999</v>
      </c>
      <c r="CR76">
        <f t="shared" si="87"/>
        <v>447.09240000000005</v>
      </c>
      <c r="CS76">
        <f t="shared" si="88"/>
        <v>112.69425</v>
      </c>
      <c r="CT76">
        <f t="shared" si="89"/>
        <v>1099.768</v>
      </c>
      <c r="CU76">
        <f t="shared" si="90"/>
        <v>0</v>
      </c>
      <c r="CV76">
        <f t="shared" si="91"/>
        <v>3.9215</v>
      </c>
      <c r="CW76">
        <f t="shared" si="92"/>
        <v>0.34499999999999997</v>
      </c>
      <c r="CX76">
        <f t="shared" si="93"/>
        <v>0</v>
      </c>
      <c r="CY76">
        <f t="shared" si="94"/>
        <v>9097.08</v>
      </c>
      <c r="CZ76">
        <f t="shared" si="95"/>
        <v>5547</v>
      </c>
      <c r="DC76" t="s">
        <v>3</v>
      </c>
      <c r="DD76" t="s">
        <v>3</v>
      </c>
      <c r="DE76" t="s">
        <v>31</v>
      </c>
      <c r="DF76" t="s">
        <v>31</v>
      </c>
      <c r="DG76" t="s">
        <v>31</v>
      </c>
      <c r="DH76" t="s">
        <v>3</v>
      </c>
      <c r="DI76" t="s">
        <v>31</v>
      </c>
      <c r="DJ76" t="s">
        <v>31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1013</v>
      </c>
      <c r="DV76" t="s">
        <v>131</v>
      </c>
      <c r="DW76" t="s">
        <v>131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42475910</v>
      </c>
      <c r="EF76">
        <v>2</v>
      </c>
      <c r="EG76" t="s">
        <v>22</v>
      </c>
      <c r="EH76">
        <v>0</v>
      </c>
      <c r="EI76" t="s">
        <v>3</v>
      </c>
      <c r="EJ76">
        <v>1</v>
      </c>
      <c r="EK76">
        <v>11001</v>
      </c>
      <c r="EL76" t="s">
        <v>133</v>
      </c>
      <c r="EM76" t="s">
        <v>134</v>
      </c>
      <c r="EO76" t="s">
        <v>135</v>
      </c>
      <c r="EQ76">
        <v>0</v>
      </c>
      <c r="ER76">
        <v>140.61000000000001</v>
      </c>
      <c r="ES76">
        <v>83.99</v>
      </c>
      <c r="ET76">
        <v>29.1</v>
      </c>
      <c r="EU76">
        <v>2.82</v>
      </c>
      <c r="EV76">
        <v>27.52</v>
      </c>
      <c r="EW76">
        <v>3.41</v>
      </c>
      <c r="EX76">
        <v>0.3</v>
      </c>
      <c r="EY76">
        <v>0</v>
      </c>
      <c r="FQ76">
        <v>0</v>
      </c>
      <c r="FR76">
        <f t="shared" si="96"/>
        <v>0</v>
      </c>
      <c r="FS76">
        <v>0</v>
      </c>
      <c r="FX76">
        <v>123</v>
      </c>
      <c r="FY76">
        <v>75</v>
      </c>
      <c r="GA76" t="s">
        <v>3</v>
      </c>
      <c r="GD76">
        <v>1</v>
      </c>
      <c r="GF76">
        <v>-1993022624</v>
      </c>
      <c r="GG76">
        <v>2</v>
      </c>
      <c r="GH76">
        <v>1</v>
      </c>
      <c r="GI76">
        <v>4</v>
      </c>
      <c r="GJ76">
        <v>0</v>
      </c>
      <c r="GK76">
        <v>0</v>
      </c>
      <c r="GL76">
        <f t="shared" si="97"/>
        <v>0</v>
      </c>
      <c r="GM76">
        <f t="shared" si="98"/>
        <v>28327</v>
      </c>
      <c r="GN76">
        <f t="shared" si="99"/>
        <v>28327</v>
      </c>
      <c r="GO76">
        <f t="shared" si="100"/>
        <v>0</v>
      </c>
      <c r="GP76">
        <f t="shared" si="101"/>
        <v>0</v>
      </c>
      <c r="GR76">
        <v>0</v>
      </c>
      <c r="GS76">
        <v>3</v>
      </c>
      <c r="GT76">
        <v>0</v>
      </c>
      <c r="GU76" t="s">
        <v>3</v>
      </c>
      <c r="GV76">
        <f t="shared" si="102"/>
        <v>0</v>
      </c>
      <c r="GW76">
        <v>1</v>
      </c>
      <c r="GX76">
        <f t="shared" si="103"/>
        <v>0</v>
      </c>
      <c r="HA76">
        <v>0</v>
      </c>
      <c r="HB76">
        <v>0</v>
      </c>
      <c r="HC76">
        <f t="shared" si="104"/>
        <v>0</v>
      </c>
      <c r="HE76" t="s">
        <v>3</v>
      </c>
      <c r="HF76" t="s">
        <v>3</v>
      </c>
      <c r="HM76" t="s">
        <v>3</v>
      </c>
      <c r="HN76" t="s">
        <v>3</v>
      </c>
      <c r="HO76" t="s">
        <v>3</v>
      </c>
      <c r="HP76" t="s">
        <v>3</v>
      </c>
      <c r="HQ76" t="s">
        <v>3</v>
      </c>
      <c r="IK76">
        <v>0</v>
      </c>
    </row>
    <row r="77" spans="1:245" x14ac:dyDescent="0.2">
      <c r="A77">
        <v>18</v>
      </c>
      <c r="B77">
        <v>1</v>
      </c>
      <c r="C77">
        <v>36</v>
      </c>
      <c r="E77" t="s">
        <v>136</v>
      </c>
      <c r="F77" t="s">
        <v>137</v>
      </c>
      <c r="G77" t="s">
        <v>138</v>
      </c>
      <c r="H77" t="s">
        <v>139</v>
      </c>
      <c r="I77">
        <f>I76*J77</f>
        <v>-7.32</v>
      </c>
      <c r="J77">
        <v>-1.2000000000000002</v>
      </c>
      <c r="K77">
        <v>-1.2</v>
      </c>
      <c r="O77">
        <f t="shared" si="70"/>
        <v>-4237</v>
      </c>
      <c r="P77">
        <f t="shared" si="71"/>
        <v>-4237</v>
      </c>
      <c r="Q77">
        <f t="shared" si="72"/>
        <v>0</v>
      </c>
      <c r="R77">
        <f t="shared" si="73"/>
        <v>0</v>
      </c>
      <c r="S77">
        <f t="shared" si="74"/>
        <v>0</v>
      </c>
      <c r="T77">
        <f t="shared" si="75"/>
        <v>0</v>
      </c>
      <c r="U77">
        <f t="shared" si="76"/>
        <v>0</v>
      </c>
      <c r="V77">
        <f t="shared" si="77"/>
        <v>0</v>
      </c>
      <c r="W77">
        <f t="shared" si="78"/>
        <v>0</v>
      </c>
      <c r="X77">
        <f t="shared" si="79"/>
        <v>0</v>
      </c>
      <c r="Y77">
        <f t="shared" si="80"/>
        <v>0</v>
      </c>
      <c r="AA77">
        <v>46416371</v>
      </c>
      <c r="AB77">
        <f t="shared" si="81"/>
        <v>69.83</v>
      </c>
      <c r="AC77">
        <f t="shared" si="82"/>
        <v>69.83</v>
      </c>
      <c r="AD77">
        <f>ROUND((((ET77)-(EU77))+AE77),6)</f>
        <v>0</v>
      </c>
      <c r="AE77">
        <f>ROUND((EU77),6)</f>
        <v>0</v>
      </c>
      <c r="AF77">
        <f>ROUND((EV77),6)</f>
        <v>0</v>
      </c>
      <c r="AG77">
        <f t="shared" si="83"/>
        <v>0</v>
      </c>
      <c r="AH77">
        <f>(EW77)</f>
        <v>0</v>
      </c>
      <c r="AI77">
        <f>(EX77)</f>
        <v>0</v>
      </c>
      <c r="AJ77">
        <f t="shared" si="84"/>
        <v>0</v>
      </c>
      <c r="AK77">
        <v>69.83</v>
      </c>
      <c r="AL77">
        <v>69.83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8.2899999999999991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140</v>
      </c>
      <c r="BM77">
        <v>500001</v>
      </c>
      <c r="BN77">
        <v>0</v>
      </c>
      <c r="BO77" t="s">
        <v>3</v>
      </c>
      <c r="BP77">
        <v>0</v>
      </c>
      <c r="BQ77">
        <v>8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0</v>
      </c>
      <c r="CA77">
        <v>0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85"/>
        <v>-4237</v>
      </c>
      <c r="CQ77">
        <f t="shared" si="86"/>
        <v>578.89069999999992</v>
      </c>
      <c r="CR77">
        <f t="shared" si="87"/>
        <v>0</v>
      </c>
      <c r="CS77">
        <f t="shared" si="88"/>
        <v>0</v>
      </c>
      <c r="CT77">
        <f t="shared" si="89"/>
        <v>0</v>
      </c>
      <c r="CU77">
        <f t="shared" si="90"/>
        <v>0</v>
      </c>
      <c r="CV77">
        <f t="shared" si="91"/>
        <v>0</v>
      </c>
      <c r="CW77">
        <f t="shared" si="92"/>
        <v>0</v>
      </c>
      <c r="CX77">
        <f t="shared" si="93"/>
        <v>0</v>
      </c>
      <c r="CY77">
        <f t="shared" si="94"/>
        <v>0</v>
      </c>
      <c r="CZ77">
        <f t="shared" si="95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1007</v>
      </c>
      <c r="DV77" t="s">
        <v>139</v>
      </c>
      <c r="DW77" t="s">
        <v>139</v>
      </c>
      <c r="DX77">
        <v>1</v>
      </c>
      <c r="DZ77" t="s">
        <v>3</v>
      </c>
      <c r="EA77" t="s">
        <v>3</v>
      </c>
      <c r="EB77" t="s">
        <v>3</v>
      </c>
      <c r="EC77" t="s">
        <v>3</v>
      </c>
      <c r="EE77">
        <v>42475842</v>
      </c>
      <c r="EF77">
        <v>8</v>
      </c>
      <c r="EG77" t="s">
        <v>141</v>
      </c>
      <c r="EH77">
        <v>0</v>
      </c>
      <c r="EI77" t="s">
        <v>3</v>
      </c>
      <c r="EJ77">
        <v>1</v>
      </c>
      <c r="EK77">
        <v>500001</v>
      </c>
      <c r="EL77" t="s">
        <v>142</v>
      </c>
      <c r="EM77" t="s">
        <v>143</v>
      </c>
      <c r="EO77" t="s">
        <v>3</v>
      </c>
      <c r="EQ77">
        <v>0</v>
      </c>
      <c r="ER77">
        <v>69.83</v>
      </c>
      <c r="ES77">
        <v>69.83</v>
      </c>
      <c r="ET77">
        <v>0</v>
      </c>
      <c r="EU77">
        <v>0</v>
      </c>
      <c r="EV77">
        <v>0</v>
      </c>
      <c r="EW77">
        <v>0</v>
      </c>
      <c r="EX77">
        <v>0</v>
      </c>
      <c r="FQ77">
        <v>0</v>
      </c>
      <c r="FR77">
        <f t="shared" si="96"/>
        <v>0</v>
      </c>
      <c r="FS77">
        <v>0</v>
      </c>
      <c r="FX77">
        <v>0</v>
      </c>
      <c r="FY77">
        <v>0</v>
      </c>
      <c r="GA77" t="s">
        <v>3</v>
      </c>
      <c r="GD77">
        <v>1</v>
      </c>
      <c r="GF77">
        <v>894824937</v>
      </c>
      <c r="GG77">
        <v>2</v>
      </c>
      <c r="GH77">
        <v>1</v>
      </c>
      <c r="GI77">
        <v>4</v>
      </c>
      <c r="GJ77">
        <v>0</v>
      </c>
      <c r="GK77">
        <v>0</v>
      </c>
      <c r="GL77">
        <f t="shared" si="97"/>
        <v>0</v>
      </c>
      <c r="GM77">
        <f t="shared" si="98"/>
        <v>-4237</v>
      </c>
      <c r="GN77">
        <f t="shared" si="99"/>
        <v>-4237</v>
      </c>
      <c r="GO77">
        <f t="shared" si="100"/>
        <v>0</v>
      </c>
      <c r="GP77">
        <f t="shared" si="101"/>
        <v>0</v>
      </c>
      <c r="GR77">
        <v>0</v>
      </c>
      <c r="GS77">
        <v>3</v>
      </c>
      <c r="GT77">
        <v>0</v>
      </c>
      <c r="GU77" t="s">
        <v>3</v>
      </c>
      <c r="GV77">
        <f t="shared" si="102"/>
        <v>0</v>
      </c>
      <c r="GW77">
        <v>1</v>
      </c>
      <c r="GX77">
        <f t="shared" si="103"/>
        <v>0</v>
      </c>
      <c r="HA77">
        <v>0</v>
      </c>
      <c r="HB77">
        <v>0</v>
      </c>
      <c r="HC77">
        <f t="shared" si="104"/>
        <v>0</v>
      </c>
      <c r="HE77" t="s">
        <v>3</v>
      </c>
      <c r="HF77" t="s">
        <v>3</v>
      </c>
      <c r="HM77" t="s">
        <v>3</v>
      </c>
      <c r="HN77" t="s">
        <v>3</v>
      </c>
      <c r="HO77" t="s">
        <v>3</v>
      </c>
      <c r="HP77" t="s">
        <v>3</v>
      </c>
      <c r="HQ77" t="s">
        <v>3</v>
      </c>
      <c r="IK77">
        <v>0</v>
      </c>
    </row>
    <row r="78" spans="1:245" x14ac:dyDescent="0.2">
      <c r="A78">
        <v>18</v>
      </c>
      <c r="B78">
        <v>1</v>
      </c>
      <c r="C78">
        <v>38</v>
      </c>
      <c r="E78" t="s">
        <v>144</v>
      </c>
      <c r="F78" t="s">
        <v>145</v>
      </c>
      <c r="G78" t="s">
        <v>146</v>
      </c>
      <c r="H78" t="s">
        <v>139</v>
      </c>
      <c r="I78">
        <f>I76*J78</f>
        <v>7.32</v>
      </c>
      <c r="J78">
        <v>1.2000000000000002</v>
      </c>
      <c r="K78">
        <v>1.2</v>
      </c>
      <c r="O78">
        <f t="shared" si="70"/>
        <v>6100</v>
      </c>
      <c r="P78">
        <f t="shared" si="71"/>
        <v>6100</v>
      </c>
      <c r="Q78">
        <f t="shared" si="72"/>
        <v>0</v>
      </c>
      <c r="R78">
        <f t="shared" si="73"/>
        <v>0</v>
      </c>
      <c r="S78">
        <f t="shared" si="74"/>
        <v>0</v>
      </c>
      <c r="T78">
        <f t="shared" si="75"/>
        <v>0</v>
      </c>
      <c r="U78">
        <f t="shared" si="76"/>
        <v>0</v>
      </c>
      <c r="V78">
        <f t="shared" si="77"/>
        <v>0</v>
      </c>
      <c r="W78">
        <f t="shared" si="78"/>
        <v>0</v>
      </c>
      <c r="X78">
        <f t="shared" si="79"/>
        <v>0</v>
      </c>
      <c r="Y78">
        <f t="shared" si="80"/>
        <v>0</v>
      </c>
      <c r="AA78">
        <v>46416371</v>
      </c>
      <c r="AB78">
        <f t="shared" si="81"/>
        <v>833.33</v>
      </c>
      <c r="AC78">
        <f t="shared" si="82"/>
        <v>833.33</v>
      </c>
      <c r="AD78">
        <f>ROUND((((ET78)-(EU78))+AE78),6)</f>
        <v>0</v>
      </c>
      <c r="AE78">
        <f>ROUND((EU78),6)</f>
        <v>0</v>
      </c>
      <c r="AF78">
        <f>ROUND((EV78),6)</f>
        <v>0</v>
      </c>
      <c r="AG78">
        <f t="shared" si="83"/>
        <v>0</v>
      </c>
      <c r="AH78">
        <f>(EW78)</f>
        <v>0</v>
      </c>
      <c r="AI78">
        <f>(EX78)</f>
        <v>0</v>
      </c>
      <c r="AJ78">
        <f t="shared" si="84"/>
        <v>0</v>
      </c>
      <c r="AK78">
        <v>833.33</v>
      </c>
      <c r="AL78">
        <v>833.33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1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4</v>
      </c>
      <c r="BJ78" t="s">
        <v>3</v>
      </c>
      <c r="BM78">
        <v>0</v>
      </c>
      <c r="BN78">
        <v>0</v>
      </c>
      <c r="BO78" t="s">
        <v>3</v>
      </c>
      <c r="BP78">
        <v>0</v>
      </c>
      <c r="BQ78">
        <v>16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0</v>
      </c>
      <c r="CA78">
        <v>0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85"/>
        <v>6100</v>
      </c>
      <c r="CQ78">
        <f t="shared" si="86"/>
        <v>833.33</v>
      </c>
      <c r="CR78">
        <f t="shared" si="87"/>
        <v>0</v>
      </c>
      <c r="CS78">
        <f t="shared" si="88"/>
        <v>0</v>
      </c>
      <c r="CT78">
        <f t="shared" si="89"/>
        <v>0</v>
      </c>
      <c r="CU78">
        <f t="shared" si="90"/>
        <v>0</v>
      </c>
      <c r="CV78">
        <f t="shared" si="91"/>
        <v>0</v>
      </c>
      <c r="CW78">
        <f t="shared" si="92"/>
        <v>0</v>
      </c>
      <c r="CX78">
        <f t="shared" si="93"/>
        <v>0</v>
      </c>
      <c r="CY78">
        <f t="shared" si="94"/>
        <v>0</v>
      </c>
      <c r="CZ78">
        <f t="shared" si="95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1007</v>
      </c>
      <c r="DV78" t="s">
        <v>139</v>
      </c>
      <c r="DW78" t="s">
        <v>139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42475850</v>
      </c>
      <c r="EF78">
        <v>16</v>
      </c>
      <c r="EG78" t="s">
        <v>147</v>
      </c>
      <c r="EH78">
        <v>0</v>
      </c>
      <c r="EI78" t="s">
        <v>3</v>
      </c>
      <c r="EJ78">
        <v>4</v>
      </c>
      <c r="EK78">
        <v>0</v>
      </c>
      <c r="EL78" t="s">
        <v>148</v>
      </c>
      <c r="EM78" t="s">
        <v>149</v>
      </c>
      <c r="EO78" t="s">
        <v>3</v>
      </c>
      <c r="EQ78">
        <v>0</v>
      </c>
      <c r="ER78">
        <v>833.33</v>
      </c>
      <c r="ES78">
        <v>833.33</v>
      </c>
      <c r="ET78">
        <v>0</v>
      </c>
      <c r="EU78">
        <v>0</v>
      </c>
      <c r="EV78">
        <v>0</v>
      </c>
      <c r="EW78">
        <v>0</v>
      </c>
      <c r="EX78">
        <v>0</v>
      </c>
      <c r="EZ78">
        <v>5</v>
      </c>
      <c r="FC78">
        <v>1</v>
      </c>
      <c r="FD78">
        <v>18</v>
      </c>
      <c r="FF78">
        <v>1000</v>
      </c>
      <c r="FQ78">
        <v>0</v>
      </c>
      <c r="FR78">
        <f t="shared" si="96"/>
        <v>0</v>
      </c>
      <c r="FS78">
        <v>0</v>
      </c>
      <c r="FX78">
        <v>0</v>
      </c>
      <c r="FY78">
        <v>0</v>
      </c>
      <c r="GA78" t="s">
        <v>150</v>
      </c>
      <c r="GD78">
        <v>1</v>
      </c>
      <c r="GF78">
        <v>-1718654303</v>
      </c>
      <c r="GG78">
        <v>2</v>
      </c>
      <c r="GH78">
        <v>3</v>
      </c>
      <c r="GI78">
        <v>4</v>
      </c>
      <c r="GJ78">
        <v>0</v>
      </c>
      <c r="GK78">
        <v>0</v>
      </c>
      <c r="GL78">
        <f t="shared" si="97"/>
        <v>0</v>
      </c>
      <c r="GM78">
        <f t="shared" si="98"/>
        <v>6100</v>
      </c>
      <c r="GN78">
        <f t="shared" si="99"/>
        <v>0</v>
      </c>
      <c r="GO78">
        <f t="shared" si="100"/>
        <v>0</v>
      </c>
      <c r="GP78">
        <f t="shared" si="101"/>
        <v>6100</v>
      </c>
      <c r="GR78">
        <v>1</v>
      </c>
      <c r="GS78">
        <v>1</v>
      </c>
      <c r="GT78">
        <v>0</v>
      </c>
      <c r="GU78" t="s">
        <v>3</v>
      </c>
      <c r="GV78">
        <f t="shared" si="102"/>
        <v>0</v>
      </c>
      <c r="GW78">
        <v>1</v>
      </c>
      <c r="GX78">
        <f t="shared" si="103"/>
        <v>0</v>
      </c>
      <c r="HA78">
        <v>0</v>
      </c>
      <c r="HB78">
        <v>0</v>
      </c>
      <c r="HC78">
        <f t="shared" si="104"/>
        <v>0</v>
      </c>
      <c r="HE78" t="s">
        <v>151</v>
      </c>
      <c r="HF78" t="s">
        <v>151</v>
      </c>
      <c r="HM78" t="s">
        <v>3</v>
      </c>
      <c r="HN78" t="s">
        <v>3</v>
      </c>
      <c r="HO78" t="s">
        <v>3</v>
      </c>
      <c r="HP78" t="s">
        <v>3</v>
      </c>
      <c r="HQ78" t="s">
        <v>3</v>
      </c>
      <c r="IK78">
        <v>0</v>
      </c>
    </row>
    <row r="79" spans="1:245" x14ac:dyDescent="0.2">
      <c r="A79">
        <v>17</v>
      </c>
      <c r="B79">
        <v>1</v>
      </c>
      <c r="C79">
        <f>ROW(SmtRes!A39)</f>
        <v>39</v>
      </c>
      <c r="D79">
        <f>ROW(EtalonRes!A38)</f>
        <v>38</v>
      </c>
      <c r="E79" t="s">
        <v>64</v>
      </c>
      <c r="F79" t="s">
        <v>152</v>
      </c>
      <c r="G79" t="s">
        <v>153</v>
      </c>
      <c r="H79" t="s">
        <v>29</v>
      </c>
      <c r="I79">
        <v>0</v>
      </c>
      <c r="J79">
        <v>0</v>
      </c>
      <c r="K79">
        <f>ROUND(0.4/100,9)</f>
        <v>4.0000000000000001E-3</v>
      </c>
      <c r="O79">
        <f t="shared" si="70"/>
        <v>0</v>
      </c>
      <c r="P79">
        <f t="shared" si="71"/>
        <v>0</v>
      </c>
      <c r="Q79">
        <f t="shared" si="72"/>
        <v>0</v>
      </c>
      <c r="R79">
        <f t="shared" si="73"/>
        <v>0</v>
      </c>
      <c r="S79">
        <f t="shared" si="74"/>
        <v>0</v>
      </c>
      <c r="T79">
        <f t="shared" si="75"/>
        <v>0</v>
      </c>
      <c r="U79">
        <f t="shared" si="76"/>
        <v>0</v>
      </c>
      <c r="V79">
        <f t="shared" si="77"/>
        <v>0</v>
      </c>
      <c r="W79">
        <f t="shared" si="78"/>
        <v>0</v>
      </c>
      <c r="X79">
        <f t="shared" si="79"/>
        <v>0</v>
      </c>
      <c r="Y79">
        <f t="shared" si="80"/>
        <v>0</v>
      </c>
      <c r="AA79">
        <v>46416371</v>
      </c>
      <c r="AB79">
        <f t="shared" si="81"/>
        <v>713.44849999999997</v>
      </c>
      <c r="AC79">
        <f t="shared" si="82"/>
        <v>0</v>
      </c>
      <c r="AD79">
        <f>ROUND(((((ET79*1.15))-((EU79*1.15)))+AE79),6)</f>
        <v>0</v>
      </c>
      <c r="AE79">
        <f>ROUND(((EU79*1.15)),6)</f>
        <v>0</v>
      </c>
      <c r="AF79">
        <f>ROUND(((EV79*1.15)),6)</f>
        <v>713.44849999999997</v>
      </c>
      <c r="AG79">
        <f t="shared" si="83"/>
        <v>0</v>
      </c>
      <c r="AH79">
        <f>((EW79*1.15))</f>
        <v>101.77499999999999</v>
      </c>
      <c r="AI79">
        <f>((EX79*1.15))</f>
        <v>0</v>
      </c>
      <c r="AJ79">
        <f t="shared" si="84"/>
        <v>0</v>
      </c>
      <c r="AK79">
        <v>620.39</v>
      </c>
      <c r="AL79">
        <v>0</v>
      </c>
      <c r="AM79">
        <v>0</v>
      </c>
      <c r="AN79">
        <v>0</v>
      </c>
      <c r="AO79">
        <v>620.39</v>
      </c>
      <c r="AP79">
        <v>0</v>
      </c>
      <c r="AQ79">
        <v>88.5</v>
      </c>
      <c r="AR79">
        <v>0</v>
      </c>
      <c r="AS79">
        <v>0</v>
      </c>
      <c r="AT79">
        <v>80</v>
      </c>
      <c r="AU79">
        <v>45</v>
      </c>
      <c r="AV79">
        <v>1</v>
      </c>
      <c r="AW79">
        <v>1</v>
      </c>
      <c r="AZ79">
        <v>1</v>
      </c>
      <c r="BA79">
        <v>34.75</v>
      </c>
      <c r="BB79">
        <v>13.36</v>
      </c>
      <c r="BC79">
        <v>8.2899999999999991</v>
      </c>
      <c r="BD79" t="s">
        <v>3</v>
      </c>
      <c r="BE79" t="s">
        <v>3</v>
      </c>
      <c r="BF79" t="s">
        <v>3</v>
      </c>
      <c r="BG79" t="s">
        <v>3</v>
      </c>
      <c r="BH79">
        <v>0</v>
      </c>
      <c r="BI79">
        <v>1</v>
      </c>
      <c r="BJ79" t="s">
        <v>154</v>
      </c>
      <c r="BM79">
        <v>1003</v>
      </c>
      <c r="BN79">
        <v>0</v>
      </c>
      <c r="BO79" t="s">
        <v>3</v>
      </c>
      <c r="BP79">
        <v>0</v>
      </c>
      <c r="BQ79">
        <v>2</v>
      </c>
      <c r="BR79">
        <v>0</v>
      </c>
      <c r="BS79">
        <v>34.75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80</v>
      </c>
      <c r="CA79">
        <v>45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676</v>
      </c>
      <c r="CO79">
        <v>0</v>
      </c>
      <c r="CP79">
        <f t="shared" si="85"/>
        <v>0</v>
      </c>
      <c r="CQ79">
        <f t="shared" si="86"/>
        <v>0</v>
      </c>
      <c r="CR79">
        <f t="shared" si="87"/>
        <v>0</v>
      </c>
      <c r="CS79">
        <f t="shared" si="88"/>
        <v>0</v>
      </c>
      <c r="CT79">
        <f t="shared" si="89"/>
        <v>24792.335374999999</v>
      </c>
      <c r="CU79">
        <f t="shared" si="90"/>
        <v>0</v>
      </c>
      <c r="CV79">
        <f t="shared" si="91"/>
        <v>101.77499999999999</v>
      </c>
      <c r="CW79">
        <f t="shared" si="92"/>
        <v>0</v>
      </c>
      <c r="CX79">
        <f t="shared" si="93"/>
        <v>0</v>
      </c>
      <c r="CY79">
        <f t="shared" si="94"/>
        <v>0</v>
      </c>
      <c r="CZ79">
        <f t="shared" si="95"/>
        <v>0</v>
      </c>
      <c r="DC79" t="s">
        <v>3</v>
      </c>
      <c r="DD79" t="s">
        <v>3</v>
      </c>
      <c r="DE79" t="s">
        <v>31</v>
      </c>
      <c r="DF79" t="s">
        <v>31</v>
      </c>
      <c r="DG79" t="s">
        <v>31</v>
      </c>
      <c r="DH79" t="s">
        <v>3</v>
      </c>
      <c r="DI79" t="s">
        <v>31</v>
      </c>
      <c r="DJ79" t="s">
        <v>31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1013</v>
      </c>
      <c r="DV79" t="s">
        <v>29</v>
      </c>
      <c r="DW79" t="s">
        <v>29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42475885</v>
      </c>
      <c r="EF79">
        <v>2</v>
      </c>
      <c r="EG79" t="s">
        <v>22</v>
      </c>
      <c r="EH79">
        <v>0</v>
      </c>
      <c r="EI79" t="s">
        <v>3</v>
      </c>
      <c r="EJ79">
        <v>1</v>
      </c>
      <c r="EK79">
        <v>1003</v>
      </c>
      <c r="EL79" t="s">
        <v>32</v>
      </c>
      <c r="EM79" t="s">
        <v>33</v>
      </c>
      <c r="EO79" t="s">
        <v>48</v>
      </c>
      <c r="EQ79">
        <v>0</v>
      </c>
      <c r="ER79">
        <v>620.39</v>
      </c>
      <c r="ES79">
        <v>0</v>
      </c>
      <c r="ET79">
        <v>0</v>
      </c>
      <c r="EU79">
        <v>0</v>
      </c>
      <c r="EV79">
        <v>620.39</v>
      </c>
      <c r="EW79">
        <v>88.5</v>
      </c>
      <c r="EX79">
        <v>0</v>
      </c>
      <c r="EY79">
        <v>0</v>
      </c>
      <c r="FQ79">
        <v>0</v>
      </c>
      <c r="FR79">
        <f t="shared" si="96"/>
        <v>0</v>
      </c>
      <c r="FS79">
        <v>0</v>
      </c>
      <c r="FX79">
        <v>80</v>
      </c>
      <c r="FY79">
        <v>45</v>
      </c>
      <c r="GA79" t="s">
        <v>3</v>
      </c>
      <c r="GD79">
        <v>1</v>
      </c>
      <c r="GF79">
        <v>-849792585</v>
      </c>
      <c r="GG79">
        <v>2</v>
      </c>
      <c r="GH79">
        <v>1</v>
      </c>
      <c r="GI79">
        <v>4</v>
      </c>
      <c r="GJ79">
        <v>0</v>
      </c>
      <c r="GK79">
        <v>0</v>
      </c>
      <c r="GL79">
        <f t="shared" si="97"/>
        <v>0</v>
      </c>
      <c r="GM79">
        <f t="shared" si="98"/>
        <v>0</v>
      </c>
      <c r="GN79">
        <f t="shared" si="99"/>
        <v>0</v>
      </c>
      <c r="GO79">
        <f t="shared" si="100"/>
        <v>0</v>
      </c>
      <c r="GP79">
        <f t="shared" si="101"/>
        <v>0</v>
      </c>
      <c r="GR79">
        <v>0</v>
      </c>
      <c r="GS79">
        <v>3</v>
      </c>
      <c r="GT79">
        <v>0</v>
      </c>
      <c r="GU79" t="s">
        <v>3</v>
      </c>
      <c r="GV79">
        <f t="shared" si="102"/>
        <v>0</v>
      </c>
      <c r="GW79">
        <v>1</v>
      </c>
      <c r="GX79">
        <f t="shared" si="103"/>
        <v>0</v>
      </c>
      <c r="HA79">
        <v>0</v>
      </c>
      <c r="HB79">
        <v>0</v>
      </c>
      <c r="HC79">
        <f t="shared" si="104"/>
        <v>0</v>
      </c>
      <c r="HE79" t="s">
        <v>3</v>
      </c>
      <c r="HF79" t="s">
        <v>3</v>
      </c>
      <c r="HM79" t="s">
        <v>3</v>
      </c>
      <c r="HN79" t="s">
        <v>3</v>
      </c>
      <c r="HO79" t="s">
        <v>3</v>
      </c>
      <c r="HP79" t="s">
        <v>3</v>
      </c>
      <c r="HQ79" t="s">
        <v>3</v>
      </c>
      <c r="IK79">
        <v>0</v>
      </c>
    </row>
    <row r="80" spans="1:245" x14ac:dyDescent="0.2">
      <c r="A80">
        <v>17</v>
      </c>
      <c r="B80">
        <v>1</v>
      </c>
      <c r="C80">
        <f>ROW(SmtRes!A43)</f>
        <v>43</v>
      </c>
      <c r="D80">
        <f>ROW(EtalonRes!A42)</f>
        <v>42</v>
      </c>
      <c r="E80" t="s">
        <v>155</v>
      </c>
      <c r="F80" t="s">
        <v>156</v>
      </c>
      <c r="G80" t="s">
        <v>157</v>
      </c>
      <c r="H80" t="s">
        <v>158</v>
      </c>
      <c r="I80">
        <f>ROUND(19/100,9)</f>
        <v>0.19</v>
      </c>
      <c r="J80">
        <v>0</v>
      </c>
      <c r="K80">
        <f>ROUND(19/100,9)</f>
        <v>0.19</v>
      </c>
      <c r="O80">
        <f t="shared" si="70"/>
        <v>3594</v>
      </c>
      <c r="P80">
        <f t="shared" si="71"/>
        <v>2515</v>
      </c>
      <c r="Q80">
        <f t="shared" si="72"/>
        <v>55</v>
      </c>
      <c r="R80">
        <f t="shared" si="73"/>
        <v>0</v>
      </c>
      <c r="S80">
        <f t="shared" si="74"/>
        <v>1024</v>
      </c>
      <c r="T80">
        <f t="shared" si="75"/>
        <v>0</v>
      </c>
      <c r="U80">
        <f t="shared" si="76"/>
        <v>3.6083089999999998</v>
      </c>
      <c r="V80">
        <f t="shared" si="77"/>
        <v>0</v>
      </c>
      <c r="W80">
        <f t="shared" si="78"/>
        <v>0</v>
      </c>
      <c r="X80">
        <f t="shared" si="79"/>
        <v>1024</v>
      </c>
      <c r="Y80">
        <f t="shared" si="80"/>
        <v>717</v>
      </c>
      <c r="AA80">
        <v>46416371</v>
      </c>
      <c r="AB80">
        <f t="shared" si="81"/>
        <v>1773.4457</v>
      </c>
      <c r="AC80">
        <f t="shared" si="82"/>
        <v>1596.67</v>
      </c>
      <c r="AD80">
        <f>ROUND((((((ET80*1.15)*1.25))-(((EU80*1.15)*1.25)))+AE80),6)</f>
        <v>21.62</v>
      </c>
      <c r="AE80">
        <f>ROUND((((EU80*1.15)*1.25)),6)</f>
        <v>0</v>
      </c>
      <c r="AF80">
        <f>ROUND((((EV80*1.15)*1.15)),6)</f>
        <v>155.1557</v>
      </c>
      <c r="AG80">
        <f t="shared" si="83"/>
        <v>0</v>
      </c>
      <c r="AH80">
        <f>(((EW80*1.15)*1.15))</f>
        <v>18.991099999999999</v>
      </c>
      <c r="AI80">
        <f>(((EX80*1.15)*1.25))</f>
        <v>0</v>
      </c>
      <c r="AJ80">
        <f t="shared" si="84"/>
        <v>0</v>
      </c>
      <c r="AK80">
        <v>1729.03</v>
      </c>
      <c r="AL80">
        <v>1596.67</v>
      </c>
      <c r="AM80">
        <v>15.04</v>
      </c>
      <c r="AN80">
        <v>0</v>
      </c>
      <c r="AO80">
        <v>117.32</v>
      </c>
      <c r="AP80">
        <v>0</v>
      </c>
      <c r="AQ80">
        <v>14.36</v>
      </c>
      <c r="AR80">
        <v>0</v>
      </c>
      <c r="AS80">
        <v>0</v>
      </c>
      <c r="AT80">
        <v>100</v>
      </c>
      <c r="AU80">
        <v>70</v>
      </c>
      <c r="AV80">
        <v>1</v>
      </c>
      <c r="AW80">
        <v>1</v>
      </c>
      <c r="AZ80">
        <v>1</v>
      </c>
      <c r="BA80">
        <v>34.75</v>
      </c>
      <c r="BB80">
        <v>13.36</v>
      </c>
      <c r="BC80">
        <v>8.2899999999999991</v>
      </c>
      <c r="BD80" t="s">
        <v>3</v>
      </c>
      <c r="BE80" t="s">
        <v>3</v>
      </c>
      <c r="BF80" t="s">
        <v>3</v>
      </c>
      <c r="BG80" t="s">
        <v>3</v>
      </c>
      <c r="BH80">
        <v>0</v>
      </c>
      <c r="BI80">
        <v>1</v>
      </c>
      <c r="BJ80" t="s">
        <v>159</v>
      </c>
      <c r="BM80">
        <v>26001</v>
      </c>
      <c r="BN80">
        <v>0</v>
      </c>
      <c r="BO80" t="s">
        <v>3</v>
      </c>
      <c r="BP80">
        <v>0</v>
      </c>
      <c r="BQ80">
        <v>2</v>
      </c>
      <c r="BR80">
        <v>0</v>
      </c>
      <c r="BS80">
        <v>34.75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100</v>
      </c>
      <c r="CA80">
        <v>70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679</v>
      </c>
      <c r="CO80">
        <v>0</v>
      </c>
      <c r="CP80">
        <f t="shared" si="85"/>
        <v>3594</v>
      </c>
      <c r="CQ80">
        <f t="shared" si="86"/>
        <v>13236.3943</v>
      </c>
      <c r="CR80">
        <f t="shared" si="87"/>
        <v>288.84320000000002</v>
      </c>
      <c r="CS80">
        <f t="shared" si="88"/>
        <v>0</v>
      </c>
      <c r="CT80">
        <f t="shared" si="89"/>
        <v>5391.6605749999999</v>
      </c>
      <c r="CU80">
        <f t="shared" si="90"/>
        <v>0</v>
      </c>
      <c r="CV80">
        <f t="shared" si="91"/>
        <v>18.991099999999999</v>
      </c>
      <c r="CW80">
        <f t="shared" si="92"/>
        <v>0</v>
      </c>
      <c r="CX80">
        <f t="shared" si="93"/>
        <v>0</v>
      </c>
      <c r="CY80">
        <f t="shared" si="94"/>
        <v>1024</v>
      </c>
      <c r="CZ80">
        <f t="shared" si="95"/>
        <v>716.8</v>
      </c>
      <c r="DC80" t="s">
        <v>3</v>
      </c>
      <c r="DD80" t="s">
        <v>3</v>
      </c>
      <c r="DE80" t="s">
        <v>160</v>
      </c>
      <c r="DF80" t="s">
        <v>160</v>
      </c>
      <c r="DG80" t="s">
        <v>161</v>
      </c>
      <c r="DH80" t="s">
        <v>3</v>
      </c>
      <c r="DI80" t="s">
        <v>161</v>
      </c>
      <c r="DJ80" t="s">
        <v>160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1013</v>
      </c>
      <c r="DV80" t="s">
        <v>158</v>
      </c>
      <c r="DW80" t="s">
        <v>158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42475949</v>
      </c>
      <c r="EF80">
        <v>2</v>
      </c>
      <c r="EG80" t="s">
        <v>22</v>
      </c>
      <c r="EH80">
        <v>0</v>
      </c>
      <c r="EI80" t="s">
        <v>3</v>
      </c>
      <c r="EJ80">
        <v>1</v>
      </c>
      <c r="EK80">
        <v>26001</v>
      </c>
      <c r="EL80" t="s">
        <v>162</v>
      </c>
      <c r="EM80" t="s">
        <v>163</v>
      </c>
      <c r="EO80" t="s">
        <v>164</v>
      </c>
      <c r="EQ80">
        <v>0</v>
      </c>
      <c r="ER80">
        <v>1729.03</v>
      </c>
      <c r="ES80">
        <v>1596.67</v>
      </c>
      <c r="ET80">
        <v>15.04</v>
      </c>
      <c r="EU80">
        <v>0</v>
      </c>
      <c r="EV80">
        <v>117.32</v>
      </c>
      <c r="EW80">
        <v>14.36</v>
      </c>
      <c r="EX80">
        <v>0</v>
      </c>
      <c r="EY80">
        <v>0</v>
      </c>
      <c r="FQ80">
        <v>0</v>
      </c>
      <c r="FR80">
        <f t="shared" si="96"/>
        <v>0</v>
      </c>
      <c r="FS80">
        <v>0</v>
      </c>
      <c r="FX80">
        <v>100</v>
      </c>
      <c r="FY80">
        <v>70</v>
      </c>
      <c r="GA80" t="s">
        <v>3</v>
      </c>
      <c r="GD80">
        <v>1</v>
      </c>
      <c r="GF80">
        <v>85753137</v>
      </c>
      <c r="GG80">
        <v>2</v>
      </c>
      <c r="GH80">
        <v>1</v>
      </c>
      <c r="GI80">
        <v>4</v>
      </c>
      <c r="GJ80">
        <v>0</v>
      </c>
      <c r="GK80">
        <v>0</v>
      </c>
      <c r="GL80">
        <f t="shared" si="97"/>
        <v>0</v>
      </c>
      <c r="GM80">
        <f t="shared" si="98"/>
        <v>5335</v>
      </c>
      <c r="GN80">
        <f t="shared" si="99"/>
        <v>5335</v>
      </c>
      <c r="GO80">
        <f t="shared" si="100"/>
        <v>0</v>
      </c>
      <c r="GP80">
        <f t="shared" si="101"/>
        <v>0</v>
      </c>
      <c r="GR80">
        <v>0</v>
      </c>
      <c r="GS80">
        <v>3</v>
      </c>
      <c r="GT80">
        <v>0</v>
      </c>
      <c r="GU80" t="s">
        <v>3</v>
      </c>
      <c r="GV80">
        <f t="shared" si="102"/>
        <v>0</v>
      </c>
      <c r="GW80">
        <v>1</v>
      </c>
      <c r="GX80">
        <f t="shared" si="103"/>
        <v>0</v>
      </c>
      <c r="HA80">
        <v>0</v>
      </c>
      <c r="HB80">
        <v>0</v>
      </c>
      <c r="HC80">
        <f t="shared" si="104"/>
        <v>0</v>
      </c>
      <c r="HE80" t="s">
        <v>3</v>
      </c>
      <c r="HF80" t="s">
        <v>3</v>
      </c>
      <c r="HM80" t="s">
        <v>3</v>
      </c>
      <c r="HN80" t="s">
        <v>3</v>
      </c>
      <c r="HO80" t="s">
        <v>3</v>
      </c>
      <c r="HP80" t="s">
        <v>3</v>
      </c>
      <c r="HQ80" t="s">
        <v>3</v>
      </c>
      <c r="IK80">
        <v>0</v>
      </c>
    </row>
    <row r="81" spans="1:245" x14ac:dyDescent="0.2">
      <c r="A81">
        <v>17</v>
      </c>
      <c r="B81">
        <v>1</v>
      </c>
      <c r="C81">
        <f>ROW(SmtRes!A48)</f>
        <v>48</v>
      </c>
      <c r="D81">
        <f>ROW(EtalonRes!A47)</f>
        <v>47</v>
      </c>
      <c r="E81" t="s">
        <v>165</v>
      </c>
      <c r="F81" t="s">
        <v>166</v>
      </c>
      <c r="G81" t="s">
        <v>167</v>
      </c>
      <c r="H81" t="s">
        <v>168</v>
      </c>
      <c r="I81">
        <f>ROUND(15/100,9)</f>
        <v>0.15</v>
      </c>
      <c r="J81">
        <v>0</v>
      </c>
      <c r="K81">
        <f>ROUND(15/100,9)</f>
        <v>0.15</v>
      </c>
      <c r="O81">
        <f t="shared" si="70"/>
        <v>4120</v>
      </c>
      <c r="P81">
        <f t="shared" si="71"/>
        <v>1033</v>
      </c>
      <c r="Q81">
        <f t="shared" si="72"/>
        <v>16</v>
      </c>
      <c r="R81">
        <f t="shared" si="73"/>
        <v>0</v>
      </c>
      <c r="S81">
        <f t="shared" si="74"/>
        <v>3071</v>
      </c>
      <c r="T81">
        <f t="shared" si="75"/>
        <v>0</v>
      </c>
      <c r="U81">
        <f t="shared" si="76"/>
        <v>10.672574999999997</v>
      </c>
      <c r="V81">
        <f t="shared" si="77"/>
        <v>0</v>
      </c>
      <c r="W81">
        <f t="shared" si="78"/>
        <v>0</v>
      </c>
      <c r="X81">
        <f t="shared" si="79"/>
        <v>4760</v>
      </c>
      <c r="Y81">
        <f t="shared" si="80"/>
        <v>3071</v>
      </c>
      <c r="AA81">
        <v>46416371</v>
      </c>
      <c r="AB81">
        <f t="shared" si="81"/>
        <v>1427.977725</v>
      </c>
      <c r="AC81">
        <f t="shared" si="82"/>
        <v>831.08</v>
      </c>
      <c r="AD81">
        <f>ROUND((((((ET81*1.25)*1.15))-(((EU81*1.25)*1.15)))+AE81),6)</f>
        <v>7.7768750000000004</v>
      </c>
      <c r="AE81">
        <f>ROUND((((EU81*1.25)*1.15)),6)</f>
        <v>0</v>
      </c>
      <c r="AF81">
        <f>ROUND((((EV81*1.15)*1.15)),6)</f>
        <v>589.12085000000002</v>
      </c>
      <c r="AG81">
        <f t="shared" si="83"/>
        <v>0</v>
      </c>
      <c r="AH81">
        <f>(((EW81*1.15)*1.15))</f>
        <v>71.15049999999998</v>
      </c>
      <c r="AI81">
        <f>(((EX81*1.25)*1.15))</f>
        <v>0</v>
      </c>
      <c r="AJ81">
        <f t="shared" si="84"/>
        <v>0</v>
      </c>
      <c r="AK81">
        <v>1281.95</v>
      </c>
      <c r="AL81">
        <v>831.08</v>
      </c>
      <c r="AM81">
        <v>5.41</v>
      </c>
      <c r="AN81">
        <v>0</v>
      </c>
      <c r="AO81">
        <v>445.46</v>
      </c>
      <c r="AP81">
        <v>0</v>
      </c>
      <c r="AQ81">
        <v>53.8</v>
      </c>
      <c r="AR81">
        <v>0</v>
      </c>
      <c r="AS81">
        <v>0</v>
      </c>
      <c r="AT81">
        <v>155</v>
      </c>
      <c r="AU81">
        <v>100</v>
      </c>
      <c r="AV81">
        <v>1</v>
      </c>
      <c r="AW81">
        <v>1</v>
      </c>
      <c r="AZ81">
        <v>1</v>
      </c>
      <c r="BA81">
        <v>34.75</v>
      </c>
      <c r="BB81">
        <v>13.36</v>
      </c>
      <c r="BC81">
        <v>8.2899999999999991</v>
      </c>
      <c r="BD81" t="s">
        <v>3</v>
      </c>
      <c r="BE81" t="s">
        <v>3</v>
      </c>
      <c r="BF81" t="s">
        <v>3</v>
      </c>
      <c r="BG81" t="s">
        <v>3</v>
      </c>
      <c r="BH81">
        <v>0</v>
      </c>
      <c r="BI81">
        <v>1</v>
      </c>
      <c r="BJ81" t="s">
        <v>169</v>
      </c>
      <c r="BM81">
        <v>7005</v>
      </c>
      <c r="BN81">
        <v>0</v>
      </c>
      <c r="BO81" t="s">
        <v>3</v>
      </c>
      <c r="BP81">
        <v>0</v>
      </c>
      <c r="BQ81">
        <v>2</v>
      </c>
      <c r="BR81">
        <v>0</v>
      </c>
      <c r="BS81">
        <v>34.75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155</v>
      </c>
      <c r="CA81">
        <v>100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680</v>
      </c>
      <c r="CO81">
        <v>0</v>
      </c>
      <c r="CP81">
        <f t="shared" si="85"/>
        <v>4120</v>
      </c>
      <c r="CQ81">
        <f t="shared" si="86"/>
        <v>6889.6531999999997</v>
      </c>
      <c r="CR81">
        <f t="shared" si="87"/>
        <v>103.89905</v>
      </c>
      <c r="CS81">
        <f t="shared" si="88"/>
        <v>0</v>
      </c>
      <c r="CT81">
        <f t="shared" si="89"/>
        <v>20471.949537500001</v>
      </c>
      <c r="CU81">
        <f t="shared" si="90"/>
        <v>0</v>
      </c>
      <c r="CV81">
        <f t="shared" si="91"/>
        <v>71.15049999999998</v>
      </c>
      <c r="CW81">
        <f t="shared" si="92"/>
        <v>0</v>
      </c>
      <c r="CX81">
        <f t="shared" si="93"/>
        <v>0</v>
      </c>
      <c r="CY81">
        <f t="shared" si="94"/>
        <v>4760.05</v>
      </c>
      <c r="CZ81">
        <f t="shared" si="95"/>
        <v>3071</v>
      </c>
      <c r="DC81" t="s">
        <v>3</v>
      </c>
      <c r="DD81" t="s">
        <v>3</v>
      </c>
      <c r="DE81" t="s">
        <v>170</v>
      </c>
      <c r="DF81" t="s">
        <v>170</v>
      </c>
      <c r="DG81" t="s">
        <v>161</v>
      </c>
      <c r="DH81" t="s">
        <v>3</v>
      </c>
      <c r="DI81" t="s">
        <v>161</v>
      </c>
      <c r="DJ81" t="s">
        <v>170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168</v>
      </c>
      <c r="DW81" t="s">
        <v>168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42475861</v>
      </c>
      <c r="EF81">
        <v>2</v>
      </c>
      <c r="EG81" t="s">
        <v>22</v>
      </c>
      <c r="EH81">
        <v>0</v>
      </c>
      <c r="EI81" t="s">
        <v>3</v>
      </c>
      <c r="EJ81">
        <v>1</v>
      </c>
      <c r="EK81">
        <v>7005</v>
      </c>
      <c r="EL81" t="s">
        <v>171</v>
      </c>
      <c r="EM81" t="s">
        <v>172</v>
      </c>
      <c r="EO81" t="s">
        <v>173</v>
      </c>
      <c r="EQ81">
        <v>0</v>
      </c>
      <c r="ER81">
        <v>1281.95</v>
      </c>
      <c r="ES81">
        <v>831.08</v>
      </c>
      <c r="ET81">
        <v>5.41</v>
      </c>
      <c r="EU81">
        <v>0</v>
      </c>
      <c r="EV81">
        <v>445.46</v>
      </c>
      <c r="EW81">
        <v>53.8</v>
      </c>
      <c r="EX81">
        <v>0</v>
      </c>
      <c r="EY81">
        <v>0</v>
      </c>
      <c r="FQ81">
        <v>0</v>
      </c>
      <c r="FR81">
        <f t="shared" si="96"/>
        <v>0</v>
      </c>
      <c r="FS81">
        <v>0</v>
      </c>
      <c r="FX81">
        <v>155</v>
      </c>
      <c r="FY81">
        <v>100</v>
      </c>
      <c r="GA81" t="s">
        <v>3</v>
      </c>
      <c r="GD81">
        <v>1</v>
      </c>
      <c r="GF81">
        <v>-999286481</v>
      </c>
      <c r="GG81">
        <v>2</v>
      </c>
      <c r="GH81">
        <v>1</v>
      </c>
      <c r="GI81">
        <v>4</v>
      </c>
      <c r="GJ81">
        <v>0</v>
      </c>
      <c r="GK81">
        <v>0</v>
      </c>
      <c r="GL81">
        <f t="shared" si="97"/>
        <v>0</v>
      </c>
      <c r="GM81">
        <f t="shared" si="98"/>
        <v>11951</v>
      </c>
      <c r="GN81">
        <f t="shared" si="99"/>
        <v>11951</v>
      </c>
      <c r="GO81">
        <f t="shared" si="100"/>
        <v>0</v>
      </c>
      <c r="GP81">
        <f t="shared" si="101"/>
        <v>0</v>
      </c>
      <c r="GR81">
        <v>0</v>
      </c>
      <c r="GS81">
        <v>3</v>
      </c>
      <c r="GT81">
        <v>0</v>
      </c>
      <c r="GU81" t="s">
        <v>3</v>
      </c>
      <c r="GV81">
        <f t="shared" si="102"/>
        <v>0</v>
      </c>
      <c r="GW81">
        <v>1</v>
      </c>
      <c r="GX81">
        <f t="shared" si="103"/>
        <v>0</v>
      </c>
      <c r="HA81">
        <v>0</v>
      </c>
      <c r="HB81">
        <v>0</v>
      </c>
      <c r="HC81">
        <f t="shared" si="104"/>
        <v>0</v>
      </c>
      <c r="HE81" t="s">
        <v>3</v>
      </c>
      <c r="HF81" t="s">
        <v>3</v>
      </c>
      <c r="HM81" t="s">
        <v>3</v>
      </c>
      <c r="HN81" t="s">
        <v>3</v>
      </c>
      <c r="HO81" t="s">
        <v>3</v>
      </c>
      <c r="HP81" t="s">
        <v>3</v>
      </c>
      <c r="HQ81" t="s">
        <v>3</v>
      </c>
      <c r="IK81">
        <v>0</v>
      </c>
    </row>
    <row r="82" spans="1:245" x14ac:dyDescent="0.2">
      <c r="A82">
        <v>17</v>
      </c>
      <c r="B82">
        <v>1</v>
      </c>
      <c r="C82">
        <f>ROW(SmtRes!A73)</f>
        <v>73</v>
      </c>
      <c r="D82">
        <f>ROW(EtalonRes!A69)</f>
        <v>69</v>
      </c>
      <c r="E82" t="s">
        <v>174</v>
      </c>
      <c r="F82" t="s">
        <v>175</v>
      </c>
      <c r="G82" t="s">
        <v>176</v>
      </c>
      <c r="H82" t="s">
        <v>177</v>
      </c>
      <c r="I82">
        <f>ROUND(4.1/100,9)</f>
        <v>4.1000000000000002E-2</v>
      </c>
      <c r="J82">
        <v>0</v>
      </c>
      <c r="K82">
        <f>ROUND(4.1/100,9)</f>
        <v>4.1000000000000002E-2</v>
      </c>
      <c r="O82">
        <f t="shared" si="70"/>
        <v>38837</v>
      </c>
      <c r="P82">
        <f t="shared" si="71"/>
        <v>32696</v>
      </c>
      <c r="Q82">
        <f t="shared" si="72"/>
        <v>2021</v>
      </c>
      <c r="R82">
        <f t="shared" si="73"/>
        <v>459</v>
      </c>
      <c r="S82">
        <f t="shared" si="74"/>
        <v>4120</v>
      </c>
      <c r="T82">
        <f t="shared" si="75"/>
        <v>0</v>
      </c>
      <c r="U82">
        <f t="shared" si="76"/>
        <v>15.121570799999999</v>
      </c>
      <c r="V82">
        <f t="shared" si="77"/>
        <v>1.0508556249999998</v>
      </c>
      <c r="W82">
        <f t="shared" si="78"/>
        <v>0</v>
      </c>
      <c r="X82">
        <f t="shared" si="79"/>
        <v>4808</v>
      </c>
      <c r="Y82">
        <f t="shared" si="80"/>
        <v>2976</v>
      </c>
      <c r="AA82">
        <v>46416371</v>
      </c>
      <c r="AB82">
        <f t="shared" si="81"/>
        <v>102776.803575</v>
      </c>
      <c r="AC82">
        <f t="shared" si="82"/>
        <v>96195.79</v>
      </c>
      <c r="AD82">
        <f>ROUND((((((ET82*1.25)*1.15))-(((EU82*1.25)*1.15)))+AE82),6)</f>
        <v>3689.473125</v>
      </c>
      <c r="AE82">
        <f>ROUND((((EU82*1.25)*1.15)),6)</f>
        <v>322.17250000000001</v>
      </c>
      <c r="AF82">
        <f>ROUND((((EV82*1.15)*1.15)),6)</f>
        <v>2891.54045</v>
      </c>
      <c r="AG82">
        <f t="shared" si="83"/>
        <v>0</v>
      </c>
      <c r="AH82">
        <f>(((EW82*1.15)*1.15))</f>
        <v>368.81879999999995</v>
      </c>
      <c r="AI82">
        <f>(((EX82*1.25)*1.15))</f>
        <v>25.630624999999995</v>
      </c>
      <c r="AJ82">
        <f t="shared" si="84"/>
        <v>0</v>
      </c>
      <c r="AK82">
        <v>100948.8</v>
      </c>
      <c r="AL82">
        <v>96195.79</v>
      </c>
      <c r="AM82">
        <v>2566.59</v>
      </c>
      <c r="AN82">
        <v>224.12</v>
      </c>
      <c r="AO82">
        <v>2186.42</v>
      </c>
      <c r="AP82">
        <v>0</v>
      </c>
      <c r="AQ82">
        <v>278.88</v>
      </c>
      <c r="AR82">
        <v>17.829999999999998</v>
      </c>
      <c r="AS82">
        <v>0</v>
      </c>
      <c r="AT82">
        <v>105</v>
      </c>
      <c r="AU82">
        <v>65</v>
      </c>
      <c r="AV82">
        <v>1</v>
      </c>
      <c r="AW82">
        <v>1</v>
      </c>
      <c r="AZ82">
        <v>1</v>
      </c>
      <c r="BA82">
        <v>34.75</v>
      </c>
      <c r="BB82">
        <v>13.36</v>
      </c>
      <c r="BC82">
        <v>8.2899999999999991</v>
      </c>
      <c r="BD82" t="s">
        <v>3</v>
      </c>
      <c r="BE82" t="s">
        <v>3</v>
      </c>
      <c r="BF82" t="s">
        <v>3</v>
      </c>
      <c r="BG82" t="s">
        <v>3</v>
      </c>
      <c r="BH82">
        <v>0</v>
      </c>
      <c r="BI82">
        <v>1</v>
      </c>
      <c r="BJ82" t="s">
        <v>178</v>
      </c>
      <c r="BM82">
        <v>6001</v>
      </c>
      <c r="BN82">
        <v>0</v>
      </c>
      <c r="BO82" t="s">
        <v>3</v>
      </c>
      <c r="BP82">
        <v>0</v>
      </c>
      <c r="BQ82">
        <v>2</v>
      </c>
      <c r="BR82">
        <v>0</v>
      </c>
      <c r="BS82">
        <v>34.75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105</v>
      </c>
      <c r="CA82">
        <v>65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680</v>
      </c>
      <c r="CO82">
        <v>0</v>
      </c>
      <c r="CP82">
        <f t="shared" si="85"/>
        <v>38837</v>
      </c>
      <c r="CQ82">
        <f t="shared" si="86"/>
        <v>797463.09909999988</v>
      </c>
      <c r="CR82">
        <f t="shared" si="87"/>
        <v>49291.360949999995</v>
      </c>
      <c r="CS82">
        <f t="shared" si="88"/>
        <v>11195.494375</v>
      </c>
      <c r="CT82">
        <f t="shared" si="89"/>
        <v>100481.03063749999</v>
      </c>
      <c r="CU82">
        <f t="shared" si="90"/>
        <v>0</v>
      </c>
      <c r="CV82">
        <f t="shared" si="91"/>
        <v>368.81879999999995</v>
      </c>
      <c r="CW82">
        <f t="shared" si="92"/>
        <v>25.630624999999995</v>
      </c>
      <c r="CX82">
        <f t="shared" si="93"/>
        <v>0</v>
      </c>
      <c r="CY82">
        <f t="shared" si="94"/>
        <v>4807.95</v>
      </c>
      <c r="CZ82">
        <f t="shared" si="95"/>
        <v>2976.35</v>
      </c>
      <c r="DC82" t="s">
        <v>3</v>
      </c>
      <c r="DD82" t="s">
        <v>3</v>
      </c>
      <c r="DE82" t="s">
        <v>170</v>
      </c>
      <c r="DF82" t="s">
        <v>170</v>
      </c>
      <c r="DG82" t="s">
        <v>161</v>
      </c>
      <c r="DH82" t="s">
        <v>3</v>
      </c>
      <c r="DI82" t="s">
        <v>161</v>
      </c>
      <c r="DJ82" t="s">
        <v>170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1013</v>
      </c>
      <c r="DV82" t="s">
        <v>177</v>
      </c>
      <c r="DW82" t="s">
        <v>177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42475896</v>
      </c>
      <c r="EF82">
        <v>2</v>
      </c>
      <c r="EG82" t="s">
        <v>22</v>
      </c>
      <c r="EH82">
        <v>0</v>
      </c>
      <c r="EI82" t="s">
        <v>3</v>
      </c>
      <c r="EJ82">
        <v>1</v>
      </c>
      <c r="EK82">
        <v>6001</v>
      </c>
      <c r="EL82" t="s">
        <v>179</v>
      </c>
      <c r="EM82" t="s">
        <v>180</v>
      </c>
      <c r="EO82" t="s">
        <v>173</v>
      </c>
      <c r="EQ82">
        <v>0</v>
      </c>
      <c r="ER82">
        <v>100948.8</v>
      </c>
      <c r="ES82">
        <v>96195.79</v>
      </c>
      <c r="ET82">
        <v>2566.59</v>
      </c>
      <c r="EU82">
        <v>224.12</v>
      </c>
      <c r="EV82">
        <v>2186.42</v>
      </c>
      <c r="EW82">
        <v>278.88</v>
      </c>
      <c r="EX82">
        <v>17.829999999999998</v>
      </c>
      <c r="EY82">
        <v>0</v>
      </c>
      <c r="FQ82">
        <v>0</v>
      </c>
      <c r="FR82">
        <f t="shared" si="96"/>
        <v>0</v>
      </c>
      <c r="FS82">
        <v>0</v>
      </c>
      <c r="FX82">
        <v>105</v>
      </c>
      <c r="FY82">
        <v>65</v>
      </c>
      <c r="GA82" t="s">
        <v>3</v>
      </c>
      <c r="GD82">
        <v>1</v>
      </c>
      <c r="GF82">
        <v>1895643426</v>
      </c>
      <c r="GG82">
        <v>2</v>
      </c>
      <c r="GH82">
        <v>1</v>
      </c>
      <c r="GI82">
        <v>4</v>
      </c>
      <c r="GJ82">
        <v>0</v>
      </c>
      <c r="GK82">
        <v>0</v>
      </c>
      <c r="GL82">
        <f t="shared" si="97"/>
        <v>0</v>
      </c>
      <c r="GM82">
        <f t="shared" si="98"/>
        <v>46621</v>
      </c>
      <c r="GN82">
        <f t="shared" si="99"/>
        <v>46621</v>
      </c>
      <c r="GO82">
        <f t="shared" si="100"/>
        <v>0</v>
      </c>
      <c r="GP82">
        <f t="shared" si="101"/>
        <v>0</v>
      </c>
      <c r="GR82">
        <v>0</v>
      </c>
      <c r="GS82">
        <v>3</v>
      </c>
      <c r="GT82">
        <v>0</v>
      </c>
      <c r="GU82" t="s">
        <v>3</v>
      </c>
      <c r="GV82">
        <f t="shared" si="102"/>
        <v>0</v>
      </c>
      <c r="GW82">
        <v>1</v>
      </c>
      <c r="GX82">
        <f t="shared" si="103"/>
        <v>0</v>
      </c>
      <c r="HA82">
        <v>0</v>
      </c>
      <c r="HB82">
        <v>0</v>
      </c>
      <c r="HC82">
        <f t="shared" si="104"/>
        <v>0</v>
      </c>
      <c r="HE82" t="s">
        <v>3</v>
      </c>
      <c r="HF82" t="s">
        <v>3</v>
      </c>
      <c r="HM82" t="s">
        <v>3</v>
      </c>
      <c r="HN82" t="s">
        <v>3</v>
      </c>
      <c r="HO82" t="s">
        <v>3</v>
      </c>
      <c r="HP82" t="s">
        <v>3</v>
      </c>
      <c r="HQ82" t="s">
        <v>3</v>
      </c>
      <c r="IK82">
        <v>0</v>
      </c>
    </row>
    <row r="83" spans="1:245" x14ac:dyDescent="0.2">
      <c r="A83">
        <v>18</v>
      </c>
      <c r="B83">
        <v>1</v>
      </c>
      <c r="C83">
        <v>68</v>
      </c>
      <c r="E83" t="s">
        <v>181</v>
      </c>
      <c r="F83" t="s">
        <v>182</v>
      </c>
      <c r="G83" t="s">
        <v>183</v>
      </c>
      <c r="H83" t="s">
        <v>184</v>
      </c>
      <c r="I83">
        <f>I82*J83</f>
        <v>-0.13120000000000001</v>
      </c>
      <c r="J83">
        <v>-3.2</v>
      </c>
      <c r="K83">
        <v>-3.2</v>
      </c>
      <c r="O83">
        <f t="shared" si="70"/>
        <v>-5891</v>
      </c>
      <c r="P83">
        <f t="shared" si="71"/>
        <v>-5891</v>
      </c>
      <c r="Q83">
        <f t="shared" si="72"/>
        <v>0</v>
      </c>
      <c r="R83">
        <f t="shared" si="73"/>
        <v>0</v>
      </c>
      <c r="S83">
        <f t="shared" si="74"/>
        <v>0</v>
      </c>
      <c r="T83">
        <f t="shared" si="75"/>
        <v>0</v>
      </c>
      <c r="U83">
        <f t="shared" si="76"/>
        <v>0</v>
      </c>
      <c r="V83">
        <f t="shared" si="77"/>
        <v>0</v>
      </c>
      <c r="W83">
        <f t="shared" si="78"/>
        <v>0</v>
      </c>
      <c r="X83">
        <f t="shared" si="79"/>
        <v>0</v>
      </c>
      <c r="Y83">
        <f t="shared" si="80"/>
        <v>0</v>
      </c>
      <c r="AA83">
        <v>46416371</v>
      </c>
      <c r="AB83">
        <f t="shared" si="81"/>
        <v>5416.2</v>
      </c>
      <c r="AC83">
        <f t="shared" si="82"/>
        <v>5416.2</v>
      </c>
      <c r="AD83">
        <f>ROUND((((ET83)-(EU83))+AE83),6)</f>
        <v>0</v>
      </c>
      <c r="AE83">
        <f t="shared" ref="AE83:AF87" si="105">ROUND((EU83),6)</f>
        <v>0</v>
      </c>
      <c r="AF83">
        <f t="shared" si="105"/>
        <v>0</v>
      </c>
      <c r="AG83">
        <f t="shared" si="83"/>
        <v>0</v>
      </c>
      <c r="AH83">
        <f t="shared" ref="AH83:AI87" si="106">(EW83)</f>
        <v>0</v>
      </c>
      <c r="AI83">
        <f t="shared" si="106"/>
        <v>0</v>
      </c>
      <c r="AJ83">
        <f t="shared" si="84"/>
        <v>0</v>
      </c>
      <c r="AK83">
        <v>5416.2</v>
      </c>
      <c r="AL83">
        <v>5416.2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8.2899999999999991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185</v>
      </c>
      <c r="BM83">
        <v>500001</v>
      </c>
      <c r="BN83">
        <v>0</v>
      </c>
      <c r="BO83" t="s">
        <v>3</v>
      </c>
      <c r="BP83">
        <v>0</v>
      </c>
      <c r="BQ83">
        <v>8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0</v>
      </c>
      <c r="CA83">
        <v>0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85"/>
        <v>-5891</v>
      </c>
      <c r="CQ83">
        <f t="shared" si="86"/>
        <v>44900.297999999995</v>
      </c>
      <c r="CR83">
        <f t="shared" si="87"/>
        <v>0</v>
      </c>
      <c r="CS83">
        <f t="shared" si="88"/>
        <v>0</v>
      </c>
      <c r="CT83">
        <f t="shared" si="89"/>
        <v>0</v>
      </c>
      <c r="CU83">
        <f t="shared" si="90"/>
        <v>0</v>
      </c>
      <c r="CV83">
        <f t="shared" si="91"/>
        <v>0</v>
      </c>
      <c r="CW83">
        <f t="shared" si="92"/>
        <v>0</v>
      </c>
      <c r="CX83">
        <f t="shared" si="93"/>
        <v>0</v>
      </c>
      <c r="CY83">
        <f t="shared" si="94"/>
        <v>0</v>
      </c>
      <c r="CZ83">
        <f t="shared" si="95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1009</v>
      </c>
      <c r="DV83" t="s">
        <v>184</v>
      </c>
      <c r="DW83" t="s">
        <v>184</v>
      </c>
      <c r="DX83">
        <v>1000</v>
      </c>
      <c r="DZ83" t="s">
        <v>3</v>
      </c>
      <c r="EA83" t="s">
        <v>3</v>
      </c>
      <c r="EB83" t="s">
        <v>3</v>
      </c>
      <c r="EC83" t="s">
        <v>3</v>
      </c>
      <c r="EE83">
        <v>42475842</v>
      </c>
      <c r="EF83">
        <v>8</v>
      </c>
      <c r="EG83" t="s">
        <v>141</v>
      </c>
      <c r="EH83">
        <v>0</v>
      </c>
      <c r="EI83" t="s">
        <v>3</v>
      </c>
      <c r="EJ83">
        <v>1</v>
      </c>
      <c r="EK83">
        <v>500001</v>
      </c>
      <c r="EL83" t="s">
        <v>142</v>
      </c>
      <c r="EM83" t="s">
        <v>143</v>
      </c>
      <c r="EO83" t="s">
        <v>3</v>
      </c>
      <c r="EQ83">
        <v>0</v>
      </c>
      <c r="ER83">
        <v>5416.2</v>
      </c>
      <c r="ES83">
        <v>5416.2</v>
      </c>
      <c r="ET83">
        <v>0</v>
      </c>
      <c r="EU83">
        <v>0</v>
      </c>
      <c r="EV83">
        <v>0</v>
      </c>
      <c r="EW83">
        <v>0</v>
      </c>
      <c r="EX83">
        <v>0</v>
      </c>
      <c r="FQ83">
        <v>0</v>
      </c>
      <c r="FR83">
        <f t="shared" si="96"/>
        <v>0</v>
      </c>
      <c r="FS83">
        <v>0</v>
      </c>
      <c r="FX83">
        <v>0</v>
      </c>
      <c r="FY83">
        <v>0</v>
      </c>
      <c r="GA83" t="s">
        <v>3</v>
      </c>
      <c r="GD83">
        <v>1</v>
      </c>
      <c r="GF83">
        <v>98865574</v>
      </c>
      <c r="GG83">
        <v>2</v>
      </c>
      <c r="GH83">
        <v>1</v>
      </c>
      <c r="GI83">
        <v>4</v>
      </c>
      <c r="GJ83">
        <v>0</v>
      </c>
      <c r="GK83">
        <v>0</v>
      </c>
      <c r="GL83">
        <f t="shared" si="97"/>
        <v>0</v>
      </c>
      <c r="GM83">
        <f t="shared" si="98"/>
        <v>-5891</v>
      </c>
      <c r="GN83">
        <f t="shared" si="99"/>
        <v>-5891</v>
      </c>
      <c r="GO83">
        <f t="shared" si="100"/>
        <v>0</v>
      </c>
      <c r="GP83">
        <f t="shared" si="101"/>
        <v>0</v>
      </c>
      <c r="GR83">
        <v>0</v>
      </c>
      <c r="GS83">
        <v>3</v>
      </c>
      <c r="GT83">
        <v>0</v>
      </c>
      <c r="GU83" t="s">
        <v>3</v>
      </c>
      <c r="GV83">
        <f t="shared" si="102"/>
        <v>0</v>
      </c>
      <c r="GW83">
        <v>1</v>
      </c>
      <c r="GX83">
        <f t="shared" si="103"/>
        <v>0</v>
      </c>
      <c r="HA83">
        <v>0</v>
      </c>
      <c r="HB83">
        <v>0</v>
      </c>
      <c r="HC83">
        <f t="shared" si="104"/>
        <v>0</v>
      </c>
      <c r="HE83" t="s">
        <v>3</v>
      </c>
      <c r="HF83" t="s">
        <v>3</v>
      </c>
      <c r="HM83" t="s">
        <v>3</v>
      </c>
      <c r="HN83" t="s">
        <v>3</v>
      </c>
      <c r="HO83" t="s">
        <v>3</v>
      </c>
      <c r="HP83" t="s">
        <v>3</v>
      </c>
      <c r="HQ83" t="s">
        <v>3</v>
      </c>
      <c r="IK83">
        <v>0</v>
      </c>
    </row>
    <row r="84" spans="1:245" x14ac:dyDescent="0.2">
      <c r="A84">
        <v>18</v>
      </c>
      <c r="B84">
        <v>1</v>
      </c>
      <c r="C84">
        <v>69</v>
      </c>
      <c r="E84" t="s">
        <v>186</v>
      </c>
      <c r="F84" t="s">
        <v>187</v>
      </c>
      <c r="G84" t="s">
        <v>188</v>
      </c>
      <c r="H84" t="s">
        <v>139</v>
      </c>
      <c r="I84">
        <f>I82*J84</f>
        <v>-4.1615000000000002</v>
      </c>
      <c r="J84">
        <v>-101.5</v>
      </c>
      <c r="K84">
        <v>-101.5</v>
      </c>
      <c r="O84">
        <f t="shared" si="70"/>
        <v>-25796</v>
      </c>
      <c r="P84">
        <f t="shared" si="71"/>
        <v>-25796</v>
      </c>
      <c r="Q84">
        <f t="shared" si="72"/>
        <v>0</v>
      </c>
      <c r="R84">
        <f t="shared" si="73"/>
        <v>0</v>
      </c>
      <c r="S84">
        <f t="shared" si="74"/>
        <v>0</v>
      </c>
      <c r="T84">
        <f t="shared" si="75"/>
        <v>0</v>
      </c>
      <c r="U84">
        <f t="shared" si="76"/>
        <v>0</v>
      </c>
      <c r="V84">
        <f t="shared" si="77"/>
        <v>0</v>
      </c>
      <c r="W84">
        <f t="shared" si="78"/>
        <v>0</v>
      </c>
      <c r="X84">
        <f t="shared" si="79"/>
        <v>0</v>
      </c>
      <c r="Y84">
        <f t="shared" si="80"/>
        <v>0</v>
      </c>
      <c r="AA84">
        <v>46416371</v>
      </c>
      <c r="AB84">
        <f t="shared" si="81"/>
        <v>747.74</v>
      </c>
      <c r="AC84">
        <f t="shared" si="82"/>
        <v>747.74</v>
      </c>
      <c r="AD84">
        <f>ROUND((((ET84)-(EU84))+AE84),6)</f>
        <v>0</v>
      </c>
      <c r="AE84">
        <f t="shared" si="105"/>
        <v>0</v>
      </c>
      <c r="AF84">
        <f t="shared" si="105"/>
        <v>0</v>
      </c>
      <c r="AG84">
        <f t="shared" si="83"/>
        <v>0</v>
      </c>
      <c r="AH84">
        <f t="shared" si="106"/>
        <v>0</v>
      </c>
      <c r="AI84">
        <f t="shared" si="106"/>
        <v>0</v>
      </c>
      <c r="AJ84">
        <f t="shared" si="84"/>
        <v>0</v>
      </c>
      <c r="AK84">
        <v>747.74</v>
      </c>
      <c r="AL84">
        <v>747.74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8.2899999999999991</v>
      </c>
      <c r="BD84" t="s">
        <v>3</v>
      </c>
      <c r="BE84" t="s">
        <v>3</v>
      </c>
      <c r="BF84" t="s">
        <v>3</v>
      </c>
      <c r="BG84" t="s">
        <v>3</v>
      </c>
      <c r="BH84">
        <v>3</v>
      </c>
      <c r="BI84">
        <v>1</v>
      </c>
      <c r="BJ84" t="s">
        <v>189</v>
      </c>
      <c r="BM84">
        <v>500001</v>
      </c>
      <c r="BN84">
        <v>0</v>
      </c>
      <c r="BO84" t="s">
        <v>3</v>
      </c>
      <c r="BP84">
        <v>0</v>
      </c>
      <c r="BQ84">
        <v>8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0</v>
      </c>
      <c r="CA84">
        <v>0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85"/>
        <v>-25796</v>
      </c>
      <c r="CQ84">
        <f t="shared" si="86"/>
        <v>6198.7645999999995</v>
      </c>
      <c r="CR84">
        <f t="shared" si="87"/>
        <v>0</v>
      </c>
      <c r="CS84">
        <f t="shared" si="88"/>
        <v>0</v>
      </c>
      <c r="CT84">
        <f t="shared" si="89"/>
        <v>0</v>
      </c>
      <c r="CU84">
        <f t="shared" si="90"/>
        <v>0</v>
      </c>
      <c r="CV84">
        <f t="shared" si="91"/>
        <v>0</v>
      </c>
      <c r="CW84">
        <f t="shared" si="92"/>
        <v>0</v>
      </c>
      <c r="CX84">
        <f t="shared" si="93"/>
        <v>0</v>
      </c>
      <c r="CY84">
        <f t="shared" si="94"/>
        <v>0</v>
      </c>
      <c r="CZ84">
        <f t="shared" si="95"/>
        <v>0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1007</v>
      </c>
      <c r="DV84" t="s">
        <v>139</v>
      </c>
      <c r="DW84" t="s">
        <v>139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42475842</v>
      </c>
      <c r="EF84">
        <v>8</v>
      </c>
      <c r="EG84" t="s">
        <v>141</v>
      </c>
      <c r="EH84">
        <v>0</v>
      </c>
      <c r="EI84" t="s">
        <v>3</v>
      </c>
      <c r="EJ84">
        <v>1</v>
      </c>
      <c r="EK84">
        <v>500001</v>
      </c>
      <c r="EL84" t="s">
        <v>142</v>
      </c>
      <c r="EM84" t="s">
        <v>143</v>
      </c>
      <c r="EO84" t="s">
        <v>3</v>
      </c>
      <c r="EQ84">
        <v>0</v>
      </c>
      <c r="ER84">
        <v>747.74</v>
      </c>
      <c r="ES84">
        <v>747.74</v>
      </c>
      <c r="ET84">
        <v>0</v>
      </c>
      <c r="EU84">
        <v>0</v>
      </c>
      <c r="EV84">
        <v>0</v>
      </c>
      <c r="EW84">
        <v>0</v>
      </c>
      <c r="EX84">
        <v>0</v>
      </c>
      <c r="FQ84">
        <v>0</v>
      </c>
      <c r="FR84">
        <f t="shared" si="96"/>
        <v>0</v>
      </c>
      <c r="FS84">
        <v>0</v>
      </c>
      <c r="FX84">
        <v>0</v>
      </c>
      <c r="FY84">
        <v>0</v>
      </c>
      <c r="GA84" t="s">
        <v>3</v>
      </c>
      <c r="GD84">
        <v>1</v>
      </c>
      <c r="GF84">
        <v>220986734</v>
      </c>
      <c r="GG84">
        <v>2</v>
      </c>
      <c r="GH84">
        <v>1</v>
      </c>
      <c r="GI84">
        <v>4</v>
      </c>
      <c r="GJ84">
        <v>0</v>
      </c>
      <c r="GK84">
        <v>0</v>
      </c>
      <c r="GL84">
        <f t="shared" si="97"/>
        <v>0</v>
      </c>
      <c r="GM84">
        <f t="shared" si="98"/>
        <v>-25796</v>
      </c>
      <c r="GN84">
        <f t="shared" si="99"/>
        <v>-25796</v>
      </c>
      <c r="GO84">
        <f t="shared" si="100"/>
        <v>0</v>
      </c>
      <c r="GP84">
        <f t="shared" si="101"/>
        <v>0</v>
      </c>
      <c r="GR84">
        <v>0</v>
      </c>
      <c r="GS84">
        <v>3</v>
      </c>
      <c r="GT84">
        <v>0</v>
      </c>
      <c r="GU84" t="s">
        <v>3</v>
      </c>
      <c r="GV84">
        <f t="shared" si="102"/>
        <v>0</v>
      </c>
      <c r="GW84">
        <v>1</v>
      </c>
      <c r="GX84">
        <f t="shared" si="103"/>
        <v>0</v>
      </c>
      <c r="HA84">
        <v>0</v>
      </c>
      <c r="HB84">
        <v>0</v>
      </c>
      <c r="HC84">
        <f t="shared" si="104"/>
        <v>0</v>
      </c>
      <c r="HE84" t="s">
        <v>3</v>
      </c>
      <c r="HF84" t="s">
        <v>3</v>
      </c>
      <c r="HM84" t="s">
        <v>3</v>
      </c>
      <c r="HN84" t="s">
        <v>3</v>
      </c>
      <c r="HO84" t="s">
        <v>3</v>
      </c>
      <c r="HP84" t="s">
        <v>3</v>
      </c>
      <c r="HQ84" t="s">
        <v>3</v>
      </c>
      <c r="IK84">
        <v>0</v>
      </c>
    </row>
    <row r="85" spans="1:245" x14ac:dyDescent="0.2">
      <c r="A85">
        <v>18</v>
      </c>
      <c r="B85">
        <v>1</v>
      </c>
      <c r="C85">
        <v>72</v>
      </c>
      <c r="E85" t="s">
        <v>190</v>
      </c>
      <c r="F85" t="s">
        <v>145</v>
      </c>
      <c r="G85" t="s">
        <v>191</v>
      </c>
      <c r="H85" t="s">
        <v>139</v>
      </c>
      <c r="I85">
        <f>I82*J85</f>
        <v>4.1615000000000002</v>
      </c>
      <c r="J85">
        <v>101.5</v>
      </c>
      <c r="K85">
        <v>101.5</v>
      </c>
      <c r="O85">
        <f t="shared" si="70"/>
        <v>37107</v>
      </c>
      <c r="P85">
        <f t="shared" si="71"/>
        <v>37107</v>
      </c>
      <c r="Q85">
        <f t="shared" si="72"/>
        <v>0</v>
      </c>
      <c r="R85">
        <f t="shared" si="73"/>
        <v>0</v>
      </c>
      <c r="S85">
        <f t="shared" si="74"/>
        <v>0</v>
      </c>
      <c r="T85">
        <f t="shared" si="75"/>
        <v>0</v>
      </c>
      <c r="U85">
        <f t="shared" si="76"/>
        <v>0</v>
      </c>
      <c r="V85">
        <f t="shared" si="77"/>
        <v>0</v>
      </c>
      <c r="W85">
        <f t="shared" si="78"/>
        <v>0</v>
      </c>
      <c r="X85">
        <f t="shared" si="79"/>
        <v>0</v>
      </c>
      <c r="Y85">
        <f t="shared" si="80"/>
        <v>0</v>
      </c>
      <c r="AA85">
        <v>46416371</v>
      </c>
      <c r="AB85">
        <f t="shared" si="81"/>
        <v>8916.67</v>
      </c>
      <c r="AC85">
        <f t="shared" si="82"/>
        <v>8916.67</v>
      </c>
      <c r="AD85">
        <f>ROUND((((ET85)-(EU85))+AE85),6)</f>
        <v>0</v>
      </c>
      <c r="AE85">
        <f t="shared" si="105"/>
        <v>0</v>
      </c>
      <c r="AF85">
        <f t="shared" si="105"/>
        <v>0</v>
      </c>
      <c r="AG85">
        <f t="shared" si="83"/>
        <v>0</v>
      </c>
      <c r="AH85">
        <f t="shared" si="106"/>
        <v>0</v>
      </c>
      <c r="AI85">
        <f t="shared" si="106"/>
        <v>0</v>
      </c>
      <c r="AJ85">
        <f t="shared" si="84"/>
        <v>0</v>
      </c>
      <c r="AK85">
        <v>8916.67</v>
      </c>
      <c r="AL85">
        <v>8916.67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1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4</v>
      </c>
      <c r="BJ85" t="s">
        <v>3</v>
      </c>
      <c r="BM85">
        <v>0</v>
      </c>
      <c r="BN85">
        <v>0</v>
      </c>
      <c r="BO85" t="s">
        <v>3</v>
      </c>
      <c r="BP85">
        <v>0</v>
      </c>
      <c r="BQ85">
        <v>16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0</v>
      </c>
      <c r="CA85">
        <v>0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85"/>
        <v>37107</v>
      </c>
      <c r="CQ85">
        <f t="shared" si="86"/>
        <v>8916.67</v>
      </c>
      <c r="CR85">
        <f t="shared" si="87"/>
        <v>0</v>
      </c>
      <c r="CS85">
        <f t="shared" si="88"/>
        <v>0</v>
      </c>
      <c r="CT85">
        <f t="shared" si="89"/>
        <v>0</v>
      </c>
      <c r="CU85">
        <f t="shared" si="90"/>
        <v>0</v>
      </c>
      <c r="CV85">
        <f t="shared" si="91"/>
        <v>0</v>
      </c>
      <c r="CW85">
        <f t="shared" si="92"/>
        <v>0</v>
      </c>
      <c r="CX85">
        <f t="shared" si="93"/>
        <v>0</v>
      </c>
      <c r="CY85">
        <f t="shared" si="94"/>
        <v>0</v>
      </c>
      <c r="CZ85">
        <f t="shared" si="95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1007</v>
      </c>
      <c r="DV85" t="s">
        <v>139</v>
      </c>
      <c r="DW85" t="s">
        <v>139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42475850</v>
      </c>
      <c r="EF85">
        <v>16</v>
      </c>
      <c r="EG85" t="s">
        <v>147</v>
      </c>
      <c r="EH85">
        <v>0</v>
      </c>
      <c r="EI85" t="s">
        <v>3</v>
      </c>
      <c r="EJ85">
        <v>4</v>
      </c>
      <c r="EK85">
        <v>0</v>
      </c>
      <c r="EL85" t="s">
        <v>148</v>
      </c>
      <c r="EM85" t="s">
        <v>149</v>
      </c>
      <c r="EO85" t="s">
        <v>3</v>
      </c>
      <c r="EQ85">
        <v>0</v>
      </c>
      <c r="ER85">
        <v>8916.67</v>
      </c>
      <c r="ES85">
        <v>8916.67</v>
      </c>
      <c r="ET85">
        <v>0</v>
      </c>
      <c r="EU85">
        <v>0</v>
      </c>
      <c r="EV85">
        <v>0</v>
      </c>
      <c r="EW85">
        <v>0</v>
      </c>
      <c r="EX85">
        <v>0</v>
      </c>
      <c r="EZ85">
        <v>5</v>
      </c>
      <c r="FC85">
        <v>1</v>
      </c>
      <c r="FD85">
        <v>18</v>
      </c>
      <c r="FF85">
        <v>10700</v>
      </c>
      <c r="FQ85">
        <v>0</v>
      </c>
      <c r="FR85">
        <f t="shared" si="96"/>
        <v>0</v>
      </c>
      <c r="FS85">
        <v>0</v>
      </c>
      <c r="FX85">
        <v>0</v>
      </c>
      <c r="FY85">
        <v>0</v>
      </c>
      <c r="GA85" t="s">
        <v>192</v>
      </c>
      <c r="GD85">
        <v>1</v>
      </c>
      <c r="GF85">
        <v>1314498646</v>
      </c>
      <c r="GG85">
        <v>2</v>
      </c>
      <c r="GH85">
        <v>3</v>
      </c>
      <c r="GI85">
        <v>4</v>
      </c>
      <c r="GJ85">
        <v>0</v>
      </c>
      <c r="GK85">
        <v>0</v>
      </c>
      <c r="GL85">
        <f t="shared" si="97"/>
        <v>0</v>
      </c>
      <c r="GM85">
        <f t="shared" si="98"/>
        <v>37107</v>
      </c>
      <c r="GN85">
        <f t="shared" si="99"/>
        <v>0</v>
      </c>
      <c r="GO85">
        <f t="shared" si="100"/>
        <v>0</v>
      </c>
      <c r="GP85">
        <f t="shared" si="101"/>
        <v>37107</v>
      </c>
      <c r="GR85">
        <v>1</v>
      </c>
      <c r="GS85">
        <v>1</v>
      </c>
      <c r="GT85">
        <v>0</v>
      </c>
      <c r="GU85" t="s">
        <v>3</v>
      </c>
      <c r="GV85">
        <f t="shared" si="102"/>
        <v>0</v>
      </c>
      <c r="GW85">
        <v>1</v>
      </c>
      <c r="GX85">
        <f t="shared" si="103"/>
        <v>0</v>
      </c>
      <c r="HA85">
        <v>0</v>
      </c>
      <c r="HB85">
        <v>0</v>
      </c>
      <c r="HC85">
        <f t="shared" si="104"/>
        <v>0</v>
      </c>
      <c r="HE85" t="s">
        <v>151</v>
      </c>
      <c r="HF85" t="s">
        <v>151</v>
      </c>
      <c r="HM85" t="s">
        <v>3</v>
      </c>
      <c r="HN85" t="s">
        <v>3</v>
      </c>
      <c r="HO85" t="s">
        <v>3</v>
      </c>
      <c r="HP85" t="s">
        <v>3</v>
      </c>
      <c r="HQ85" t="s">
        <v>3</v>
      </c>
      <c r="IK85">
        <v>0</v>
      </c>
    </row>
    <row r="86" spans="1:245" x14ac:dyDescent="0.2">
      <c r="A86">
        <v>18</v>
      </c>
      <c r="B86">
        <v>1</v>
      </c>
      <c r="C86">
        <v>73</v>
      </c>
      <c r="E86" t="s">
        <v>193</v>
      </c>
      <c r="F86" t="s">
        <v>145</v>
      </c>
      <c r="G86" t="s">
        <v>183</v>
      </c>
      <c r="H86" t="s">
        <v>184</v>
      </c>
      <c r="I86">
        <f>I82*J86</f>
        <v>0.43999999999999995</v>
      </c>
      <c r="J86">
        <v>10.73170731707317</v>
      </c>
      <c r="K86">
        <v>10.731707</v>
      </c>
      <c r="O86">
        <f t="shared" si="70"/>
        <v>26965</v>
      </c>
      <c r="P86">
        <f t="shared" si="71"/>
        <v>26965</v>
      </c>
      <c r="Q86">
        <f t="shared" si="72"/>
        <v>0</v>
      </c>
      <c r="R86">
        <f t="shared" si="73"/>
        <v>0</v>
      </c>
      <c r="S86">
        <f t="shared" si="74"/>
        <v>0</v>
      </c>
      <c r="T86">
        <f t="shared" si="75"/>
        <v>0</v>
      </c>
      <c r="U86">
        <f t="shared" si="76"/>
        <v>0</v>
      </c>
      <c r="V86">
        <f t="shared" si="77"/>
        <v>0</v>
      </c>
      <c r="W86">
        <f t="shared" si="78"/>
        <v>0</v>
      </c>
      <c r="X86">
        <f t="shared" si="79"/>
        <v>0</v>
      </c>
      <c r="Y86">
        <f t="shared" si="80"/>
        <v>0</v>
      </c>
      <c r="AA86">
        <v>46416371</v>
      </c>
      <c r="AB86">
        <f t="shared" si="81"/>
        <v>61285</v>
      </c>
      <c r="AC86">
        <f t="shared" si="82"/>
        <v>61285</v>
      </c>
      <c r="AD86">
        <f>ROUND((((ET86)-(EU86))+AE86),6)</f>
        <v>0</v>
      </c>
      <c r="AE86">
        <f t="shared" si="105"/>
        <v>0</v>
      </c>
      <c r="AF86">
        <f t="shared" si="105"/>
        <v>0</v>
      </c>
      <c r="AG86">
        <f t="shared" si="83"/>
        <v>0</v>
      </c>
      <c r="AH86">
        <f t="shared" si="106"/>
        <v>0</v>
      </c>
      <c r="AI86">
        <f t="shared" si="106"/>
        <v>0</v>
      </c>
      <c r="AJ86">
        <f t="shared" si="84"/>
        <v>0</v>
      </c>
      <c r="AK86">
        <v>61285</v>
      </c>
      <c r="AL86">
        <v>61285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1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4</v>
      </c>
      <c r="BJ86" t="s">
        <v>3</v>
      </c>
      <c r="BM86">
        <v>0</v>
      </c>
      <c r="BN86">
        <v>0</v>
      </c>
      <c r="BO86" t="s">
        <v>3</v>
      </c>
      <c r="BP86">
        <v>0</v>
      </c>
      <c r="BQ86">
        <v>16</v>
      </c>
      <c r="BR86">
        <v>0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0</v>
      </c>
      <c r="CA86">
        <v>0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85"/>
        <v>26965</v>
      </c>
      <c r="CQ86">
        <f t="shared" si="86"/>
        <v>61285</v>
      </c>
      <c r="CR86">
        <f t="shared" si="87"/>
        <v>0</v>
      </c>
      <c r="CS86">
        <f t="shared" si="88"/>
        <v>0</v>
      </c>
      <c r="CT86">
        <f t="shared" si="89"/>
        <v>0</v>
      </c>
      <c r="CU86">
        <f t="shared" si="90"/>
        <v>0</v>
      </c>
      <c r="CV86">
        <f t="shared" si="91"/>
        <v>0</v>
      </c>
      <c r="CW86">
        <f t="shared" si="92"/>
        <v>0</v>
      </c>
      <c r="CX86">
        <f t="shared" si="93"/>
        <v>0</v>
      </c>
      <c r="CY86">
        <f t="shared" si="94"/>
        <v>0</v>
      </c>
      <c r="CZ86">
        <f t="shared" si="95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1009</v>
      </c>
      <c r="DV86" t="s">
        <v>184</v>
      </c>
      <c r="DW86" t="s">
        <v>184</v>
      </c>
      <c r="DX86">
        <v>1000</v>
      </c>
      <c r="DZ86" t="s">
        <v>3</v>
      </c>
      <c r="EA86" t="s">
        <v>3</v>
      </c>
      <c r="EB86" t="s">
        <v>3</v>
      </c>
      <c r="EC86" t="s">
        <v>3</v>
      </c>
      <c r="EE86">
        <v>42475850</v>
      </c>
      <c r="EF86">
        <v>16</v>
      </c>
      <c r="EG86" t="s">
        <v>147</v>
      </c>
      <c r="EH86">
        <v>0</v>
      </c>
      <c r="EI86" t="s">
        <v>3</v>
      </c>
      <c r="EJ86">
        <v>4</v>
      </c>
      <c r="EK86">
        <v>0</v>
      </c>
      <c r="EL86" t="s">
        <v>148</v>
      </c>
      <c r="EM86" t="s">
        <v>149</v>
      </c>
      <c r="EO86" t="s">
        <v>3</v>
      </c>
      <c r="EQ86">
        <v>0</v>
      </c>
      <c r="ER86">
        <v>61285</v>
      </c>
      <c r="ES86">
        <v>61285</v>
      </c>
      <c r="ET86">
        <v>0</v>
      </c>
      <c r="EU86">
        <v>0</v>
      </c>
      <c r="EV86">
        <v>0</v>
      </c>
      <c r="EW86">
        <v>0</v>
      </c>
      <c r="EX86">
        <v>0</v>
      </c>
      <c r="EZ86">
        <v>5</v>
      </c>
      <c r="FC86">
        <v>1</v>
      </c>
      <c r="FD86">
        <v>18</v>
      </c>
      <c r="FF86">
        <v>70000</v>
      </c>
      <c r="FQ86">
        <v>0</v>
      </c>
      <c r="FR86">
        <f t="shared" si="96"/>
        <v>0</v>
      </c>
      <c r="FS86">
        <v>0</v>
      </c>
      <c r="FX86">
        <v>0</v>
      </c>
      <c r="FY86">
        <v>0</v>
      </c>
      <c r="GA86" t="s">
        <v>194</v>
      </c>
      <c r="GD86">
        <v>1</v>
      </c>
      <c r="GF86">
        <v>511527928</v>
      </c>
      <c r="GG86">
        <v>2</v>
      </c>
      <c r="GH86">
        <v>3</v>
      </c>
      <c r="GI86">
        <v>4</v>
      </c>
      <c r="GJ86">
        <v>0</v>
      </c>
      <c r="GK86">
        <v>0</v>
      </c>
      <c r="GL86">
        <f t="shared" si="97"/>
        <v>0</v>
      </c>
      <c r="GM86">
        <f t="shared" si="98"/>
        <v>26965</v>
      </c>
      <c r="GN86">
        <f t="shared" si="99"/>
        <v>0</v>
      </c>
      <c r="GO86">
        <f t="shared" si="100"/>
        <v>0</v>
      </c>
      <c r="GP86">
        <f t="shared" si="101"/>
        <v>26965</v>
      </c>
      <c r="GR86">
        <v>1</v>
      </c>
      <c r="GS86">
        <v>1</v>
      </c>
      <c r="GT86">
        <v>0</v>
      </c>
      <c r="GU86" t="s">
        <v>3</v>
      </c>
      <c r="GV86">
        <f t="shared" si="102"/>
        <v>0</v>
      </c>
      <c r="GW86">
        <v>1</v>
      </c>
      <c r="GX86">
        <f t="shared" si="103"/>
        <v>0</v>
      </c>
      <c r="HA86">
        <v>0</v>
      </c>
      <c r="HB86">
        <v>0</v>
      </c>
      <c r="HC86">
        <f t="shared" si="104"/>
        <v>0</v>
      </c>
      <c r="HE86" t="s">
        <v>56</v>
      </c>
      <c r="HF86" t="s">
        <v>26</v>
      </c>
      <c r="HM86" t="s">
        <v>3</v>
      </c>
      <c r="HN86" t="s">
        <v>3</v>
      </c>
      <c r="HO86" t="s">
        <v>3</v>
      </c>
      <c r="HP86" t="s">
        <v>3</v>
      </c>
      <c r="HQ86" t="s">
        <v>3</v>
      </c>
      <c r="IK86">
        <v>0</v>
      </c>
    </row>
    <row r="87" spans="1:245" x14ac:dyDescent="0.2">
      <c r="A87">
        <v>18</v>
      </c>
      <c r="B87">
        <v>1</v>
      </c>
      <c r="C87">
        <v>67</v>
      </c>
      <c r="E87" t="s">
        <v>195</v>
      </c>
      <c r="F87" t="s">
        <v>196</v>
      </c>
      <c r="G87" t="s">
        <v>197</v>
      </c>
      <c r="H87" t="s">
        <v>184</v>
      </c>
      <c r="I87">
        <f>I82*J87</f>
        <v>0.43999999999999995</v>
      </c>
      <c r="J87">
        <v>10.73170731707317</v>
      </c>
      <c r="K87">
        <v>10.731707</v>
      </c>
      <c r="O87">
        <f t="shared" si="70"/>
        <v>4962</v>
      </c>
      <c r="P87">
        <f t="shared" si="71"/>
        <v>4962</v>
      </c>
      <c r="Q87">
        <f t="shared" si="72"/>
        <v>0</v>
      </c>
      <c r="R87">
        <f t="shared" si="73"/>
        <v>0</v>
      </c>
      <c r="S87">
        <f t="shared" si="74"/>
        <v>0</v>
      </c>
      <c r="T87">
        <f t="shared" si="75"/>
        <v>0</v>
      </c>
      <c r="U87">
        <f t="shared" si="76"/>
        <v>0</v>
      </c>
      <c r="V87">
        <f t="shared" si="77"/>
        <v>0</v>
      </c>
      <c r="W87">
        <f t="shared" si="78"/>
        <v>0</v>
      </c>
      <c r="X87">
        <f t="shared" si="79"/>
        <v>0</v>
      </c>
      <c r="Y87">
        <f t="shared" si="80"/>
        <v>0</v>
      </c>
      <c r="AA87">
        <v>46416371</v>
      </c>
      <c r="AB87">
        <f t="shared" si="81"/>
        <v>1360.33</v>
      </c>
      <c r="AC87">
        <f t="shared" si="82"/>
        <v>1360.33</v>
      </c>
      <c r="AD87">
        <f>ROUND((((ET87)-(EU87))+AE87),6)</f>
        <v>0</v>
      </c>
      <c r="AE87">
        <f t="shared" si="105"/>
        <v>0</v>
      </c>
      <c r="AF87">
        <f t="shared" si="105"/>
        <v>0</v>
      </c>
      <c r="AG87">
        <f t="shared" si="83"/>
        <v>0</v>
      </c>
      <c r="AH87">
        <f t="shared" si="106"/>
        <v>0</v>
      </c>
      <c r="AI87">
        <f t="shared" si="106"/>
        <v>0</v>
      </c>
      <c r="AJ87">
        <f t="shared" si="84"/>
        <v>0</v>
      </c>
      <c r="AK87">
        <v>1360.33</v>
      </c>
      <c r="AL87">
        <v>1360.33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8.2899999999999991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1</v>
      </c>
      <c r="BJ87" t="s">
        <v>198</v>
      </c>
      <c r="BM87">
        <v>500001</v>
      </c>
      <c r="BN87">
        <v>0</v>
      </c>
      <c r="BO87" t="s">
        <v>3</v>
      </c>
      <c r="BP87">
        <v>0</v>
      </c>
      <c r="BQ87">
        <v>8</v>
      </c>
      <c r="BR87">
        <v>0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0</v>
      </c>
      <c r="CA87">
        <v>0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85"/>
        <v>4962</v>
      </c>
      <c r="CQ87">
        <f t="shared" si="86"/>
        <v>11277.135699999999</v>
      </c>
      <c r="CR87">
        <f t="shared" si="87"/>
        <v>0</v>
      </c>
      <c r="CS87">
        <f t="shared" si="88"/>
        <v>0</v>
      </c>
      <c r="CT87">
        <f t="shared" si="89"/>
        <v>0</v>
      </c>
      <c r="CU87">
        <f t="shared" si="90"/>
        <v>0</v>
      </c>
      <c r="CV87">
        <f t="shared" si="91"/>
        <v>0</v>
      </c>
      <c r="CW87">
        <f t="shared" si="92"/>
        <v>0</v>
      </c>
      <c r="CX87">
        <f t="shared" si="93"/>
        <v>0</v>
      </c>
      <c r="CY87">
        <f t="shared" si="94"/>
        <v>0</v>
      </c>
      <c r="CZ87">
        <f t="shared" si="95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1009</v>
      </c>
      <c r="DV87" t="s">
        <v>184</v>
      </c>
      <c r="DW87" t="s">
        <v>184</v>
      </c>
      <c r="DX87">
        <v>1000</v>
      </c>
      <c r="DZ87" t="s">
        <v>3</v>
      </c>
      <c r="EA87" t="s">
        <v>3</v>
      </c>
      <c r="EB87" t="s">
        <v>3</v>
      </c>
      <c r="EC87" t="s">
        <v>3</v>
      </c>
      <c r="EE87">
        <v>42475842</v>
      </c>
      <c r="EF87">
        <v>8</v>
      </c>
      <c r="EG87" t="s">
        <v>141</v>
      </c>
      <c r="EH87">
        <v>0</v>
      </c>
      <c r="EI87" t="s">
        <v>3</v>
      </c>
      <c r="EJ87">
        <v>1</v>
      </c>
      <c r="EK87">
        <v>500001</v>
      </c>
      <c r="EL87" t="s">
        <v>142</v>
      </c>
      <c r="EM87" t="s">
        <v>143</v>
      </c>
      <c r="EO87" t="s">
        <v>3</v>
      </c>
      <c r="EQ87">
        <v>0</v>
      </c>
      <c r="ER87">
        <v>1360.33</v>
      </c>
      <c r="ES87">
        <v>1360.33</v>
      </c>
      <c r="ET87">
        <v>0</v>
      </c>
      <c r="EU87">
        <v>0</v>
      </c>
      <c r="EV87">
        <v>0</v>
      </c>
      <c r="EW87">
        <v>0</v>
      </c>
      <c r="EX87">
        <v>0</v>
      </c>
      <c r="FQ87">
        <v>0</v>
      </c>
      <c r="FR87">
        <f t="shared" si="96"/>
        <v>0</v>
      </c>
      <c r="FS87">
        <v>0</v>
      </c>
      <c r="FX87">
        <v>0</v>
      </c>
      <c r="FY87">
        <v>0</v>
      </c>
      <c r="GA87" t="s">
        <v>3</v>
      </c>
      <c r="GD87">
        <v>1</v>
      </c>
      <c r="GF87">
        <v>-922995156</v>
      </c>
      <c r="GG87">
        <v>2</v>
      </c>
      <c r="GH87">
        <v>1</v>
      </c>
      <c r="GI87">
        <v>4</v>
      </c>
      <c r="GJ87">
        <v>0</v>
      </c>
      <c r="GK87">
        <v>0</v>
      </c>
      <c r="GL87">
        <f t="shared" si="97"/>
        <v>0</v>
      </c>
      <c r="GM87">
        <f t="shared" si="98"/>
        <v>4962</v>
      </c>
      <c r="GN87">
        <f t="shared" si="99"/>
        <v>4962</v>
      </c>
      <c r="GO87">
        <f t="shared" si="100"/>
        <v>0</v>
      </c>
      <c r="GP87">
        <f t="shared" si="101"/>
        <v>0</v>
      </c>
      <c r="GR87">
        <v>0</v>
      </c>
      <c r="GS87">
        <v>3</v>
      </c>
      <c r="GT87">
        <v>0</v>
      </c>
      <c r="GU87" t="s">
        <v>3</v>
      </c>
      <c r="GV87">
        <f t="shared" si="102"/>
        <v>0</v>
      </c>
      <c r="GW87">
        <v>1</v>
      </c>
      <c r="GX87">
        <f t="shared" si="103"/>
        <v>0</v>
      </c>
      <c r="HA87">
        <v>0</v>
      </c>
      <c r="HB87">
        <v>0</v>
      </c>
      <c r="HC87">
        <f t="shared" si="104"/>
        <v>0</v>
      </c>
      <c r="HE87" t="s">
        <v>3</v>
      </c>
      <c r="HF87" t="s">
        <v>3</v>
      </c>
      <c r="HM87" t="s">
        <v>3</v>
      </c>
      <c r="HN87" t="s">
        <v>3</v>
      </c>
      <c r="HO87" t="s">
        <v>3</v>
      </c>
      <c r="HP87" t="s">
        <v>3</v>
      </c>
      <c r="HQ87" t="s">
        <v>3</v>
      </c>
      <c r="IK87">
        <v>0</v>
      </c>
    </row>
    <row r="89" spans="1:245" x14ac:dyDescent="0.2">
      <c r="A89" s="2">
        <v>51</v>
      </c>
      <c r="B89" s="2">
        <f>B71</f>
        <v>1</v>
      </c>
      <c r="C89" s="2">
        <f>A71</f>
        <v>5</v>
      </c>
      <c r="D89" s="2">
        <f>ROW(A71)</f>
        <v>71</v>
      </c>
      <c r="E89" s="2"/>
      <c r="F89" s="2" t="str">
        <f>IF(F71&lt;&gt;"",F71,"")</f>
        <v>Новый подраздел</v>
      </c>
      <c r="G89" s="2" t="str">
        <f>IF(G71&lt;&gt;"",G71,"")</f>
        <v>Участок ТИП1</v>
      </c>
      <c r="H89" s="2">
        <v>0</v>
      </c>
      <c r="I89" s="2"/>
      <c r="J89" s="2"/>
      <c r="K89" s="2"/>
      <c r="L89" s="2"/>
      <c r="M89" s="2"/>
      <c r="N89" s="2"/>
      <c r="O89" s="2">
        <f t="shared" ref="O89:T89" si="107">ROUND(AB89,0)</f>
        <v>99444</v>
      </c>
      <c r="P89" s="2">
        <f t="shared" si="107"/>
        <v>79701</v>
      </c>
      <c r="Q89" s="2">
        <f t="shared" si="107"/>
        <v>4819</v>
      </c>
      <c r="R89" s="2">
        <f t="shared" si="107"/>
        <v>1146</v>
      </c>
      <c r="S89" s="2">
        <f t="shared" si="107"/>
        <v>14924</v>
      </c>
      <c r="T89" s="2">
        <f t="shared" si="107"/>
        <v>0</v>
      </c>
      <c r="U89" s="2">
        <f>AH89</f>
        <v>53.323604799999991</v>
      </c>
      <c r="V89" s="2">
        <f>AI89</f>
        <v>3.1553556249999994</v>
      </c>
      <c r="W89" s="2">
        <f>ROUND(AJ89,0)</f>
        <v>0</v>
      </c>
      <c r="X89" s="2">
        <f>ROUND(AK89,0)</f>
        <v>19689</v>
      </c>
      <c r="Y89" s="2">
        <f>ROUND(AL89,0)</f>
        <v>12311</v>
      </c>
      <c r="Z89" s="2"/>
      <c r="AA89" s="2"/>
      <c r="AB89" s="2">
        <f>ROUND(SUMIF(AA75:AA87,"=46416371",O75:O87),0)</f>
        <v>99444</v>
      </c>
      <c r="AC89" s="2">
        <f>ROUND(SUMIF(AA75:AA87,"=46416371",P75:P87),0)</f>
        <v>79701</v>
      </c>
      <c r="AD89" s="2">
        <f>ROUND(SUMIF(AA75:AA87,"=46416371",Q75:Q87),0)</f>
        <v>4819</v>
      </c>
      <c r="AE89" s="2">
        <f>ROUND(SUMIF(AA75:AA87,"=46416371",R75:R87),0)</f>
        <v>1146</v>
      </c>
      <c r="AF89" s="2">
        <f>ROUND(SUMIF(AA75:AA87,"=46416371",S75:S87),0)</f>
        <v>14924</v>
      </c>
      <c r="AG89" s="2">
        <f>ROUND(SUMIF(AA75:AA87,"=46416371",T75:T87),0)</f>
        <v>0</v>
      </c>
      <c r="AH89" s="2">
        <f>SUMIF(AA75:AA87,"=46416371",U75:U87)</f>
        <v>53.323604799999991</v>
      </c>
      <c r="AI89" s="2">
        <f>SUMIF(AA75:AA87,"=46416371",V75:V87)</f>
        <v>3.1553556249999994</v>
      </c>
      <c r="AJ89" s="2">
        <f>ROUND(SUMIF(AA75:AA87,"=46416371",W75:W87),0)</f>
        <v>0</v>
      </c>
      <c r="AK89" s="2">
        <f>ROUND(SUMIF(AA75:AA87,"=46416371",X75:X87),0)</f>
        <v>19689</v>
      </c>
      <c r="AL89" s="2">
        <f>ROUND(SUMIF(AA75:AA87,"=46416371",Y75:Y87),0)</f>
        <v>12311</v>
      </c>
      <c r="AM89" s="2"/>
      <c r="AN89" s="2"/>
      <c r="AO89" s="2">
        <f t="shared" ref="AO89:BD89" si="108">ROUND(BX89,0)</f>
        <v>0</v>
      </c>
      <c r="AP89" s="2">
        <f t="shared" si="108"/>
        <v>0</v>
      </c>
      <c r="AQ89" s="2">
        <f t="shared" si="108"/>
        <v>0</v>
      </c>
      <c r="AR89" s="2">
        <f t="shared" si="108"/>
        <v>131444</v>
      </c>
      <c r="AS89" s="2">
        <f t="shared" si="108"/>
        <v>61272</v>
      </c>
      <c r="AT89" s="2">
        <f t="shared" si="108"/>
        <v>0</v>
      </c>
      <c r="AU89" s="2">
        <f t="shared" si="108"/>
        <v>70172</v>
      </c>
      <c r="AV89" s="2">
        <f t="shared" si="108"/>
        <v>79701</v>
      </c>
      <c r="AW89" s="2">
        <f t="shared" si="108"/>
        <v>79701</v>
      </c>
      <c r="AX89" s="2">
        <f t="shared" si="108"/>
        <v>0</v>
      </c>
      <c r="AY89" s="2">
        <f t="shared" si="108"/>
        <v>79701</v>
      </c>
      <c r="AZ89" s="2">
        <f t="shared" si="108"/>
        <v>0</v>
      </c>
      <c r="BA89" s="2">
        <f t="shared" si="108"/>
        <v>0</v>
      </c>
      <c r="BB89" s="2">
        <f t="shared" si="108"/>
        <v>0</v>
      </c>
      <c r="BC89" s="2">
        <f t="shared" si="108"/>
        <v>0</v>
      </c>
      <c r="BD89" s="2">
        <f t="shared" si="108"/>
        <v>0</v>
      </c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>
        <f>ROUND(SUMIF(AA75:AA87,"=46416371",FQ75:FQ87),0)</f>
        <v>0</v>
      </c>
      <c r="BY89" s="2">
        <f>ROUND(SUMIF(AA75:AA87,"=46416371",FR75:FR87),0)</f>
        <v>0</v>
      </c>
      <c r="BZ89" s="2">
        <f>ROUND(SUMIF(AA75:AA87,"=46416371",GL75:GL87),0)</f>
        <v>0</v>
      </c>
      <c r="CA89" s="2">
        <f>ROUND(SUMIF(AA75:AA87,"=46416371",GM75:GM87),0)</f>
        <v>131444</v>
      </c>
      <c r="CB89" s="2">
        <f>ROUND(SUMIF(AA75:AA87,"=46416371",GN75:GN87),0)</f>
        <v>61272</v>
      </c>
      <c r="CC89" s="2">
        <f>ROUND(SUMIF(AA75:AA87,"=46416371",GO75:GO87),0)</f>
        <v>0</v>
      </c>
      <c r="CD89" s="2">
        <f>ROUND(SUMIF(AA75:AA87,"=46416371",GP75:GP87),0)</f>
        <v>70172</v>
      </c>
      <c r="CE89" s="2">
        <f>AC89-BX89</f>
        <v>79701</v>
      </c>
      <c r="CF89" s="2">
        <f>AC89-BY89</f>
        <v>79701</v>
      </c>
      <c r="CG89" s="2">
        <f>BX89-BZ89</f>
        <v>0</v>
      </c>
      <c r="CH89" s="2">
        <f>AC89-BX89-BY89+BZ89</f>
        <v>79701</v>
      </c>
      <c r="CI89" s="2">
        <f>BY89-BZ89</f>
        <v>0</v>
      </c>
      <c r="CJ89" s="2">
        <f>ROUND(SUMIF(AA75:AA87,"=46416371",GX75:GX87),0)</f>
        <v>0</v>
      </c>
      <c r="CK89" s="2">
        <f>ROUND(SUMIF(AA75:AA87,"=46416371",GY75:GY87),0)</f>
        <v>0</v>
      </c>
      <c r="CL89" s="2">
        <f>ROUND(SUMIF(AA75:AA87,"=46416371",GZ75:GZ87),0)</f>
        <v>0</v>
      </c>
      <c r="CM89" s="2">
        <f>ROUND(SUMIF(AA75:AA87,"=46416371",HD75:HD87),0)</f>
        <v>0</v>
      </c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>
        <v>0</v>
      </c>
    </row>
    <row r="91" spans="1:245" x14ac:dyDescent="0.2">
      <c r="A91" s="4">
        <v>50</v>
      </c>
      <c r="B91" s="4">
        <v>0</v>
      </c>
      <c r="C91" s="4">
        <v>0</v>
      </c>
      <c r="D91" s="4">
        <v>1</v>
      </c>
      <c r="E91" s="4">
        <v>201</v>
      </c>
      <c r="F91" s="4">
        <f>ROUND(Source!O89,O91)</f>
        <v>99444</v>
      </c>
      <c r="G91" s="4" t="s">
        <v>68</v>
      </c>
      <c r="H91" s="4" t="s">
        <v>69</v>
      </c>
      <c r="I91" s="4"/>
      <c r="J91" s="4"/>
      <c r="K91" s="4">
        <v>201</v>
      </c>
      <c r="L91" s="4">
        <v>1</v>
      </c>
      <c r="M91" s="4">
        <v>3</v>
      </c>
      <c r="N91" s="4" t="s">
        <v>3</v>
      </c>
      <c r="O91" s="4">
        <v>0</v>
      </c>
      <c r="P91" s="4"/>
      <c r="Q91" s="4"/>
      <c r="R91" s="4"/>
      <c r="S91" s="4"/>
      <c r="T91" s="4"/>
      <c r="U91" s="4"/>
      <c r="V91" s="4"/>
      <c r="W91" s="4">
        <v>100039</v>
      </c>
      <c r="X91" s="4">
        <v>1</v>
      </c>
      <c r="Y91" s="4">
        <v>100039</v>
      </c>
      <c r="Z91" s="4"/>
      <c r="AA91" s="4"/>
      <c r="AB91" s="4"/>
    </row>
    <row r="92" spans="1:245" x14ac:dyDescent="0.2">
      <c r="A92" s="4">
        <v>50</v>
      </c>
      <c r="B92" s="4">
        <v>0</v>
      </c>
      <c r="C92" s="4">
        <v>0</v>
      </c>
      <c r="D92" s="4">
        <v>1</v>
      </c>
      <c r="E92" s="4">
        <v>202</v>
      </c>
      <c r="F92" s="4">
        <f>ROUND(Source!P89,O92)</f>
        <v>79701</v>
      </c>
      <c r="G92" s="4" t="s">
        <v>70</v>
      </c>
      <c r="H92" s="4" t="s">
        <v>71</v>
      </c>
      <c r="I92" s="4"/>
      <c r="J92" s="4"/>
      <c r="K92" s="4">
        <v>202</v>
      </c>
      <c r="L92" s="4">
        <v>2</v>
      </c>
      <c r="M92" s="4">
        <v>3</v>
      </c>
      <c r="N92" s="4" t="s">
        <v>3</v>
      </c>
      <c r="O92" s="4">
        <v>0</v>
      </c>
      <c r="P92" s="4"/>
      <c r="Q92" s="4"/>
      <c r="R92" s="4"/>
      <c r="S92" s="4"/>
      <c r="T92" s="4"/>
      <c r="U92" s="4"/>
      <c r="V92" s="4"/>
      <c r="W92" s="4">
        <v>79701</v>
      </c>
      <c r="X92" s="4">
        <v>1</v>
      </c>
      <c r="Y92" s="4">
        <v>79701</v>
      </c>
      <c r="Z92" s="4"/>
      <c r="AA92" s="4"/>
      <c r="AB92" s="4"/>
    </row>
    <row r="93" spans="1:245" x14ac:dyDescent="0.2">
      <c r="A93" s="4">
        <v>50</v>
      </c>
      <c r="B93" s="4">
        <v>0</v>
      </c>
      <c r="C93" s="4">
        <v>0</v>
      </c>
      <c r="D93" s="4">
        <v>1</v>
      </c>
      <c r="E93" s="4">
        <v>222</v>
      </c>
      <c r="F93" s="4">
        <f>ROUND(Source!AO89,O93)</f>
        <v>0</v>
      </c>
      <c r="G93" s="4" t="s">
        <v>72</v>
      </c>
      <c r="H93" s="4" t="s">
        <v>73</v>
      </c>
      <c r="I93" s="4"/>
      <c r="J93" s="4"/>
      <c r="K93" s="4">
        <v>222</v>
      </c>
      <c r="L93" s="4">
        <v>3</v>
      </c>
      <c r="M93" s="4">
        <v>3</v>
      </c>
      <c r="N93" s="4" t="s">
        <v>3</v>
      </c>
      <c r="O93" s="4">
        <v>0</v>
      </c>
      <c r="P93" s="4"/>
      <c r="Q93" s="4"/>
      <c r="R93" s="4"/>
      <c r="S93" s="4"/>
      <c r="T93" s="4"/>
      <c r="U93" s="4"/>
      <c r="V93" s="4"/>
      <c r="W93" s="4">
        <v>0</v>
      </c>
      <c r="X93" s="4">
        <v>1</v>
      </c>
      <c r="Y93" s="4">
        <v>0</v>
      </c>
      <c r="Z93" s="4"/>
      <c r="AA93" s="4"/>
      <c r="AB93" s="4"/>
    </row>
    <row r="94" spans="1:245" x14ac:dyDescent="0.2">
      <c r="A94" s="4">
        <v>50</v>
      </c>
      <c r="B94" s="4">
        <v>0</v>
      </c>
      <c r="C94" s="4">
        <v>0</v>
      </c>
      <c r="D94" s="4">
        <v>1</v>
      </c>
      <c r="E94" s="4">
        <v>225</v>
      </c>
      <c r="F94" s="4">
        <f>ROUND(Source!AV89,O94)</f>
        <v>79701</v>
      </c>
      <c r="G94" s="4" t="s">
        <v>74</v>
      </c>
      <c r="H94" s="4" t="s">
        <v>75</v>
      </c>
      <c r="I94" s="4"/>
      <c r="J94" s="4"/>
      <c r="K94" s="4">
        <v>225</v>
      </c>
      <c r="L94" s="4">
        <v>4</v>
      </c>
      <c r="M94" s="4">
        <v>3</v>
      </c>
      <c r="N94" s="4" t="s">
        <v>3</v>
      </c>
      <c r="O94" s="4">
        <v>0</v>
      </c>
      <c r="P94" s="4"/>
      <c r="Q94" s="4"/>
      <c r="R94" s="4"/>
      <c r="S94" s="4"/>
      <c r="T94" s="4"/>
      <c r="U94" s="4"/>
      <c r="V94" s="4"/>
      <c r="W94" s="4">
        <v>79701</v>
      </c>
      <c r="X94" s="4">
        <v>1</v>
      </c>
      <c r="Y94" s="4">
        <v>79701</v>
      </c>
      <c r="Z94" s="4"/>
      <c r="AA94" s="4"/>
      <c r="AB94" s="4"/>
    </row>
    <row r="95" spans="1:245" x14ac:dyDescent="0.2">
      <c r="A95" s="4">
        <v>50</v>
      </c>
      <c r="B95" s="4">
        <v>0</v>
      </c>
      <c r="C95" s="4">
        <v>0</v>
      </c>
      <c r="D95" s="4">
        <v>1</v>
      </c>
      <c r="E95" s="4">
        <v>226</v>
      </c>
      <c r="F95" s="4">
        <f>ROUND(Source!AW89,O95)</f>
        <v>79701</v>
      </c>
      <c r="G95" s="4" t="s">
        <v>76</v>
      </c>
      <c r="H95" s="4" t="s">
        <v>77</v>
      </c>
      <c r="I95" s="4"/>
      <c r="J95" s="4"/>
      <c r="K95" s="4">
        <v>226</v>
      </c>
      <c r="L95" s="4">
        <v>5</v>
      </c>
      <c r="M95" s="4">
        <v>3</v>
      </c>
      <c r="N95" s="4" t="s">
        <v>3</v>
      </c>
      <c r="O95" s="4">
        <v>0</v>
      </c>
      <c r="P95" s="4"/>
      <c r="Q95" s="4"/>
      <c r="R95" s="4"/>
      <c r="S95" s="4"/>
      <c r="T95" s="4"/>
      <c r="U95" s="4"/>
      <c r="V95" s="4"/>
      <c r="W95" s="4">
        <v>79701</v>
      </c>
      <c r="X95" s="4">
        <v>1</v>
      </c>
      <c r="Y95" s="4">
        <v>79701</v>
      </c>
      <c r="Z95" s="4"/>
      <c r="AA95" s="4"/>
      <c r="AB95" s="4"/>
    </row>
    <row r="96" spans="1:245" x14ac:dyDescent="0.2">
      <c r="A96" s="4">
        <v>50</v>
      </c>
      <c r="B96" s="4">
        <v>0</v>
      </c>
      <c r="C96" s="4">
        <v>0</v>
      </c>
      <c r="D96" s="4">
        <v>1</v>
      </c>
      <c r="E96" s="4">
        <v>227</v>
      </c>
      <c r="F96" s="4">
        <f>ROUND(Source!AX89,O96)</f>
        <v>0</v>
      </c>
      <c r="G96" s="4" t="s">
        <v>78</v>
      </c>
      <c r="H96" s="4" t="s">
        <v>79</v>
      </c>
      <c r="I96" s="4"/>
      <c r="J96" s="4"/>
      <c r="K96" s="4">
        <v>227</v>
      </c>
      <c r="L96" s="4">
        <v>6</v>
      </c>
      <c r="M96" s="4">
        <v>3</v>
      </c>
      <c r="N96" s="4" t="s">
        <v>3</v>
      </c>
      <c r="O96" s="4">
        <v>0</v>
      </c>
      <c r="P96" s="4"/>
      <c r="Q96" s="4"/>
      <c r="R96" s="4"/>
      <c r="S96" s="4"/>
      <c r="T96" s="4"/>
      <c r="U96" s="4"/>
      <c r="V96" s="4"/>
      <c r="W96" s="4">
        <v>0</v>
      </c>
      <c r="X96" s="4">
        <v>1</v>
      </c>
      <c r="Y96" s="4">
        <v>0</v>
      </c>
      <c r="Z96" s="4"/>
      <c r="AA96" s="4"/>
      <c r="AB96" s="4"/>
    </row>
    <row r="97" spans="1:28" x14ac:dyDescent="0.2">
      <c r="A97" s="4">
        <v>50</v>
      </c>
      <c r="B97" s="4">
        <v>0</v>
      </c>
      <c r="C97" s="4">
        <v>0</v>
      </c>
      <c r="D97" s="4">
        <v>1</v>
      </c>
      <c r="E97" s="4">
        <v>228</v>
      </c>
      <c r="F97" s="4">
        <f>ROUND(Source!AY89,O97)</f>
        <v>79701</v>
      </c>
      <c r="G97" s="4" t="s">
        <v>80</v>
      </c>
      <c r="H97" s="4" t="s">
        <v>81</v>
      </c>
      <c r="I97" s="4"/>
      <c r="J97" s="4"/>
      <c r="K97" s="4">
        <v>228</v>
      </c>
      <c r="L97" s="4">
        <v>7</v>
      </c>
      <c r="M97" s="4">
        <v>3</v>
      </c>
      <c r="N97" s="4" t="s">
        <v>3</v>
      </c>
      <c r="O97" s="4">
        <v>0</v>
      </c>
      <c r="P97" s="4"/>
      <c r="Q97" s="4"/>
      <c r="R97" s="4"/>
      <c r="S97" s="4"/>
      <c r="T97" s="4"/>
      <c r="U97" s="4"/>
      <c r="V97" s="4"/>
      <c r="W97" s="4">
        <v>79701</v>
      </c>
      <c r="X97" s="4">
        <v>1</v>
      </c>
      <c r="Y97" s="4">
        <v>79701</v>
      </c>
      <c r="Z97" s="4"/>
      <c r="AA97" s="4"/>
      <c r="AB97" s="4"/>
    </row>
    <row r="98" spans="1:28" x14ac:dyDescent="0.2">
      <c r="A98" s="4">
        <v>50</v>
      </c>
      <c r="B98" s="4">
        <v>0</v>
      </c>
      <c r="C98" s="4">
        <v>0</v>
      </c>
      <c r="D98" s="4">
        <v>1</v>
      </c>
      <c r="E98" s="4">
        <v>216</v>
      </c>
      <c r="F98" s="4">
        <f>ROUND(Source!AP89,O98)</f>
        <v>0</v>
      </c>
      <c r="G98" s="4" t="s">
        <v>82</v>
      </c>
      <c r="H98" s="4" t="s">
        <v>83</v>
      </c>
      <c r="I98" s="4"/>
      <c r="J98" s="4"/>
      <c r="K98" s="4">
        <v>216</v>
      </c>
      <c r="L98" s="4">
        <v>8</v>
      </c>
      <c r="M98" s="4">
        <v>3</v>
      </c>
      <c r="N98" s="4" t="s">
        <v>3</v>
      </c>
      <c r="O98" s="4">
        <v>0</v>
      </c>
      <c r="P98" s="4"/>
      <c r="Q98" s="4"/>
      <c r="R98" s="4"/>
      <c r="S98" s="4"/>
      <c r="T98" s="4"/>
      <c r="U98" s="4"/>
      <c r="V98" s="4"/>
      <c r="W98" s="4">
        <v>0</v>
      </c>
      <c r="X98" s="4">
        <v>1</v>
      </c>
      <c r="Y98" s="4">
        <v>0</v>
      </c>
      <c r="Z98" s="4"/>
      <c r="AA98" s="4"/>
      <c r="AB98" s="4"/>
    </row>
    <row r="99" spans="1:28" x14ac:dyDescent="0.2">
      <c r="A99" s="4">
        <v>50</v>
      </c>
      <c r="B99" s="4">
        <v>0</v>
      </c>
      <c r="C99" s="4">
        <v>0</v>
      </c>
      <c r="D99" s="4">
        <v>1</v>
      </c>
      <c r="E99" s="4">
        <v>223</v>
      </c>
      <c r="F99" s="4">
        <f>ROUND(Source!AQ89,O99)</f>
        <v>0</v>
      </c>
      <c r="G99" s="4" t="s">
        <v>84</v>
      </c>
      <c r="H99" s="4" t="s">
        <v>85</v>
      </c>
      <c r="I99" s="4"/>
      <c r="J99" s="4"/>
      <c r="K99" s="4">
        <v>223</v>
      </c>
      <c r="L99" s="4">
        <v>9</v>
      </c>
      <c r="M99" s="4">
        <v>3</v>
      </c>
      <c r="N99" s="4" t="s">
        <v>3</v>
      </c>
      <c r="O99" s="4">
        <v>0</v>
      </c>
      <c r="P99" s="4"/>
      <c r="Q99" s="4"/>
      <c r="R99" s="4"/>
      <c r="S99" s="4"/>
      <c r="T99" s="4"/>
      <c r="U99" s="4"/>
      <c r="V99" s="4"/>
      <c r="W99" s="4">
        <v>0</v>
      </c>
      <c r="X99" s="4">
        <v>1</v>
      </c>
      <c r="Y99" s="4">
        <v>0</v>
      </c>
      <c r="Z99" s="4"/>
      <c r="AA99" s="4"/>
      <c r="AB99" s="4"/>
    </row>
    <row r="100" spans="1:28" x14ac:dyDescent="0.2">
      <c r="A100" s="4">
        <v>50</v>
      </c>
      <c r="B100" s="4">
        <v>0</v>
      </c>
      <c r="C100" s="4">
        <v>0</v>
      </c>
      <c r="D100" s="4">
        <v>1</v>
      </c>
      <c r="E100" s="4">
        <v>229</v>
      </c>
      <c r="F100" s="4">
        <f>ROUND(Source!AZ89,O100)</f>
        <v>0</v>
      </c>
      <c r="G100" s="4" t="s">
        <v>86</v>
      </c>
      <c r="H100" s="4" t="s">
        <v>87</v>
      </c>
      <c r="I100" s="4"/>
      <c r="J100" s="4"/>
      <c r="K100" s="4">
        <v>229</v>
      </c>
      <c r="L100" s="4">
        <v>10</v>
      </c>
      <c r="M100" s="4">
        <v>3</v>
      </c>
      <c r="N100" s="4" t="s">
        <v>3</v>
      </c>
      <c r="O100" s="4">
        <v>0</v>
      </c>
      <c r="P100" s="4"/>
      <c r="Q100" s="4"/>
      <c r="R100" s="4"/>
      <c r="S100" s="4"/>
      <c r="T100" s="4"/>
      <c r="U100" s="4"/>
      <c r="V100" s="4"/>
      <c r="W100" s="4">
        <v>0</v>
      </c>
      <c r="X100" s="4">
        <v>1</v>
      </c>
      <c r="Y100" s="4">
        <v>0</v>
      </c>
      <c r="Z100" s="4"/>
      <c r="AA100" s="4"/>
      <c r="AB100" s="4"/>
    </row>
    <row r="101" spans="1:28" x14ac:dyDescent="0.2">
      <c r="A101" s="4">
        <v>50</v>
      </c>
      <c r="B101" s="4">
        <v>0</v>
      </c>
      <c r="C101" s="4">
        <v>0</v>
      </c>
      <c r="D101" s="4">
        <v>1</v>
      </c>
      <c r="E101" s="4">
        <v>203</v>
      </c>
      <c r="F101" s="4">
        <f>ROUND(Source!Q89,O101)</f>
        <v>4819</v>
      </c>
      <c r="G101" s="4" t="s">
        <v>88</v>
      </c>
      <c r="H101" s="4" t="s">
        <v>89</v>
      </c>
      <c r="I101" s="4"/>
      <c r="J101" s="4"/>
      <c r="K101" s="4">
        <v>203</v>
      </c>
      <c r="L101" s="4">
        <v>11</v>
      </c>
      <c r="M101" s="4">
        <v>3</v>
      </c>
      <c r="N101" s="4" t="s">
        <v>3</v>
      </c>
      <c r="O101" s="4">
        <v>0</v>
      </c>
      <c r="P101" s="4"/>
      <c r="Q101" s="4"/>
      <c r="R101" s="4"/>
      <c r="S101" s="4"/>
      <c r="T101" s="4"/>
      <c r="U101" s="4"/>
      <c r="V101" s="4"/>
      <c r="W101" s="4">
        <v>5088</v>
      </c>
      <c r="X101" s="4">
        <v>1</v>
      </c>
      <c r="Y101" s="4">
        <v>5088</v>
      </c>
      <c r="Z101" s="4"/>
      <c r="AA101" s="4"/>
      <c r="AB101" s="4"/>
    </row>
    <row r="102" spans="1:28" x14ac:dyDescent="0.2">
      <c r="A102" s="4">
        <v>50</v>
      </c>
      <c r="B102" s="4">
        <v>0</v>
      </c>
      <c r="C102" s="4">
        <v>0</v>
      </c>
      <c r="D102" s="4">
        <v>1</v>
      </c>
      <c r="E102" s="4">
        <v>231</v>
      </c>
      <c r="F102" s="4">
        <f>ROUND(Source!BB89,O102)</f>
        <v>0</v>
      </c>
      <c r="G102" s="4" t="s">
        <v>90</v>
      </c>
      <c r="H102" s="4" t="s">
        <v>91</v>
      </c>
      <c r="I102" s="4"/>
      <c r="J102" s="4"/>
      <c r="K102" s="4">
        <v>231</v>
      </c>
      <c r="L102" s="4">
        <v>12</v>
      </c>
      <c r="M102" s="4">
        <v>3</v>
      </c>
      <c r="N102" s="4" t="s">
        <v>3</v>
      </c>
      <c r="O102" s="4">
        <v>0</v>
      </c>
      <c r="P102" s="4"/>
      <c r="Q102" s="4"/>
      <c r="R102" s="4"/>
      <c r="S102" s="4"/>
      <c r="T102" s="4"/>
      <c r="U102" s="4"/>
      <c r="V102" s="4"/>
      <c r="W102" s="4">
        <v>0</v>
      </c>
      <c r="X102" s="4">
        <v>1</v>
      </c>
      <c r="Y102" s="4">
        <v>0</v>
      </c>
      <c r="Z102" s="4"/>
      <c r="AA102" s="4"/>
      <c r="AB102" s="4"/>
    </row>
    <row r="103" spans="1:28" x14ac:dyDescent="0.2">
      <c r="A103" s="4">
        <v>50</v>
      </c>
      <c r="B103" s="4">
        <v>0</v>
      </c>
      <c r="C103" s="4">
        <v>0</v>
      </c>
      <c r="D103" s="4">
        <v>1</v>
      </c>
      <c r="E103" s="4">
        <v>204</v>
      </c>
      <c r="F103" s="4">
        <f>ROUND(Source!R89,O103)</f>
        <v>1146</v>
      </c>
      <c r="G103" s="4" t="s">
        <v>92</v>
      </c>
      <c r="H103" s="4" t="s">
        <v>93</v>
      </c>
      <c r="I103" s="4"/>
      <c r="J103" s="4"/>
      <c r="K103" s="4">
        <v>204</v>
      </c>
      <c r="L103" s="4">
        <v>13</v>
      </c>
      <c r="M103" s="4">
        <v>3</v>
      </c>
      <c r="N103" s="4" t="s">
        <v>3</v>
      </c>
      <c r="O103" s="4">
        <v>0</v>
      </c>
      <c r="P103" s="4"/>
      <c r="Q103" s="4"/>
      <c r="R103" s="4"/>
      <c r="S103" s="4"/>
      <c r="T103" s="4"/>
      <c r="U103" s="4"/>
      <c r="V103" s="4"/>
      <c r="W103" s="4">
        <v>1211</v>
      </c>
      <c r="X103" s="4">
        <v>1</v>
      </c>
      <c r="Y103" s="4">
        <v>1211</v>
      </c>
      <c r="Z103" s="4"/>
      <c r="AA103" s="4"/>
      <c r="AB103" s="4"/>
    </row>
    <row r="104" spans="1:28" x14ac:dyDescent="0.2">
      <c r="A104" s="4">
        <v>50</v>
      </c>
      <c r="B104" s="4">
        <v>0</v>
      </c>
      <c r="C104" s="4">
        <v>0</v>
      </c>
      <c r="D104" s="4">
        <v>1</v>
      </c>
      <c r="E104" s="4">
        <v>205</v>
      </c>
      <c r="F104" s="4">
        <f>ROUND(Source!S89,O104)</f>
        <v>14924</v>
      </c>
      <c r="G104" s="4" t="s">
        <v>94</v>
      </c>
      <c r="H104" s="4" t="s">
        <v>95</v>
      </c>
      <c r="I104" s="4"/>
      <c r="J104" s="4"/>
      <c r="K104" s="4">
        <v>205</v>
      </c>
      <c r="L104" s="4">
        <v>14</v>
      </c>
      <c r="M104" s="4">
        <v>3</v>
      </c>
      <c r="N104" s="4" t="s">
        <v>3</v>
      </c>
      <c r="O104" s="4">
        <v>0</v>
      </c>
      <c r="P104" s="4"/>
      <c r="Q104" s="4"/>
      <c r="R104" s="4"/>
      <c r="S104" s="4"/>
      <c r="T104" s="4"/>
      <c r="U104" s="4"/>
      <c r="V104" s="4"/>
      <c r="W104" s="4">
        <v>15250</v>
      </c>
      <c r="X104" s="4">
        <v>1</v>
      </c>
      <c r="Y104" s="4">
        <v>15250</v>
      </c>
      <c r="Z104" s="4"/>
      <c r="AA104" s="4"/>
      <c r="AB104" s="4"/>
    </row>
    <row r="105" spans="1:28" x14ac:dyDescent="0.2">
      <c r="A105" s="4">
        <v>50</v>
      </c>
      <c r="B105" s="4">
        <v>0</v>
      </c>
      <c r="C105" s="4">
        <v>0</v>
      </c>
      <c r="D105" s="4">
        <v>1</v>
      </c>
      <c r="E105" s="4">
        <v>232</v>
      </c>
      <c r="F105" s="4">
        <f>ROUND(Source!BC89,O105)</f>
        <v>0</v>
      </c>
      <c r="G105" s="4" t="s">
        <v>96</v>
      </c>
      <c r="H105" s="4" t="s">
        <v>97</v>
      </c>
      <c r="I105" s="4"/>
      <c r="J105" s="4"/>
      <c r="K105" s="4">
        <v>232</v>
      </c>
      <c r="L105" s="4">
        <v>15</v>
      </c>
      <c r="M105" s="4">
        <v>3</v>
      </c>
      <c r="N105" s="4" t="s">
        <v>3</v>
      </c>
      <c r="O105" s="4">
        <v>0</v>
      </c>
      <c r="P105" s="4"/>
      <c r="Q105" s="4"/>
      <c r="R105" s="4"/>
      <c r="S105" s="4"/>
      <c r="T105" s="4"/>
      <c r="U105" s="4"/>
      <c r="V105" s="4"/>
      <c r="W105" s="4">
        <v>0</v>
      </c>
      <c r="X105" s="4">
        <v>1</v>
      </c>
      <c r="Y105" s="4">
        <v>0</v>
      </c>
      <c r="Z105" s="4"/>
      <c r="AA105" s="4"/>
      <c r="AB105" s="4"/>
    </row>
    <row r="106" spans="1:28" x14ac:dyDescent="0.2">
      <c r="A106" s="4">
        <v>50</v>
      </c>
      <c r="B106" s="4">
        <v>0</v>
      </c>
      <c r="C106" s="4">
        <v>0</v>
      </c>
      <c r="D106" s="4">
        <v>1</v>
      </c>
      <c r="E106" s="4">
        <v>214</v>
      </c>
      <c r="F106" s="4">
        <f>ROUND(Source!AS89,O106)</f>
        <v>61272</v>
      </c>
      <c r="G106" s="4" t="s">
        <v>98</v>
      </c>
      <c r="H106" s="4" t="s">
        <v>99</v>
      </c>
      <c r="I106" s="4"/>
      <c r="J106" s="4"/>
      <c r="K106" s="4">
        <v>214</v>
      </c>
      <c r="L106" s="4">
        <v>16</v>
      </c>
      <c r="M106" s="4">
        <v>3</v>
      </c>
      <c r="N106" s="4" t="s">
        <v>3</v>
      </c>
      <c r="O106" s="4">
        <v>0</v>
      </c>
      <c r="P106" s="4"/>
      <c r="Q106" s="4"/>
      <c r="R106" s="4"/>
      <c r="S106" s="4"/>
      <c r="T106" s="4"/>
      <c r="U106" s="4"/>
      <c r="V106" s="4"/>
      <c r="W106" s="4">
        <v>62414</v>
      </c>
      <c r="X106" s="4">
        <v>1</v>
      </c>
      <c r="Y106" s="4">
        <v>62414</v>
      </c>
      <c r="Z106" s="4"/>
      <c r="AA106" s="4"/>
      <c r="AB106" s="4"/>
    </row>
    <row r="107" spans="1:28" x14ac:dyDescent="0.2">
      <c r="A107" s="4">
        <v>50</v>
      </c>
      <c r="B107" s="4">
        <v>0</v>
      </c>
      <c r="C107" s="4">
        <v>0</v>
      </c>
      <c r="D107" s="4">
        <v>1</v>
      </c>
      <c r="E107" s="4">
        <v>215</v>
      </c>
      <c r="F107" s="4">
        <f>ROUND(Source!AT89,O107)</f>
        <v>0</v>
      </c>
      <c r="G107" s="4" t="s">
        <v>100</v>
      </c>
      <c r="H107" s="4" t="s">
        <v>101</v>
      </c>
      <c r="I107" s="4"/>
      <c r="J107" s="4"/>
      <c r="K107" s="4">
        <v>215</v>
      </c>
      <c r="L107" s="4">
        <v>17</v>
      </c>
      <c r="M107" s="4">
        <v>3</v>
      </c>
      <c r="N107" s="4" t="s">
        <v>3</v>
      </c>
      <c r="O107" s="4">
        <v>0</v>
      </c>
      <c r="P107" s="4"/>
      <c r="Q107" s="4"/>
      <c r="R107" s="4"/>
      <c r="S107" s="4"/>
      <c r="T107" s="4"/>
      <c r="U107" s="4"/>
      <c r="V107" s="4"/>
      <c r="W107" s="4">
        <v>0</v>
      </c>
      <c r="X107" s="4">
        <v>1</v>
      </c>
      <c r="Y107" s="4">
        <v>0</v>
      </c>
      <c r="Z107" s="4"/>
      <c r="AA107" s="4"/>
      <c r="AB107" s="4"/>
    </row>
    <row r="108" spans="1:28" x14ac:dyDescent="0.2">
      <c r="A108" s="4">
        <v>50</v>
      </c>
      <c r="B108" s="4">
        <v>0</v>
      </c>
      <c r="C108" s="4">
        <v>0</v>
      </c>
      <c r="D108" s="4">
        <v>1</v>
      </c>
      <c r="E108" s="4">
        <v>217</v>
      </c>
      <c r="F108" s="4">
        <f>ROUND(Source!AU89,O108)</f>
        <v>70172</v>
      </c>
      <c r="G108" s="4" t="s">
        <v>102</v>
      </c>
      <c r="H108" s="4" t="s">
        <v>103</v>
      </c>
      <c r="I108" s="4"/>
      <c r="J108" s="4"/>
      <c r="K108" s="4">
        <v>217</v>
      </c>
      <c r="L108" s="4">
        <v>18</v>
      </c>
      <c r="M108" s="4">
        <v>3</v>
      </c>
      <c r="N108" s="4" t="s">
        <v>3</v>
      </c>
      <c r="O108" s="4">
        <v>0</v>
      </c>
      <c r="P108" s="4"/>
      <c r="Q108" s="4"/>
      <c r="R108" s="4"/>
      <c r="S108" s="4"/>
      <c r="T108" s="4"/>
      <c r="U108" s="4"/>
      <c r="V108" s="4"/>
      <c r="W108" s="4">
        <v>70172</v>
      </c>
      <c r="X108" s="4">
        <v>1</v>
      </c>
      <c r="Y108" s="4">
        <v>70172</v>
      </c>
      <c r="Z108" s="4"/>
      <c r="AA108" s="4"/>
      <c r="AB108" s="4"/>
    </row>
    <row r="109" spans="1:28" x14ac:dyDescent="0.2">
      <c r="A109" s="4">
        <v>50</v>
      </c>
      <c r="B109" s="4">
        <v>0</v>
      </c>
      <c r="C109" s="4">
        <v>0</v>
      </c>
      <c r="D109" s="4">
        <v>1</v>
      </c>
      <c r="E109" s="4">
        <v>230</v>
      </c>
      <c r="F109" s="4">
        <f>ROUND(Source!BA89,O109)</f>
        <v>0</v>
      </c>
      <c r="G109" s="4" t="s">
        <v>104</v>
      </c>
      <c r="H109" s="4" t="s">
        <v>105</v>
      </c>
      <c r="I109" s="4"/>
      <c r="J109" s="4"/>
      <c r="K109" s="4">
        <v>230</v>
      </c>
      <c r="L109" s="4">
        <v>19</v>
      </c>
      <c r="M109" s="4">
        <v>3</v>
      </c>
      <c r="N109" s="4" t="s">
        <v>3</v>
      </c>
      <c r="O109" s="4">
        <v>0</v>
      </c>
      <c r="P109" s="4"/>
      <c r="Q109" s="4"/>
      <c r="R109" s="4"/>
      <c r="S109" s="4"/>
      <c r="T109" s="4"/>
      <c r="U109" s="4"/>
      <c r="V109" s="4"/>
      <c r="W109" s="4">
        <v>0</v>
      </c>
      <c r="X109" s="4">
        <v>1</v>
      </c>
      <c r="Y109" s="4">
        <v>0</v>
      </c>
      <c r="Z109" s="4"/>
      <c r="AA109" s="4"/>
      <c r="AB109" s="4"/>
    </row>
    <row r="110" spans="1:28" x14ac:dyDescent="0.2">
      <c r="A110" s="4">
        <v>50</v>
      </c>
      <c r="B110" s="4">
        <v>0</v>
      </c>
      <c r="C110" s="4">
        <v>0</v>
      </c>
      <c r="D110" s="4">
        <v>1</v>
      </c>
      <c r="E110" s="4">
        <v>206</v>
      </c>
      <c r="F110" s="4">
        <f>ROUND(Source!T89,O110)</f>
        <v>0</v>
      </c>
      <c r="G110" s="4" t="s">
        <v>106</v>
      </c>
      <c r="H110" s="4" t="s">
        <v>107</v>
      </c>
      <c r="I110" s="4"/>
      <c r="J110" s="4"/>
      <c r="K110" s="4">
        <v>206</v>
      </c>
      <c r="L110" s="4">
        <v>20</v>
      </c>
      <c r="M110" s="4">
        <v>3</v>
      </c>
      <c r="N110" s="4" t="s">
        <v>3</v>
      </c>
      <c r="O110" s="4">
        <v>0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8" x14ac:dyDescent="0.2">
      <c r="A111" s="4">
        <v>50</v>
      </c>
      <c r="B111" s="4">
        <v>0</v>
      </c>
      <c r="C111" s="4">
        <v>0</v>
      </c>
      <c r="D111" s="4">
        <v>1</v>
      </c>
      <c r="E111" s="4">
        <v>207</v>
      </c>
      <c r="F111" s="4">
        <f>Source!U89</f>
        <v>53.323604799999991</v>
      </c>
      <c r="G111" s="4" t="s">
        <v>108</v>
      </c>
      <c r="H111" s="4" t="s">
        <v>109</v>
      </c>
      <c r="I111" s="4"/>
      <c r="J111" s="4"/>
      <c r="K111" s="4">
        <v>207</v>
      </c>
      <c r="L111" s="4">
        <v>21</v>
      </c>
      <c r="M111" s="4">
        <v>3</v>
      </c>
      <c r="N111" s="4" t="s">
        <v>3</v>
      </c>
      <c r="O111" s="4">
        <v>-1</v>
      </c>
      <c r="P111" s="4"/>
      <c r="Q111" s="4"/>
      <c r="R111" s="4"/>
      <c r="S111" s="4"/>
      <c r="T111" s="4"/>
      <c r="U111" s="4"/>
      <c r="V111" s="4"/>
      <c r="W111" s="4">
        <v>54.552046300000001</v>
      </c>
      <c r="X111" s="4">
        <v>1</v>
      </c>
      <c r="Y111" s="4">
        <v>54.552046300000001</v>
      </c>
      <c r="Z111" s="4"/>
      <c r="AA111" s="4"/>
      <c r="AB111" s="4"/>
    </row>
    <row r="112" spans="1:28" x14ac:dyDescent="0.2">
      <c r="A112" s="4">
        <v>50</v>
      </c>
      <c r="B112" s="4">
        <v>0</v>
      </c>
      <c r="C112" s="4">
        <v>0</v>
      </c>
      <c r="D112" s="4">
        <v>1</v>
      </c>
      <c r="E112" s="4">
        <v>208</v>
      </c>
      <c r="F112" s="4">
        <f>Source!V89</f>
        <v>3.1553556249999994</v>
      </c>
      <c r="G112" s="4" t="s">
        <v>110</v>
      </c>
      <c r="H112" s="4" t="s">
        <v>111</v>
      </c>
      <c r="I112" s="4"/>
      <c r="J112" s="4"/>
      <c r="K112" s="4">
        <v>208</v>
      </c>
      <c r="L112" s="4">
        <v>22</v>
      </c>
      <c r="M112" s="4">
        <v>3</v>
      </c>
      <c r="N112" s="4" t="s">
        <v>3</v>
      </c>
      <c r="O112" s="4">
        <v>-1</v>
      </c>
      <c r="P112" s="4"/>
      <c r="Q112" s="4"/>
      <c r="R112" s="4"/>
      <c r="S112" s="4"/>
      <c r="T112" s="4"/>
      <c r="U112" s="4"/>
      <c r="V112" s="4"/>
      <c r="W112" s="4">
        <v>3.354627625</v>
      </c>
      <c r="X112" s="4">
        <v>1</v>
      </c>
      <c r="Y112" s="4">
        <v>3.354627625</v>
      </c>
      <c r="Z112" s="4"/>
      <c r="AA112" s="4"/>
      <c r="AB112" s="4"/>
    </row>
    <row r="113" spans="1:245" x14ac:dyDescent="0.2">
      <c r="A113" s="4">
        <v>50</v>
      </c>
      <c r="B113" s="4">
        <v>0</v>
      </c>
      <c r="C113" s="4">
        <v>0</v>
      </c>
      <c r="D113" s="4">
        <v>1</v>
      </c>
      <c r="E113" s="4">
        <v>209</v>
      </c>
      <c r="F113" s="4">
        <f>ROUND(Source!W89,O113)</f>
        <v>0</v>
      </c>
      <c r="G113" s="4" t="s">
        <v>112</v>
      </c>
      <c r="H113" s="4" t="s">
        <v>113</v>
      </c>
      <c r="I113" s="4"/>
      <c r="J113" s="4"/>
      <c r="K113" s="4">
        <v>209</v>
      </c>
      <c r="L113" s="4">
        <v>23</v>
      </c>
      <c r="M113" s="4">
        <v>3</v>
      </c>
      <c r="N113" s="4" t="s">
        <v>3</v>
      </c>
      <c r="O113" s="4">
        <v>0</v>
      </c>
      <c r="P113" s="4"/>
      <c r="Q113" s="4"/>
      <c r="R113" s="4"/>
      <c r="S113" s="4"/>
      <c r="T113" s="4"/>
      <c r="U113" s="4"/>
      <c r="V113" s="4"/>
      <c r="W113" s="4">
        <v>0</v>
      </c>
      <c r="X113" s="4">
        <v>1</v>
      </c>
      <c r="Y113" s="4">
        <v>0</v>
      </c>
      <c r="Z113" s="4"/>
      <c r="AA113" s="4"/>
      <c r="AB113" s="4"/>
    </row>
    <row r="114" spans="1:245" x14ac:dyDescent="0.2">
      <c r="A114" s="4">
        <v>50</v>
      </c>
      <c r="B114" s="4">
        <v>0</v>
      </c>
      <c r="C114" s="4">
        <v>0</v>
      </c>
      <c r="D114" s="4">
        <v>1</v>
      </c>
      <c r="E114" s="4">
        <v>233</v>
      </c>
      <c r="F114" s="4">
        <f>ROUND(Source!BD89,O114)</f>
        <v>0</v>
      </c>
      <c r="G114" s="4" t="s">
        <v>114</v>
      </c>
      <c r="H114" s="4" t="s">
        <v>115</v>
      </c>
      <c r="I114" s="4"/>
      <c r="J114" s="4"/>
      <c r="K114" s="4">
        <v>233</v>
      </c>
      <c r="L114" s="4">
        <v>24</v>
      </c>
      <c r="M114" s="4">
        <v>3</v>
      </c>
      <c r="N114" s="4" t="s">
        <v>3</v>
      </c>
      <c r="O114" s="4">
        <v>0</v>
      </c>
      <c r="P114" s="4"/>
      <c r="Q114" s="4"/>
      <c r="R114" s="4"/>
      <c r="S114" s="4"/>
      <c r="T114" s="4"/>
      <c r="U114" s="4"/>
      <c r="V114" s="4"/>
      <c r="W114" s="4">
        <v>0</v>
      </c>
      <c r="X114" s="4">
        <v>1</v>
      </c>
      <c r="Y114" s="4">
        <v>0</v>
      </c>
      <c r="Z114" s="4"/>
      <c r="AA114" s="4"/>
      <c r="AB114" s="4"/>
    </row>
    <row r="115" spans="1:245" x14ac:dyDescent="0.2">
      <c r="A115" s="4">
        <v>50</v>
      </c>
      <c r="B115" s="4">
        <v>0</v>
      </c>
      <c r="C115" s="4">
        <v>0</v>
      </c>
      <c r="D115" s="4">
        <v>1</v>
      </c>
      <c r="E115" s="4">
        <v>210</v>
      </c>
      <c r="F115" s="4">
        <f>ROUND(Source!X89,O115)</f>
        <v>19689</v>
      </c>
      <c r="G115" s="4" t="s">
        <v>116</v>
      </c>
      <c r="H115" s="4" t="s">
        <v>117</v>
      </c>
      <c r="I115" s="4"/>
      <c r="J115" s="4"/>
      <c r="K115" s="4">
        <v>210</v>
      </c>
      <c r="L115" s="4">
        <v>25</v>
      </c>
      <c r="M115" s="4">
        <v>3</v>
      </c>
      <c r="N115" s="4" t="s">
        <v>3</v>
      </c>
      <c r="O115" s="4">
        <v>0</v>
      </c>
      <c r="P115" s="4"/>
      <c r="Q115" s="4"/>
      <c r="R115" s="4"/>
      <c r="S115" s="4"/>
      <c r="T115" s="4"/>
      <c r="U115" s="4"/>
      <c r="V115" s="4"/>
      <c r="W115" s="4">
        <v>20045</v>
      </c>
      <c r="X115" s="4">
        <v>1</v>
      </c>
      <c r="Y115" s="4">
        <v>20045</v>
      </c>
      <c r="Z115" s="4"/>
      <c r="AA115" s="4"/>
      <c r="AB115" s="4"/>
    </row>
    <row r="116" spans="1:245" x14ac:dyDescent="0.2">
      <c r="A116" s="4">
        <v>50</v>
      </c>
      <c r="B116" s="4">
        <v>0</v>
      </c>
      <c r="C116" s="4">
        <v>0</v>
      </c>
      <c r="D116" s="4">
        <v>1</v>
      </c>
      <c r="E116" s="4">
        <v>211</v>
      </c>
      <c r="F116" s="4">
        <f>ROUND(Source!Y89,O116)</f>
        <v>12311</v>
      </c>
      <c r="G116" s="4" t="s">
        <v>118</v>
      </c>
      <c r="H116" s="4" t="s">
        <v>119</v>
      </c>
      <c r="I116" s="4"/>
      <c r="J116" s="4"/>
      <c r="K116" s="4">
        <v>211</v>
      </c>
      <c r="L116" s="4">
        <v>26</v>
      </c>
      <c r="M116" s="4">
        <v>3</v>
      </c>
      <c r="N116" s="4" t="s">
        <v>3</v>
      </c>
      <c r="O116" s="4">
        <v>0</v>
      </c>
      <c r="P116" s="4"/>
      <c r="Q116" s="4"/>
      <c r="R116" s="4"/>
      <c r="S116" s="4"/>
      <c r="T116" s="4"/>
      <c r="U116" s="4"/>
      <c r="V116" s="4"/>
      <c r="W116" s="4">
        <v>12502</v>
      </c>
      <c r="X116" s="4">
        <v>1</v>
      </c>
      <c r="Y116" s="4">
        <v>12502</v>
      </c>
      <c r="Z116" s="4"/>
      <c r="AA116" s="4"/>
      <c r="AB116" s="4"/>
    </row>
    <row r="117" spans="1:245" x14ac:dyDescent="0.2">
      <c r="A117" s="4">
        <v>50</v>
      </c>
      <c r="B117" s="4">
        <v>0</v>
      </c>
      <c r="C117" s="4">
        <v>0</v>
      </c>
      <c r="D117" s="4">
        <v>1</v>
      </c>
      <c r="E117" s="4">
        <v>224</v>
      </c>
      <c r="F117" s="4">
        <f>ROUND(Source!AR89,O117)</f>
        <v>131444</v>
      </c>
      <c r="G117" s="4" t="s">
        <v>120</v>
      </c>
      <c r="H117" s="4" t="s">
        <v>121</v>
      </c>
      <c r="I117" s="4"/>
      <c r="J117" s="4"/>
      <c r="K117" s="4">
        <v>224</v>
      </c>
      <c r="L117" s="4">
        <v>27</v>
      </c>
      <c r="M117" s="4">
        <v>3</v>
      </c>
      <c r="N117" s="4" t="s">
        <v>3</v>
      </c>
      <c r="O117" s="4">
        <v>0</v>
      </c>
      <c r="P117" s="4"/>
      <c r="Q117" s="4"/>
      <c r="R117" s="4"/>
      <c r="S117" s="4"/>
      <c r="T117" s="4"/>
      <c r="U117" s="4"/>
      <c r="V117" s="4"/>
      <c r="W117" s="4">
        <v>132586</v>
      </c>
      <c r="X117" s="4">
        <v>1</v>
      </c>
      <c r="Y117" s="4">
        <v>132586</v>
      </c>
      <c r="Z117" s="4"/>
      <c r="AA117" s="4"/>
      <c r="AB117" s="4"/>
    </row>
    <row r="119" spans="1:245" x14ac:dyDescent="0.2">
      <c r="A119" s="1">
        <v>5</v>
      </c>
      <c r="B119" s="1">
        <v>1</v>
      </c>
      <c r="C119" s="1"/>
      <c r="D119" s="1">
        <f>ROW(A137)</f>
        <v>137</v>
      </c>
      <c r="E119" s="1"/>
      <c r="F119" s="1" t="s">
        <v>123</v>
      </c>
      <c r="G119" s="1" t="s">
        <v>199</v>
      </c>
      <c r="H119" s="1" t="s">
        <v>3</v>
      </c>
      <c r="I119" s="1">
        <v>0</v>
      </c>
      <c r="J119" s="1"/>
      <c r="K119" s="1">
        <v>-1</v>
      </c>
      <c r="L119" s="1"/>
      <c r="M119" s="1" t="s">
        <v>3</v>
      </c>
      <c r="N119" s="1"/>
      <c r="O119" s="1"/>
      <c r="P119" s="1"/>
      <c r="Q119" s="1"/>
      <c r="R119" s="1"/>
      <c r="S119" s="1">
        <v>0</v>
      </c>
      <c r="T119" s="1"/>
      <c r="U119" s="1" t="s">
        <v>3</v>
      </c>
      <c r="V119" s="1">
        <v>0</v>
      </c>
      <c r="W119" s="1"/>
      <c r="X119" s="1"/>
      <c r="Y119" s="1"/>
      <c r="Z119" s="1"/>
      <c r="AA119" s="1"/>
      <c r="AB119" s="1" t="s">
        <v>3</v>
      </c>
      <c r="AC119" s="1" t="s">
        <v>3</v>
      </c>
      <c r="AD119" s="1" t="s">
        <v>3</v>
      </c>
      <c r="AE119" s="1" t="s">
        <v>3</v>
      </c>
      <c r="AF119" s="1" t="s">
        <v>3</v>
      </c>
      <c r="AG119" s="1" t="s">
        <v>3</v>
      </c>
      <c r="AH119" s="1"/>
      <c r="AI119" s="1"/>
      <c r="AJ119" s="1"/>
      <c r="AK119" s="1"/>
      <c r="AL119" s="1"/>
      <c r="AM119" s="1"/>
      <c r="AN119" s="1"/>
      <c r="AO119" s="1"/>
      <c r="AP119" s="1" t="s">
        <v>3</v>
      </c>
      <c r="AQ119" s="1" t="s">
        <v>3</v>
      </c>
      <c r="AR119" s="1" t="s">
        <v>3</v>
      </c>
      <c r="AS119" s="1"/>
      <c r="AT119" s="1"/>
      <c r="AU119" s="1"/>
      <c r="AV119" s="1"/>
      <c r="AW119" s="1"/>
      <c r="AX119" s="1"/>
      <c r="AY119" s="1"/>
      <c r="AZ119" s="1" t="s">
        <v>3</v>
      </c>
      <c r="BA119" s="1"/>
      <c r="BB119" s="1" t="s">
        <v>3</v>
      </c>
      <c r="BC119" s="1" t="s">
        <v>3</v>
      </c>
      <c r="BD119" s="1" t="s">
        <v>3</v>
      </c>
      <c r="BE119" s="1" t="s">
        <v>3</v>
      </c>
      <c r="BF119" s="1" t="s">
        <v>3</v>
      </c>
      <c r="BG119" s="1" t="s">
        <v>3</v>
      </c>
      <c r="BH119" s="1" t="s">
        <v>3</v>
      </c>
      <c r="BI119" s="1" t="s">
        <v>3</v>
      </c>
      <c r="BJ119" s="1" t="s">
        <v>3</v>
      </c>
      <c r="BK119" s="1" t="s">
        <v>3</v>
      </c>
      <c r="BL119" s="1" t="s">
        <v>3</v>
      </c>
      <c r="BM119" s="1" t="s">
        <v>3</v>
      </c>
      <c r="BN119" s="1" t="s">
        <v>3</v>
      </c>
      <c r="BO119" s="1" t="s">
        <v>3</v>
      </c>
      <c r="BP119" s="1" t="s">
        <v>3</v>
      </c>
      <c r="BQ119" s="1"/>
      <c r="BR119" s="1"/>
      <c r="BS119" s="1"/>
      <c r="BT119" s="1"/>
      <c r="BU119" s="1"/>
      <c r="BV119" s="1"/>
      <c r="BW119" s="1"/>
      <c r="BX119" s="1">
        <v>0</v>
      </c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>
        <v>0</v>
      </c>
    </row>
    <row r="121" spans="1:245" x14ac:dyDescent="0.2">
      <c r="A121" s="2">
        <v>52</v>
      </c>
      <c r="B121" s="2">
        <f t="shared" ref="B121:G121" si="109">B137</f>
        <v>1</v>
      </c>
      <c r="C121" s="2">
        <f t="shared" si="109"/>
        <v>5</v>
      </c>
      <c r="D121" s="2">
        <f t="shared" si="109"/>
        <v>119</v>
      </c>
      <c r="E121" s="2">
        <f t="shared" si="109"/>
        <v>0</v>
      </c>
      <c r="F121" s="2" t="str">
        <f t="shared" si="109"/>
        <v>Новый подраздел</v>
      </c>
      <c r="G121" s="2" t="str">
        <f t="shared" si="109"/>
        <v>Участок ТИП2</v>
      </c>
      <c r="H121" s="2"/>
      <c r="I121" s="2"/>
      <c r="J121" s="2"/>
      <c r="K121" s="2"/>
      <c r="L121" s="2"/>
      <c r="M121" s="2"/>
      <c r="N121" s="2"/>
      <c r="O121" s="2">
        <f t="shared" ref="O121:AT121" si="110">O137</f>
        <v>501338</v>
      </c>
      <c r="P121" s="2">
        <f t="shared" si="110"/>
        <v>330243</v>
      </c>
      <c r="Q121" s="2">
        <f t="shared" si="110"/>
        <v>25252</v>
      </c>
      <c r="R121" s="2">
        <f t="shared" si="110"/>
        <v>5841</v>
      </c>
      <c r="S121" s="2">
        <f t="shared" si="110"/>
        <v>145843</v>
      </c>
      <c r="T121" s="2">
        <f t="shared" si="110"/>
        <v>0</v>
      </c>
      <c r="U121" s="2">
        <f t="shared" si="110"/>
        <v>525.33938899999998</v>
      </c>
      <c r="V121" s="2">
        <f t="shared" si="110"/>
        <v>15.633962499999997</v>
      </c>
      <c r="W121" s="2">
        <f t="shared" si="110"/>
        <v>0</v>
      </c>
      <c r="X121" s="2">
        <f t="shared" si="110"/>
        <v>177411</v>
      </c>
      <c r="Y121" s="2">
        <f t="shared" si="110"/>
        <v>111552</v>
      </c>
      <c r="Z121" s="2">
        <f t="shared" si="110"/>
        <v>0</v>
      </c>
      <c r="AA121" s="2">
        <f t="shared" si="110"/>
        <v>0</v>
      </c>
      <c r="AB121" s="2">
        <f t="shared" si="110"/>
        <v>501338</v>
      </c>
      <c r="AC121" s="2">
        <f t="shared" si="110"/>
        <v>330243</v>
      </c>
      <c r="AD121" s="2">
        <f t="shared" si="110"/>
        <v>25252</v>
      </c>
      <c r="AE121" s="2">
        <f t="shared" si="110"/>
        <v>5841</v>
      </c>
      <c r="AF121" s="2">
        <f t="shared" si="110"/>
        <v>145843</v>
      </c>
      <c r="AG121" s="2">
        <f t="shared" si="110"/>
        <v>0</v>
      </c>
      <c r="AH121" s="2">
        <f t="shared" si="110"/>
        <v>525.33938899999998</v>
      </c>
      <c r="AI121" s="2">
        <f t="shared" si="110"/>
        <v>15.633962499999997</v>
      </c>
      <c r="AJ121" s="2">
        <f t="shared" si="110"/>
        <v>0</v>
      </c>
      <c r="AK121" s="2">
        <f t="shared" si="110"/>
        <v>177411</v>
      </c>
      <c r="AL121" s="2">
        <f t="shared" si="110"/>
        <v>111552</v>
      </c>
      <c r="AM121" s="2">
        <f t="shared" si="110"/>
        <v>0</v>
      </c>
      <c r="AN121" s="2">
        <f t="shared" si="110"/>
        <v>0</v>
      </c>
      <c r="AO121" s="2">
        <f t="shared" si="110"/>
        <v>0</v>
      </c>
      <c r="AP121" s="2">
        <f t="shared" si="110"/>
        <v>0</v>
      </c>
      <c r="AQ121" s="2">
        <f t="shared" si="110"/>
        <v>0</v>
      </c>
      <c r="AR121" s="2">
        <f t="shared" si="110"/>
        <v>790301</v>
      </c>
      <c r="AS121" s="2">
        <f t="shared" si="110"/>
        <v>509930</v>
      </c>
      <c r="AT121" s="2">
        <f t="shared" si="110"/>
        <v>0</v>
      </c>
      <c r="AU121" s="2">
        <f t="shared" ref="AU121:BZ121" si="111">AU137</f>
        <v>280371</v>
      </c>
      <c r="AV121" s="2">
        <f t="shared" si="111"/>
        <v>330243</v>
      </c>
      <c r="AW121" s="2">
        <f t="shared" si="111"/>
        <v>330243</v>
      </c>
      <c r="AX121" s="2">
        <f t="shared" si="111"/>
        <v>0</v>
      </c>
      <c r="AY121" s="2">
        <f t="shared" si="111"/>
        <v>330243</v>
      </c>
      <c r="AZ121" s="2">
        <f t="shared" si="111"/>
        <v>0</v>
      </c>
      <c r="BA121" s="2">
        <f t="shared" si="111"/>
        <v>0</v>
      </c>
      <c r="BB121" s="2">
        <f t="shared" si="111"/>
        <v>0</v>
      </c>
      <c r="BC121" s="2">
        <f t="shared" si="111"/>
        <v>0</v>
      </c>
      <c r="BD121" s="2">
        <f t="shared" si="111"/>
        <v>0</v>
      </c>
      <c r="BE121" s="2">
        <f t="shared" si="111"/>
        <v>0</v>
      </c>
      <c r="BF121" s="2">
        <f t="shared" si="111"/>
        <v>0</v>
      </c>
      <c r="BG121" s="2">
        <f t="shared" si="111"/>
        <v>0</v>
      </c>
      <c r="BH121" s="2">
        <f t="shared" si="111"/>
        <v>0</v>
      </c>
      <c r="BI121" s="2">
        <f t="shared" si="111"/>
        <v>0</v>
      </c>
      <c r="BJ121" s="2">
        <f t="shared" si="111"/>
        <v>0</v>
      </c>
      <c r="BK121" s="2">
        <f t="shared" si="111"/>
        <v>0</v>
      </c>
      <c r="BL121" s="2">
        <f t="shared" si="111"/>
        <v>0</v>
      </c>
      <c r="BM121" s="2">
        <f t="shared" si="111"/>
        <v>0</v>
      </c>
      <c r="BN121" s="2">
        <f t="shared" si="111"/>
        <v>0</v>
      </c>
      <c r="BO121" s="2">
        <f t="shared" si="111"/>
        <v>0</v>
      </c>
      <c r="BP121" s="2">
        <f t="shared" si="111"/>
        <v>0</v>
      </c>
      <c r="BQ121" s="2">
        <f t="shared" si="111"/>
        <v>0</v>
      </c>
      <c r="BR121" s="2">
        <f t="shared" si="111"/>
        <v>0</v>
      </c>
      <c r="BS121" s="2">
        <f t="shared" si="111"/>
        <v>0</v>
      </c>
      <c r="BT121" s="2">
        <f t="shared" si="111"/>
        <v>0</v>
      </c>
      <c r="BU121" s="2">
        <f t="shared" si="111"/>
        <v>0</v>
      </c>
      <c r="BV121" s="2">
        <f t="shared" si="111"/>
        <v>0</v>
      </c>
      <c r="BW121" s="2">
        <f t="shared" si="111"/>
        <v>0</v>
      </c>
      <c r="BX121" s="2">
        <f t="shared" si="111"/>
        <v>0</v>
      </c>
      <c r="BY121" s="2">
        <f t="shared" si="111"/>
        <v>0</v>
      </c>
      <c r="BZ121" s="2">
        <f t="shared" si="111"/>
        <v>0</v>
      </c>
      <c r="CA121" s="2">
        <f t="shared" ref="CA121:DF121" si="112">CA137</f>
        <v>790301</v>
      </c>
      <c r="CB121" s="2">
        <f t="shared" si="112"/>
        <v>509930</v>
      </c>
      <c r="CC121" s="2">
        <f t="shared" si="112"/>
        <v>0</v>
      </c>
      <c r="CD121" s="2">
        <f t="shared" si="112"/>
        <v>280371</v>
      </c>
      <c r="CE121" s="2">
        <f t="shared" si="112"/>
        <v>330243</v>
      </c>
      <c r="CF121" s="2">
        <f t="shared" si="112"/>
        <v>330243</v>
      </c>
      <c r="CG121" s="2">
        <f t="shared" si="112"/>
        <v>0</v>
      </c>
      <c r="CH121" s="2">
        <f t="shared" si="112"/>
        <v>330243</v>
      </c>
      <c r="CI121" s="2">
        <f t="shared" si="112"/>
        <v>0</v>
      </c>
      <c r="CJ121" s="2">
        <f t="shared" si="112"/>
        <v>0</v>
      </c>
      <c r="CK121" s="2">
        <f t="shared" si="112"/>
        <v>0</v>
      </c>
      <c r="CL121" s="2">
        <f t="shared" si="112"/>
        <v>0</v>
      </c>
      <c r="CM121" s="2">
        <f t="shared" si="112"/>
        <v>0</v>
      </c>
      <c r="CN121" s="2">
        <f t="shared" si="112"/>
        <v>0</v>
      </c>
      <c r="CO121" s="2">
        <f t="shared" si="112"/>
        <v>0</v>
      </c>
      <c r="CP121" s="2">
        <f t="shared" si="112"/>
        <v>0</v>
      </c>
      <c r="CQ121" s="2">
        <f t="shared" si="112"/>
        <v>0</v>
      </c>
      <c r="CR121" s="2">
        <f t="shared" si="112"/>
        <v>0</v>
      </c>
      <c r="CS121" s="2">
        <f t="shared" si="112"/>
        <v>0</v>
      </c>
      <c r="CT121" s="2">
        <f t="shared" si="112"/>
        <v>0</v>
      </c>
      <c r="CU121" s="2">
        <f t="shared" si="112"/>
        <v>0</v>
      </c>
      <c r="CV121" s="2">
        <f t="shared" si="112"/>
        <v>0</v>
      </c>
      <c r="CW121" s="2">
        <f t="shared" si="112"/>
        <v>0</v>
      </c>
      <c r="CX121" s="2">
        <f t="shared" si="112"/>
        <v>0</v>
      </c>
      <c r="CY121" s="2">
        <f t="shared" si="112"/>
        <v>0</v>
      </c>
      <c r="CZ121" s="2">
        <f t="shared" si="112"/>
        <v>0</v>
      </c>
      <c r="DA121" s="2">
        <f t="shared" si="112"/>
        <v>0</v>
      </c>
      <c r="DB121" s="2">
        <f t="shared" si="112"/>
        <v>0</v>
      </c>
      <c r="DC121" s="2">
        <f t="shared" si="112"/>
        <v>0</v>
      </c>
      <c r="DD121" s="2">
        <f t="shared" si="112"/>
        <v>0</v>
      </c>
      <c r="DE121" s="2">
        <f t="shared" si="112"/>
        <v>0</v>
      </c>
      <c r="DF121" s="2">
        <f t="shared" si="112"/>
        <v>0</v>
      </c>
      <c r="DG121" s="3">
        <f t="shared" ref="DG121:EL121" si="113">DG137</f>
        <v>0</v>
      </c>
      <c r="DH121" s="3">
        <f t="shared" si="113"/>
        <v>0</v>
      </c>
      <c r="DI121" s="3">
        <f t="shared" si="113"/>
        <v>0</v>
      </c>
      <c r="DJ121" s="3">
        <f t="shared" si="113"/>
        <v>0</v>
      </c>
      <c r="DK121" s="3">
        <f t="shared" si="113"/>
        <v>0</v>
      </c>
      <c r="DL121" s="3">
        <f t="shared" si="113"/>
        <v>0</v>
      </c>
      <c r="DM121" s="3">
        <f t="shared" si="113"/>
        <v>0</v>
      </c>
      <c r="DN121" s="3">
        <f t="shared" si="113"/>
        <v>0</v>
      </c>
      <c r="DO121" s="3">
        <f t="shared" si="113"/>
        <v>0</v>
      </c>
      <c r="DP121" s="3">
        <f t="shared" si="113"/>
        <v>0</v>
      </c>
      <c r="DQ121" s="3">
        <f t="shared" si="113"/>
        <v>0</v>
      </c>
      <c r="DR121" s="3">
        <f t="shared" si="113"/>
        <v>0</v>
      </c>
      <c r="DS121" s="3">
        <f t="shared" si="113"/>
        <v>0</v>
      </c>
      <c r="DT121" s="3">
        <f t="shared" si="113"/>
        <v>0</v>
      </c>
      <c r="DU121" s="3">
        <f t="shared" si="113"/>
        <v>0</v>
      </c>
      <c r="DV121" s="3">
        <f t="shared" si="113"/>
        <v>0</v>
      </c>
      <c r="DW121" s="3">
        <f t="shared" si="113"/>
        <v>0</v>
      </c>
      <c r="DX121" s="3">
        <f t="shared" si="113"/>
        <v>0</v>
      </c>
      <c r="DY121" s="3">
        <f t="shared" si="113"/>
        <v>0</v>
      </c>
      <c r="DZ121" s="3">
        <f t="shared" si="113"/>
        <v>0</v>
      </c>
      <c r="EA121" s="3">
        <f t="shared" si="113"/>
        <v>0</v>
      </c>
      <c r="EB121" s="3">
        <f t="shared" si="113"/>
        <v>0</v>
      </c>
      <c r="EC121" s="3">
        <f t="shared" si="113"/>
        <v>0</v>
      </c>
      <c r="ED121" s="3">
        <f t="shared" si="113"/>
        <v>0</v>
      </c>
      <c r="EE121" s="3">
        <f t="shared" si="113"/>
        <v>0</v>
      </c>
      <c r="EF121" s="3">
        <f t="shared" si="113"/>
        <v>0</v>
      </c>
      <c r="EG121" s="3">
        <f t="shared" si="113"/>
        <v>0</v>
      </c>
      <c r="EH121" s="3">
        <f t="shared" si="113"/>
        <v>0</v>
      </c>
      <c r="EI121" s="3">
        <f t="shared" si="113"/>
        <v>0</v>
      </c>
      <c r="EJ121" s="3">
        <f t="shared" si="113"/>
        <v>0</v>
      </c>
      <c r="EK121" s="3">
        <f t="shared" si="113"/>
        <v>0</v>
      </c>
      <c r="EL121" s="3">
        <f t="shared" si="113"/>
        <v>0</v>
      </c>
      <c r="EM121" s="3">
        <f t="shared" ref="EM121:FR121" si="114">EM137</f>
        <v>0</v>
      </c>
      <c r="EN121" s="3">
        <f t="shared" si="114"/>
        <v>0</v>
      </c>
      <c r="EO121" s="3">
        <f t="shared" si="114"/>
        <v>0</v>
      </c>
      <c r="EP121" s="3">
        <f t="shared" si="114"/>
        <v>0</v>
      </c>
      <c r="EQ121" s="3">
        <f t="shared" si="114"/>
        <v>0</v>
      </c>
      <c r="ER121" s="3">
        <f t="shared" si="114"/>
        <v>0</v>
      </c>
      <c r="ES121" s="3">
        <f t="shared" si="114"/>
        <v>0</v>
      </c>
      <c r="ET121" s="3">
        <f t="shared" si="114"/>
        <v>0</v>
      </c>
      <c r="EU121" s="3">
        <f t="shared" si="114"/>
        <v>0</v>
      </c>
      <c r="EV121" s="3">
        <f t="shared" si="114"/>
        <v>0</v>
      </c>
      <c r="EW121" s="3">
        <f t="shared" si="114"/>
        <v>0</v>
      </c>
      <c r="EX121" s="3">
        <f t="shared" si="114"/>
        <v>0</v>
      </c>
      <c r="EY121" s="3">
        <f t="shared" si="114"/>
        <v>0</v>
      </c>
      <c r="EZ121" s="3">
        <f t="shared" si="114"/>
        <v>0</v>
      </c>
      <c r="FA121" s="3">
        <f t="shared" si="114"/>
        <v>0</v>
      </c>
      <c r="FB121" s="3">
        <f t="shared" si="114"/>
        <v>0</v>
      </c>
      <c r="FC121" s="3">
        <f t="shared" si="114"/>
        <v>0</v>
      </c>
      <c r="FD121" s="3">
        <f t="shared" si="114"/>
        <v>0</v>
      </c>
      <c r="FE121" s="3">
        <f t="shared" si="114"/>
        <v>0</v>
      </c>
      <c r="FF121" s="3">
        <f t="shared" si="114"/>
        <v>0</v>
      </c>
      <c r="FG121" s="3">
        <f t="shared" si="114"/>
        <v>0</v>
      </c>
      <c r="FH121" s="3">
        <f t="shared" si="114"/>
        <v>0</v>
      </c>
      <c r="FI121" s="3">
        <f t="shared" si="114"/>
        <v>0</v>
      </c>
      <c r="FJ121" s="3">
        <f t="shared" si="114"/>
        <v>0</v>
      </c>
      <c r="FK121" s="3">
        <f t="shared" si="114"/>
        <v>0</v>
      </c>
      <c r="FL121" s="3">
        <f t="shared" si="114"/>
        <v>0</v>
      </c>
      <c r="FM121" s="3">
        <f t="shared" si="114"/>
        <v>0</v>
      </c>
      <c r="FN121" s="3">
        <f t="shared" si="114"/>
        <v>0</v>
      </c>
      <c r="FO121" s="3">
        <f t="shared" si="114"/>
        <v>0</v>
      </c>
      <c r="FP121" s="3">
        <f t="shared" si="114"/>
        <v>0</v>
      </c>
      <c r="FQ121" s="3">
        <f t="shared" si="114"/>
        <v>0</v>
      </c>
      <c r="FR121" s="3">
        <f t="shared" si="114"/>
        <v>0</v>
      </c>
      <c r="FS121" s="3">
        <f t="shared" ref="FS121:GX121" si="115">FS137</f>
        <v>0</v>
      </c>
      <c r="FT121" s="3">
        <f t="shared" si="115"/>
        <v>0</v>
      </c>
      <c r="FU121" s="3">
        <f t="shared" si="115"/>
        <v>0</v>
      </c>
      <c r="FV121" s="3">
        <f t="shared" si="115"/>
        <v>0</v>
      </c>
      <c r="FW121" s="3">
        <f t="shared" si="115"/>
        <v>0</v>
      </c>
      <c r="FX121" s="3">
        <f t="shared" si="115"/>
        <v>0</v>
      </c>
      <c r="FY121" s="3">
        <f t="shared" si="115"/>
        <v>0</v>
      </c>
      <c r="FZ121" s="3">
        <f t="shared" si="115"/>
        <v>0</v>
      </c>
      <c r="GA121" s="3">
        <f t="shared" si="115"/>
        <v>0</v>
      </c>
      <c r="GB121" s="3">
        <f t="shared" si="115"/>
        <v>0</v>
      </c>
      <c r="GC121" s="3">
        <f t="shared" si="115"/>
        <v>0</v>
      </c>
      <c r="GD121" s="3">
        <f t="shared" si="115"/>
        <v>0</v>
      </c>
      <c r="GE121" s="3">
        <f t="shared" si="115"/>
        <v>0</v>
      </c>
      <c r="GF121" s="3">
        <f t="shared" si="115"/>
        <v>0</v>
      </c>
      <c r="GG121" s="3">
        <f t="shared" si="115"/>
        <v>0</v>
      </c>
      <c r="GH121" s="3">
        <f t="shared" si="115"/>
        <v>0</v>
      </c>
      <c r="GI121" s="3">
        <f t="shared" si="115"/>
        <v>0</v>
      </c>
      <c r="GJ121" s="3">
        <f t="shared" si="115"/>
        <v>0</v>
      </c>
      <c r="GK121" s="3">
        <f t="shared" si="115"/>
        <v>0</v>
      </c>
      <c r="GL121" s="3">
        <f t="shared" si="115"/>
        <v>0</v>
      </c>
      <c r="GM121" s="3">
        <f t="shared" si="115"/>
        <v>0</v>
      </c>
      <c r="GN121" s="3">
        <f t="shared" si="115"/>
        <v>0</v>
      </c>
      <c r="GO121" s="3">
        <f t="shared" si="115"/>
        <v>0</v>
      </c>
      <c r="GP121" s="3">
        <f t="shared" si="115"/>
        <v>0</v>
      </c>
      <c r="GQ121" s="3">
        <f t="shared" si="115"/>
        <v>0</v>
      </c>
      <c r="GR121" s="3">
        <f t="shared" si="115"/>
        <v>0</v>
      </c>
      <c r="GS121" s="3">
        <f t="shared" si="115"/>
        <v>0</v>
      </c>
      <c r="GT121" s="3">
        <f t="shared" si="115"/>
        <v>0</v>
      </c>
      <c r="GU121" s="3">
        <f t="shared" si="115"/>
        <v>0</v>
      </c>
      <c r="GV121" s="3">
        <f t="shared" si="115"/>
        <v>0</v>
      </c>
      <c r="GW121" s="3">
        <f t="shared" si="115"/>
        <v>0</v>
      </c>
      <c r="GX121" s="3">
        <f t="shared" si="115"/>
        <v>0</v>
      </c>
    </row>
    <row r="123" spans="1:245" x14ac:dyDescent="0.2">
      <c r="A123">
        <v>17</v>
      </c>
      <c r="B123">
        <v>1</v>
      </c>
      <c r="C123">
        <f>ROW(SmtRes!A77)</f>
        <v>77</v>
      </c>
      <c r="D123">
        <f>ROW(EtalonRes!A73)</f>
        <v>73</v>
      </c>
      <c r="E123" t="s">
        <v>15</v>
      </c>
      <c r="F123" t="s">
        <v>125</v>
      </c>
      <c r="G123" t="s">
        <v>126</v>
      </c>
      <c r="H123" t="s">
        <v>127</v>
      </c>
      <c r="I123">
        <v>0</v>
      </c>
      <c r="J123">
        <v>0</v>
      </c>
      <c r="K123">
        <f>ROUND(47/100,9)</f>
        <v>0.47</v>
      </c>
      <c r="O123">
        <f t="shared" ref="O123:O135" si="116">ROUND(CP123,0)</f>
        <v>0</v>
      </c>
      <c r="P123">
        <f t="shared" ref="P123:P135" si="117">ROUND(CQ123*I123,0)</f>
        <v>0</v>
      </c>
      <c r="Q123">
        <f t="shared" ref="Q123:Q135" si="118">ROUND(CR123*I123,0)</f>
        <v>0</v>
      </c>
      <c r="R123">
        <f t="shared" ref="R123:R135" si="119">ROUND(CS123*I123,0)</f>
        <v>0</v>
      </c>
      <c r="S123">
        <f t="shared" ref="S123:S135" si="120">ROUND(CT123*I123,0)</f>
        <v>0</v>
      </c>
      <c r="T123">
        <f t="shared" ref="T123:T135" si="121">ROUND(CU123*I123,0)</f>
        <v>0</v>
      </c>
      <c r="U123">
        <f t="shared" ref="U123:U135" si="122">CV123*I123</f>
        <v>0</v>
      </c>
      <c r="V123">
        <f t="shared" ref="V123:V135" si="123">CW123*I123</f>
        <v>0</v>
      </c>
      <c r="W123">
        <f t="shared" ref="W123:W135" si="124">ROUND(CX123*I123,0)</f>
        <v>0</v>
      </c>
      <c r="X123">
        <f t="shared" ref="X123:X135" si="125">ROUND(CY123,0)</f>
        <v>0</v>
      </c>
      <c r="Y123">
        <f t="shared" ref="Y123:Y135" si="126">ROUND(CZ123,0)</f>
        <v>0</v>
      </c>
      <c r="AA123">
        <v>46416371</v>
      </c>
      <c r="AB123">
        <f t="shared" ref="AB123:AB135" si="127">ROUND((AC123+AD123+AF123),6)</f>
        <v>468.18799999999999</v>
      </c>
      <c r="AC123">
        <f t="shared" ref="AC123:AC135" si="128">ROUND((ES123),6)</f>
        <v>0</v>
      </c>
      <c r="AD123">
        <f>ROUND(((((ET123*1.15))-((EU123*1.15)))+AE123),6)</f>
        <v>353.34899999999999</v>
      </c>
      <c r="AE123">
        <f>ROUND(((EU123*1.15)),6)</f>
        <v>32.866999999999997</v>
      </c>
      <c r="AF123">
        <f>ROUND(((EV123*1.15)),6)</f>
        <v>114.839</v>
      </c>
      <c r="AG123">
        <f t="shared" ref="AG123:AG135" si="129">ROUND((AP123),6)</f>
        <v>0</v>
      </c>
      <c r="AH123">
        <f>((EW123*1.15))</f>
        <v>14.409499999999998</v>
      </c>
      <c r="AI123">
        <f>((EX123*1.15))</f>
        <v>3.4959999999999996</v>
      </c>
      <c r="AJ123">
        <f t="shared" ref="AJ123:AJ135" si="130">(AS123)</f>
        <v>0</v>
      </c>
      <c r="AK123">
        <v>407.12</v>
      </c>
      <c r="AL123">
        <v>0</v>
      </c>
      <c r="AM123">
        <v>307.26</v>
      </c>
      <c r="AN123">
        <v>28.58</v>
      </c>
      <c r="AO123">
        <v>99.86</v>
      </c>
      <c r="AP123">
        <v>0</v>
      </c>
      <c r="AQ123">
        <v>12.53</v>
      </c>
      <c r="AR123">
        <v>3.04</v>
      </c>
      <c r="AS123">
        <v>0</v>
      </c>
      <c r="AT123">
        <v>95</v>
      </c>
      <c r="AU123">
        <v>50</v>
      </c>
      <c r="AV123">
        <v>1</v>
      </c>
      <c r="AW123">
        <v>1</v>
      </c>
      <c r="AZ123">
        <v>1</v>
      </c>
      <c r="BA123">
        <v>34.75</v>
      </c>
      <c r="BB123">
        <v>13.36</v>
      </c>
      <c r="BC123">
        <v>8.2899999999999991</v>
      </c>
      <c r="BD123" t="s">
        <v>3</v>
      </c>
      <c r="BE123" t="s">
        <v>3</v>
      </c>
      <c r="BF123" t="s">
        <v>3</v>
      </c>
      <c r="BG123" t="s">
        <v>3</v>
      </c>
      <c r="BH123">
        <v>0</v>
      </c>
      <c r="BI123">
        <v>1</v>
      </c>
      <c r="BJ123" t="s">
        <v>128</v>
      </c>
      <c r="BM123">
        <v>1002</v>
      </c>
      <c r="BN123">
        <v>0</v>
      </c>
      <c r="BO123" t="s">
        <v>3</v>
      </c>
      <c r="BP123">
        <v>0</v>
      </c>
      <c r="BQ123">
        <v>2</v>
      </c>
      <c r="BR123">
        <v>0</v>
      </c>
      <c r="BS123">
        <v>34.75</v>
      </c>
      <c r="BT123">
        <v>1</v>
      </c>
      <c r="BU123">
        <v>1</v>
      </c>
      <c r="BV123">
        <v>1</v>
      </c>
      <c r="BW123">
        <v>1</v>
      </c>
      <c r="BX123">
        <v>1</v>
      </c>
      <c r="BY123" t="s">
        <v>3</v>
      </c>
      <c r="BZ123">
        <v>95</v>
      </c>
      <c r="CA123">
        <v>50</v>
      </c>
      <c r="CB123" t="s">
        <v>3</v>
      </c>
      <c r="CE123">
        <v>0</v>
      </c>
      <c r="CF123">
        <v>0</v>
      </c>
      <c r="CG123">
        <v>0</v>
      </c>
      <c r="CM123">
        <v>0</v>
      </c>
      <c r="CN123" t="s">
        <v>675</v>
      </c>
      <c r="CO123">
        <v>0</v>
      </c>
      <c r="CP123">
        <f t="shared" ref="CP123:CP135" si="131">(P123+Q123+S123)</f>
        <v>0</v>
      </c>
      <c r="CQ123">
        <f t="shared" ref="CQ123:CQ135" si="132">AC123*BC123</f>
        <v>0</v>
      </c>
      <c r="CR123">
        <f t="shared" ref="CR123:CR135" si="133">AD123*BB123</f>
        <v>4720.7426399999995</v>
      </c>
      <c r="CS123">
        <f t="shared" ref="CS123:CS135" si="134">AE123*BS123</f>
        <v>1142.12825</v>
      </c>
      <c r="CT123">
        <f t="shared" ref="CT123:CT135" si="135">AF123*BA123</f>
        <v>3990.6552499999998</v>
      </c>
      <c r="CU123">
        <f t="shared" ref="CU123:CU135" si="136">AG123</f>
        <v>0</v>
      </c>
      <c r="CV123">
        <f t="shared" ref="CV123:CV135" si="137">AH123</f>
        <v>14.409499999999998</v>
      </c>
      <c r="CW123">
        <f t="shared" ref="CW123:CW135" si="138">AI123</f>
        <v>3.4959999999999996</v>
      </c>
      <c r="CX123">
        <f t="shared" ref="CX123:CX135" si="139">AJ123</f>
        <v>0</v>
      </c>
      <c r="CY123">
        <f t="shared" ref="CY123:CY135" si="140">(((S123+R123)*AT123)/100)</f>
        <v>0</v>
      </c>
      <c r="CZ123">
        <f t="shared" ref="CZ123:CZ135" si="141">(((S123+R123)*AU123)/100)</f>
        <v>0</v>
      </c>
      <c r="DC123" t="s">
        <v>3</v>
      </c>
      <c r="DD123" t="s">
        <v>3</v>
      </c>
      <c r="DE123" t="s">
        <v>31</v>
      </c>
      <c r="DF123" t="s">
        <v>31</v>
      </c>
      <c r="DG123" t="s">
        <v>31</v>
      </c>
      <c r="DH123" t="s">
        <v>3</v>
      </c>
      <c r="DI123" t="s">
        <v>31</v>
      </c>
      <c r="DJ123" t="s">
        <v>31</v>
      </c>
      <c r="DK123" t="s">
        <v>3</v>
      </c>
      <c r="DL123" t="s">
        <v>3</v>
      </c>
      <c r="DM123" t="s">
        <v>3</v>
      </c>
      <c r="DN123">
        <v>0</v>
      </c>
      <c r="DO123">
        <v>0</v>
      </c>
      <c r="DP123">
        <v>1</v>
      </c>
      <c r="DQ123">
        <v>1</v>
      </c>
      <c r="DU123">
        <v>1013</v>
      </c>
      <c r="DV123" t="s">
        <v>127</v>
      </c>
      <c r="DW123" t="s">
        <v>127</v>
      </c>
      <c r="DX123">
        <v>1</v>
      </c>
      <c r="DZ123" t="s">
        <v>3</v>
      </c>
      <c r="EA123" t="s">
        <v>3</v>
      </c>
      <c r="EB123" t="s">
        <v>3</v>
      </c>
      <c r="EC123" t="s">
        <v>3</v>
      </c>
      <c r="EE123">
        <v>42475884</v>
      </c>
      <c r="EF123">
        <v>2</v>
      </c>
      <c r="EG123" t="s">
        <v>22</v>
      </c>
      <c r="EH123">
        <v>0</v>
      </c>
      <c r="EI123" t="s">
        <v>3</v>
      </c>
      <c r="EJ123">
        <v>1</v>
      </c>
      <c r="EK123">
        <v>1002</v>
      </c>
      <c r="EL123" t="s">
        <v>54</v>
      </c>
      <c r="EM123" t="s">
        <v>33</v>
      </c>
      <c r="EO123" t="s">
        <v>34</v>
      </c>
      <c r="EQ123">
        <v>0</v>
      </c>
      <c r="ER123">
        <v>407.12</v>
      </c>
      <c r="ES123">
        <v>0</v>
      </c>
      <c r="ET123">
        <v>307.26</v>
      </c>
      <c r="EU123">
        <v>28.58</v>
      </c>
      <c r="EV123">
        <v>99.86</v>
      </c>
      <c r="EW123">
        <v>12.53</v>
      </c>
      <c r="EX123">
        <v>3.04</v>
      </c>
      <c r="EY123">
        <v>0</v>
      </c>
      <c r="FQ123">
        <v>0</v>
      </c>
      <c r="FR123">
        <f t="shared" ref="FR123:FR135" si="142">ROUND(IF(AND(BH123=3,BI123=3),P123,0),0)</f>
        <v>0</v>
      </c>
      <c r="FS123">
        <v>0</v>
      </c>
      <c r="FX123">
        <v>95</v>
      </c>
      <c r="FY123">
        <v>50</v>
      </c>
      <c r="GA123" t="s">
        <v>3</v>
      </c>
      <c r="GD123">
        <v>1</v>
      </c>
      <c r="GF123">
        <v>-2137936402</v>
      </c>
      <c r="GG123">
        <v>2</v>
      </c>
      <c r="GH123">
        <v>1</v>
      </c>
      <c r="GI123">
        <v>4</v>
      </c>
      <c r="GJ123">
        <v>0</v>
      </c>
      <c r="GK123">
        <v>0</v>
      </c>
      <c r="GL123">
        <f t="shared" ref="GL123:GL135" si="143">ROUND(IF(AND(BH123=3,BI123=3,FS123&lt;&gt;0),P123,0),0)</f>
        <v>0</v>
      </c>
      <c r="GM123">
        <f t="shared" ref="GM123:GM135" si="144">ROUND(O123+X123+Y123,0)+GX123</f>
        <v>0</v>
      </c>
      <c r="GN123">
        <f t="shared" ref="GN123:GN135" si="145">IF(OR(BI123=0,BI123=1),ROUND(O123+X123+Y123,0),0)</f>
        <v>0</v>
      </c>
      <c r="GO123">
        <f t="shared" ref="GO123:GO135" si="146">IF(BI123=2,ROUND(O123+X123+Y123,0),0)</f>
        <v>0</v>
      </c>
      <c r="GP123">
        <f t="shared" ref="GP123:GP135" si="147">IF(BI123=4,ROUND(O123+X123+Y123,0)+GX123,0)</f>
        <v>0</v>
      </c>
      <c r="GR123">
        <v>0</v>
      </c>
      <c r="GS123">
        <v>3</v>
      </c>
      <c r="GT123">
        <v>0</v>
      </c>
      <c r="GU123" t="s">
        <v>3</v>
      </c>
      <c r="GV123">
        <f t="shared" ref="GV123:GV135" si="148">ROUND((GT123),6)</f>
        <v>0</v>
      </c>
      <c r="GW123">
        <v>1</v>
      </c>
      <c r="GX123">
        <f t="shared" ref="GX123:GX135" si="149">ROUND(HC123*I123,0)</f>
        <v>0</v>
      </c>
      <c r="HA123">
        <v>0</v>
      </c>
      <c r="HB123">
        <v>0</v>
      </c>
      <c r="HC123">
        <f t="shared" ref="HC123:HC135" si="150">GV123*GW123</f>
        <v>0</v>
      </c>
      <c r="HE123" t="s">
        <v>3</v>
      </c>
      <c r="HF123" t="s">
        <v>3</v>
      </c>
      <c r="HM123" t="s">
        <v>3</v>
      </c>
      <c r="HN123" t="s">
        <v>3</v>
      </c>
      <c r="HO123" t="s">
        <v>3</v>
      </c>
      <c r="HP123" t="s">
        <v>3</v>
      </c>
      <c r="HQ123" t="s">
        <v>3</v>
      </c>
      <c r="IK123">
        <v>0</v>
      </c>
    </row>
    <row r="124" spans="1:245" x14ac:dyDescent="0.2">
      <c r="A124">
        <v>17</v>
      </c>
      <c r="B124">
        <v>1</v>
      </c>
      <c r="C124">
        <f>ROW(SmtRes!A85)</f>
        <v>85</v>
      </c>
      <c r="D124">
        <f>ROW(EtalonRes!A80)</f>
        <v>80</v>
      </c>
      <c r="E124" t="s">
        <v>26</v>
      </c>
      <c r="F124" t="s">
        <v>129</v>
      </c>
      <c r="G124" t="s">
        <v>130</v>
      </c>
      <c r="H124" t="s">
        <v>131</v>
      </c>
      <c r="I124">
        <v>26</v>
      </c>
      <c r="J124">
        <v>0</v>
      </c>
      <c r="K124">
        <v>26</v>
      </c>
      <c r="O124">
        <f t="shared" si="116"/>
        <v>58321</v>
      </c>
      <c r="P124">
        <f t="shared" si="117"/>
        <v>18103</v>
      </c>
      <c r="Q124">
        <f t="shared" si="118"/>
        <v>11624</v>
      </c>
      <c r="R124">
        <f t="shared" si="119"/>
        <v>2930</v>
      </c>
      <c r="S124">
        <f t="shared" si="120"/>
        <v>28594</v>
      </c>
      <c r="T124">
        <f t="shared" si="121"/>
        <v>0</v>
      </c>
      <c r="U124">
        <f t="shared" si="122"/>
        <v>101.959</v>
      </c>
      <c r="V124">
        <f t="shared" si="123"/>
        <v>8.9699999999999989</v>
      </c>
      <c r="W124">
        <f t="shared" si="124"/>
        <v>0</v>
      </c>
      <c r="X124">
        <f t="shared" si="125"/>
        <v>38775</v>
      </c>
      <c r="Y124">
        <f t="shared" si="126"/>
        <v>23643</v>
      </c>
      <c r="AA124">
        <v>46416371</v>
      </c>
      <c r="AB124">
        <f t="shared" si="127"/>
        <v>149.10300000000001</v>
      </c>
      <c r="AC124">
        <f t="shared" si="128"/>
        <v>83.99</v>
      </c>
      <c r="AD124">
        <f>ROUND(((((ET124*1.15))-((EU124*1.15)))+AE124),6)</f>
        <v>33.465000000000003</v>
      </c>
      <c r="AE124">
        <f>ROUND(((EU124*1.15)),6)</f>
        <v>3.2429999999999999</v>
      </c>
      <c r="AF124">
        <f>ROUND(((EV124*1.15)),6)</f>
        <v>31.648</v>
      </c>
      <c r="AG124">
        <f t="shared" si="129"/>
        <v>0</v>
      </c>
      <c r="AH124">
        <f>((EW124*1.15))</f>
        <v>3.9215</v>
      </c>
      <c r="AI124">
        <f>((EX124*1.15))</f>
        <v>0.34499999999999997</v>
      </c>
      <c r="AJ124">
        <f t="shared" si="130"/>
        <v>0</v>
      </c>
      <c r="AK124">
        <v>140.61000000000001</v>
      </c>
      <c r="AL124">
        <v>83.99</v>
      </c>
      <c r="AM124">
        <v>29.1</v>
      </c>
      <c r="AN124">
        <v>2.82</v>
      </c>
      <c r="AO124">
        <v>27.52</v>
      </c>
      <c r="AP124">
        <v>0</v>
      </c>
      <c r="AQ124">
        <v>3.41</v>
      </c>
      <c r="AR124">
        <v>0.3</v>
      </c>
      <c r="AS124">
        <v>0</v>
      </c>
      <c r="AT124">
        <v>123</v>
      </c>
      <c r="AU124">
        <v>75</v>
      </c>
      <c r="AV124">
        <v>1</v>
      </c>
      <c r="AW124">
        <v>1</v>
      </c>
      <c r="AZ124">
        <v>1</v>
      </c>
      <c r="BA124">
        <v>34.75</v>
      </c>
      <c r="BB124">
        <v>13.36</v>
      </c>
      <c r="BC124">
        <v>8.2899999999999991</v>
      </c>
      <c r="BD124" t="s">
        <v>3</v>
      </c>
      <c r="BE124" t="s">
        <v>3</v>
      </c>
      <c r="BF124" t="s">
        <v>3</v>
      </c>
      <c r="BG124" t="s">
        <v>3</v>
      </c>
      <c r="BH124">
        <v>0</v>
      </c>
      <c r="BI124">
        <v>1</v>
      </c>
      <c r="BJ124" t="s">
        <v>132</v>
      </c>
      <c r="BM124">
        <v>11001</v>
      </c>
      <c r="BN124">
        <v>0</v>
      </c>
      <c r="BO124" t="s">
        <v>3</v>
      </c>
      <c r="BP124">
        <v>0</v>
      </c>
      <c r="BQ124">
        <v>2</v>
      </c>
      <c r="BR124">
        <v>0</v>
      </c>
      <c r="BS124">
        <v>34.75</v>
      </c>
      <c r="BT124">
        <v>1</v>
      </c>
      <c r="BU124">
        <v>1</v>
      </c>
      <c r="BV124">
        <v>1</v>
      </c>
      <c r="BW124">
        <v>1</v>
      </c>
      <c r="BX124">
        <v>1</v>
      </c>
      <c r="BY124" t="s">
        <v>3</v>
      </c>
      <c r="BZ124">
        <v>123</v>
      </c>
      <c r="CA124">
        <v>75</v>
      </c>
      <c r="CB124" t="s">
        <v>3</v>
      </c>
      <c r="CE124">
        <v>0</v>
      </c>
      <c r="CF124">
        <v>0</v>
      </c>
      <c r="CG124">
        <v>0</v>
      </c>
      <c r="CM124">
        <v>0</v>
      </c>
      <c r="CN124" t="s">
        <v>678</v>
      </c>
      <c r="CO124">
        <v>0</v>
      </c>
      <c r="CP124">
        <f t="shared" si="131"/>
        <v>58321</v>
      </c>
      <c r="CQ124">
        <f t="shared" si="132"/>
        <v>696.2770999999999</v>
      </c>
      <c r="CR124">
        <f t="shared" si="133"/>
        <v>447.09240000000005</v>
      </c>
      <c r="CS124">
        <f t="shared" si="134"/>
        <v>112.69425</v>
      </c>
      <c r="CT124">
        <f t="shared" si="135"/>
        <v>1099.768</v>
      </c>
      <c r="CU124">
        <f t="shared" si="136"/>
        <v>0</v>
      </c>
      <c r="CV124">
        <f t="shared" si="137"/>
        <v>3.9215</v>
      </c>
      <c r="CW124">
        <f t="shared" si="138"/>
        <v>0.34499999999999997</v>
      </c>
      <c r="CX124">
        <f t="shared" si="139"/>
        <v>0</v>
      </c>
      <c r="CY124">
        <f t="shared" si="140"/>
        <v>38774.519999999997</v>
      </c>
      <c r="CZ124">
        <f t="shared" si="141"/>
        <v>23643</v>
      </c>
      <c r="DC124" t="s">
        <v>3</v>
      </c>
      <c r="DD124" t="s">
        <v>3</v>
      </c>
      <c r="DE124" t="s">
        <v>31</v>
      </c>
      <c r="DF124" t="s">
        <v>31</v>
      </c>
      <c r="DG124" t="s">
        <v>31</v>
      </c>
      <c r="DH124" t="s">
        <v>3</v>
      </c>
      <c r="DI124" t="s">
        <v>31</v>
      </c>
      <c r="DJ124" t="s">
        <v>31</v>
      </c>
      <c r="DK124" t="s">
        <v>3</v>
      </c>
      <c r="DL124" t="s">
        <v>3</v>
      </c>
      <c r="DM124" t="s">
        <v>3</v>
      </c>
      <c r="DN124">
        <v>0</v>
      </c>
      <c r="DO124">
        <v>0</v>
      </c>
      <c r="DP124">
        <v>1</v>
      </c>
      <c r="DQ124">
        <v>1</v>
      </c>
      <c r="DU124">
        <v>1013</v>
      </c>
      <c r="DV124" t="s">
        <v>131</v>
      </c>
      <c r="DW124" t="s">
        <v>131</v>
      </c>
      <c r="DX124">
        <v>1</v>
      </c>
      <c r="DZ124" t="s">
        <v>3</v>
      </c>
      <c r="EA124" t="s">
        <v>3</v>
      </c>
      <c r="EB124" t="s">
        <v>3</v>
      </c>
      <c r="EC124" t="s">
        <v>3</v>
      </c>
      <c r="EE124">
        <v>42475910</v>
      </c>
      <c r="EF124">
        <v>2</v>
      </c>
      <c r="EG124" t="s">
        <v>22</v>
      </c>
      <c r="EH124">
        <v>0</v>
      </c>
      <c r="EI124" t="s">
        <v>3</v>
      </c>
      <c r="EJ124">
        <v>1</v>
      </c>
      <c r="EK124">
        <v>11001</v>
      </c>
      <c r="EL124" t="s">
        <v>133</v>
      </c>
      <c r="EM124" t="s">
        <v>134</v>
      </c>
      <c r="EO124" t="s">
        <v>135</v>
      </c>
      <c r="EQ124">
        <v>0</v>
      </c>
      <c r="ER124">
        <v>140.61000000000001</v>
      </c>
      <c r="ES124">
        <v>83.99</v>
      </c>
      <c r="ET124">
        <v>29.1</v>
      </c>
      <c r="EU124">
        <v>2.82</v>
      </c>
      <c r="EV124">
        <v>27.52</v>
      </c>
      <c r="EW124">
        <v>3.41</v>
      </c>
      <c r="EX124">
        <v>0.3</v>
      </c>
      <c r="EY124">
        <v>0</v>
      </c>
      <c r="FQ124">
        <v>0</v>
      </c>
      <c r="FR124">
        <f t="shared" si="142"/>
        <v>0</v>
      </c>
      <c r="FS124">
        <v>0</v>
      </c>
      <c r="FX124">
        <v>123</v>
      </c>
      <c r="FY124">
        <v>75</v>
      </c>
      <c r="GA124" t="s">
        <v>3</v>
      </c>
      <c r="GD124">
        <v>1</v>
      </c>
      <c r="GF124">
        <v>-1993022624</v>
      </c>
      <c r="GG124">
        <v>2</v>
      </c>
      <c r="GH124">
        <v>1</v>
      </c>
      <c r="GI124">
        <v>4</v>
      </c>
      <c r="GJ124">
        <v>0</v>
      </c>
      <c r="GK124">
        <v>0</v>
      </c>
      <c r="GL124">
        <f t="shared" si="143"/>
        <v>0</v>
      </c>
      <c r="GM124">
        <f t="shared" si="144"/>
        <v>120739</v>
      </c>
      <c r="GN124">
        <f t="shared" si="145"/>
        <v>120739</v>
      </c>
      <c r="GO124">
        <f t="shared" si="146"/>
        <v>0</v>
      </c>
      <c r="GP124">
        <f t="shared" si="147"/>
        <v>0</v>
      </c>
      <c r="GR124">
        <v>0</v>
      </c>
      <c r="GS124">
        <v>3</v>
      </c>
      <c r="GT124">
        <v>0</v>
      </c>
      <c r="GU124" t="s">
        <v>3</v>
      </c>
      <c r="GV124">
        <f t="shared" si="148"/>
        <v>0</v>
      </c>
      <c r="GW124">
        <v>1</v>
      </c>
      <c r="GX124">
        <f t="shared" si="149"/>
        <v>0</v>
      </c>
      <c r="HA124">
        <v>0</v>
      </c>
      <c r="HB124">
        <v>0</v>
      </c>
      <c r="HC124">
        <f t="shared" si="150"/>
        <v>0</v>
      </c>
      <c r="HE124" t="s">
        <v>3</v>
      </c>
      <c r="HF124" t="s">
        <v>3</v>
      </c>
      <c r="HM124" t="s">
        <v>3</v>
      </c>
      <c r="HN124" t="s">
        <v>3</v>
      </c>
      <c r="HO124" t="s">
        <v>3</v>
      </c>
      <c r="HP124" t="s">
        <v>3</v>
      </c>
      <c r="HQ124" t="s">
        <v>3</v>
      </c>
      <c r="IK124">
        <v>0</v>
      </c>
    </row>
    <row r="125" spans="1:245" x14ac:dyDescent="0.2">
      <c r="A125">
        <v>18</v>
      </c>
      <c r="B125">
        <v>1</v>
      </c>
      <c r="C125">
        <v>83</v>
      </c>
      <c r="E125" t="s">
        <v>200</v>
      </c>
      <c r="F125" t="s">
        <v>137</v>
      </c>
      <c r="G125" t="s">
        <v>138</v>
      </c>
      <c r="H125" t="s">
        <v>139</v>
      </c>
      <c r="I125">
        <f>I124*J125</f>
        <v>-31.2</v>
      </c>
      <c r="J125">
        <v>-1.2</v>
      </c>
      <c r="K125">
        <v>-1.2</v>
      </c>
      <c r="O125">
        <f t="shared" si="116"/>
        <v>-18061</v>
      </c>
      <c r="P125">
        <f t="shared" si="117"/>
        <v>-18061</v>
      </c>
      <c r="Q125">
        <f t="shared" si="118"/>
        <v>0</v>
      </c>
      <c r="R125">
        <f t="shared" si="119"/>
        <v>0</v>
      </c>
      <c r="S125">
        <f t="shared" si="120"/>
        <v>0</v>
      </c>
      <c r="T125">
        <f t="shared" si="121"/>
        <v>0</v>
      </c>
      <c r="U125">
        <f t="shared" si="122"/>
        <v>0</v>
      </c>
      <c r="V125">
        <f t="shared" si="123"/>
        <v>0</v>
      </c>
      <c r="W125">
        <f t="shared" si="124"/>
        <v>0</v>
      </c>
      <c r="X125">
        <f t="shared" si="125"/>
        <v>0</v>
      </c>
      <c r="Y125">
        <f t="shared" si="126"/>
        <v>0</v>
      </c>
      <c r="AA125">
        <v>46416371</v>
      </c>
      <c r="AB125">
        <f t="shared" si="127"/>
        <v>69.83</v>
      </c>
      <c r="AC125">
        <f t="shared" si="128"/>
        <v>69.83</v>
      </c>
      <c r="AD125">
        <f>ROUND((((ET125)-(EU125))+AE125),6)</f>
        <v>0</v>
      </c>
      <c r="AE125">
        <f>ROUND((EU125),6)</f>
        <v>0</v>
      </c>
      <c r="AF125">
        <f>ROUND((EV125),6)</f>
        <v>0</v>
      </c>
      <c r="AG125">
        <f t="shared" si="129"/>
        <v>0</v>
      </c>
      <c r="AH125">
        <f>(EW125)</f>
        <v>0</v>
      </c>
      <c r="AI125">
        <f>(EX125)</f>
        <v>0</v>
      </c>
      <c r="AJ125">
        <f t="shared" si="130"/>
        <v>0</v>
      </c>
      <c r="AK125">
        <v>69.83</v>
      </c>
      <c r="AL125">
        <v>69.83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</v>
      </c>
      <c r="AW125">
        <v>1</v>
      </c>
      <c r="AZ125">
        <v>1</v>
      </c>
      <c r="BA125">
        <v>1</v>
      </c>
      <c r="BB125">
        <v>1</v>
      </c>
      <c r="BC125">
        <v>8.2899999999999991</v>
      </c>
      <c r="BD125" t="s">
        <v>3</v>
      </c>
      <c r="BE125" t="s">
        <v>3</v>
      </c>
      <c r="BF125" t="s">
        <v>3</v>
      </c>
      <c r="BG125" t="s">
        <v>3</v>
      </c>
      <c r="BH125">
        <v>3</v>
      </c>
      <c r="BI125">
        <v>1</v>
      </c>
      <c r="BJ125" t="s">
        <v>140</v>
      </c>
      <c r="BM125">
        <v>500001</v>
      </c>
      <c r="BN125">
        <v>0</v>
      </c>
      <c r="BO125" t="s">
        <v>3</v>
      </c>
      <c r="BP125">
        <v>0</v>
      </c>
      <c r="BQ125">
        <v>8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3</v>
      </c>
      <c r="BZ125">
        <v>0</v>
      </c>
      <c r="CA125">
        <v>0</v>
      </c>
      <c r="CB125" t="s">
        <v>3</v>
      </c>
      <c r="CE125">
        <v>0</v>
      </c>
      <c r="CF125">
        <v>0</v>
      </c>
      <c r="CG125">
        <v>0</v>
      </c>
      <c r="CM125">
        <v>0</v>
      </c>
      <c r="CN125" t="s">
        <v>3</v>
      </c>
      <c r="CO125">
        <v>0</v>
      </c>
      <c r="CP125">
        <f t="shared" si="131"/>
        <v>-18061</v>
      </c>
      <c r="CQ125">
        <f t="shared" si="132"/>
        <v>578.89069999999992</v>
      </c>
      <c r="CR125">
        <f t="shared" si="133"/>
        <v>0</v>
      </c>
      <c r="CS125">
        <f t="shared" si="134"/>
        <v>0</v>
      </c>
      <c r="CT125">
        <f t="shared" si="135"/>
        <v>0</v>
      </c>
      <c r="CU125">
        <f t="shared" si="136"/>
        <v>0</v>
      </c>
      <c r="CV125">
        <f t="shared" si="137"/>
        <v>0</v>
      </c>
      <c r="CW125">
        <f t="shared" si="138"/>
        <v>0</v>
      </c>
      <c r="CX125">
        <f t="shared" si="139"/>
        <v>0</v>
      </c>
      <c r="CY125">
        <f t="shared" si="140"/>
        <v>0</v>
      </c>
      <c r="CZ125">
        <f t="shared" si="141"/>
        <v>0</v>
      </c>
      <c r="DC125" t="s">
        <v>3</v>
      </c>
      <c r="DD125" t="s">
        <v>3</v>
      </c>
      <c r="DE125" t="s">
        <v>3</v>
      </c>
      <c r="DF125" t="s">
        <v>3</v>
      </c>
      <c r="DG125" t="s">
        <v>3</v>
      </c>
      <c r="DH125" t="s">
        <v>3</v>
      </c>
      <c r="DI125" t="s">
        <v>3</v>
      </c>
      <c r="DJ125" t="s">
        <v>3</v>
      </c>
      <c r="DK125" t="s">
        <v>3</v>
      </c>
      <c r="DL125" t="s">
        <v>3</v>
      </c>
      <c r="DM125" t="s">
        <v>3</v>
      </c>
      <c r="DN125">
        <v>0</v>
      </c>
      <c r="DO125">
        <v>0</v>
      </c>
      <c r="DP125">
        <v>1</v>
      </c>
      <c r="DQ125">
        <v>1</v>
      </c>
      <c r="DU125">
        <v>1007</v>
      </c>
      <c r="DV125" t="s">
        <v>139</v>
      </c>
      <c r="DW125" t="s">
        <v>139</v>
      </c>
      <c r="DX125">
        <v>1</v>
      </c>
      <c r="DZ125" t="s">
        <v>3</v>
      </c>
      <c r="EA125" t="s">
        <v>3</v>
      </c>
      <c r="EB125" t="s">
        <v>3</v>
      </c>
      <c r="EC125" t="s">
        <v>3</v>
      </c>
      <c r="EE125">
        <v>42475842</v>
      </c>
      <c r="EF125">
        <v>8</v>
      </c>
      <c r="EG125" t="s">
        <v>141</v>
      </c>
      <c r="EH125">
        <v>0</v>
      </c>
      <c r="EI125" t="s">
        <v>3</v>
      </c>
      <c r="EJ125">
        <v>1</v>
      </c>
      <c r="EK125">
        <v>500001</v>
      </c>
      <c r="EL125" t="s">
        <v>142</v>
      </c>
      <c r="EM125" t="s">
        <v>143</v>
      </c>
      <c r="EO125" t="s">
        <v>3</v>
      </c>
      <c r="EQ125">
        <v>32768</v>
      </c>
      <c r="ER125">
        <v>69.83</v>
      </c>
      <c r="ES125">
        <v>69.83</v>
      </c>
      <c r="ET125">
        <v>0</v>
      </c>
      <c r="EU125">
        <v>0</v>
      </c>
      <c r="EV125">
        <v>0</v>
      </c>
      <c r="EW125">
        <v>0</v>
      </c>
      <c r="EX125">
        <v>0</v>
      </c>
      <c r="FQ125">
        <v>0</v>
      </c>
      <c r="FR125">
        <f t="shared" si="142"/>
        <v>0</v>
      </c>
      <c r="FS125">
        <v>0</v>
      </c>
      <c r="FX125">
        <v>0</v>
      </c>
      <c r="FY125">
        <v>0</v>
      </c>
      <c r="GA125" t="s">
        <v>3</v>
      </c>
      <c r="GD125">
        <v>1</v>
      </c>
      <c r="GF125">
        <v>894824937</v>
      </c>
      <c r="GG125">
        <v>2</v>
      </c>
      <c r="GH125">
        <v>1</v>
      </c>
      <c r="GI125">
        <v>4</v>
      </c>
      <c r="GJ125">
        <v>0</v>
      </c>
      <c r="GK125">
        <v>0</v>
      </c>
      <c r="GL125">
        <f t="shared" si="143"/>
        <v>0</v>
      </c>
      <c r="GM125">
        <f t="shared" si="144"/>
        <v>-18061</v>
      </c>
      <c r="GN125">
        <f t="shared" si="145"/>
        <v>-18061</v>
      </c>
      <c r="GO125">
        <f t="shared" si="146"/>
        <v>0</v>
      </c>
      <c r="GP125">
        <f t="shared" si="147"/>
        <v>0</v>
      </c>
      <c r="GR125">
        <v>0</v>
      </c>
      <c r="GS125">
        <v>3</v>
      </c>
      <c r="GT125">
        <v>0</v>
      </c>
      <c r="GU125" t="s">
        <v>3</v>
      </c>
      <c r="GV125">
        <f t="shared" si="148"/>
        <v>0</v>
      </c>
      <c r="GW125">
        <v>1</v>
      </c>
      <c r="GX125">
        <f t="shared" si="149"/>
        <v>0</v>
      </c>
      <c r="HA125">
        <v>0</v>
      </c>
      <c r="HB125">
        <v>0</v>
      </c>
      <c r="HC125">
        <f t="shared" si="150"/>
        <v>0</v>
      </c>
      <c r="HE125" t="s">
        <v>3</v>
      </c>
      <c r="HF125" t="s">
        <v>3</v>
      </c>
      <c r="HM125" t="s">
        <v>3</v>
      </c>
      <c r="HN125" t="s">
        <v>3</v>
      </c>
      <c r="HO125" t="s">
        <v>3</v>
      </c>
      <c r="HP125" t="s">
        <v>3</v>
      </c>
      <c r="HQ125" t="s">
        <v>3</v>
      </c>
      <c r="IK125">
        <v>0</v>
      </c>
    </row>
    <row r="126" spans="1:245" x14ac:dyDescent="0.2">
      <c r="A126">
        <v>18</v>
      </c>
      <c r="B126">
        <v>1</v>
      </c>
      <c r="C126">
        <v>85</v>
      </c>
      <c r="E126" t="s">
        <v>201</v>
      </c>
      <c r="F126" t="s">
        <v>145</v>
      </c>
      <c r="G126" t="s">
        <v>146</v>
      </c>
      <c r="H126" t="s">
        <v>139</v>
      </c>
      <c r="I126">
        <f>I124*J126</f>
        <v>31.2</v>
      </c>
      <c r="J126">
        <v>1.2</v>
      </c>
      <c r="K126">
        <v>1.2</v>
      </c>
      <c r="O126">
        <f t="shared" si="116"/>
        <v>26000</v>
      </c>
      <c r="P126">
        <f t="shared" si="117"/>
        <v>26000</v>
      </c>
      <c r="Q126">
        <f t="shared" si="118"/>
        <v>0</v>
      </c>
      <c r="R126">
        <f t="shared" si="119"/>
        <v>0</v>
      </c>
      <c r="S126">
        <f t="shared" si="120"/>
        <v>0</v>
      </c>
      <c r="T126">
        <f t="shared" si="121"/>
        <v>0</v>
      </c>
      <c r="U126">
        <f t="shared" si="122"/>
        <v>0</v>
      </c>
      <c r="V126">
        <f t="shared" si="123"/>
        <v>0</v>
      </c>
      <c r="W126">
        <f t="shared" si="124"/>
        <v>0</v>
      </c>
      <c r="X126">
        <f t="shared" si="125"/>
        <v>0</v>
      </c>
      <c r="Y126">
        <f t="shared" si="126"/>
        <v>0</v>
      </c>
      <c r="AA126">
        <v>46416371</v>
      </c>
      <c r="AB126">
        <f t="shared" si="127"/>
        <v>833.33</v>
      </c>
      <c r="AC126">
        <f t="shared" si="128"/>
        <v>833.33</v>
      </c>
      <c r="AD126">
        <f>ROUND((((ET126)-(EU126))+AE126),6)</f>
        <v>0</v>
      </c>
      <c r="AE126">
        <f>ROUND((EU126),6)</f>
        <v>0</v>
      </c>
      <c r="AF126">
        <f>ROUND((EV126),6)</f>
        <v>0</v>
      </c>
      <c r="AG126">
        <f t="shared" si="129"/>
        <v>0</v>
      </c>
      <c r="AH126">
        <f>(EW126)</f>
        <v>0</v>
      </c>
      <c r="AI126">
        <f>(EX126)</f>
        <v>0</v>
      </c>
      <c r="AJ126">
        <f t="shared" si="130"/>
        <v>0</v>
      </c>
      <c r="AK126">
        <v>833.33</v>
      </c>
      <c r="AL126">
        <v>833.33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1</v>
      </c>
      <c r="AW126">
        <v>1</v>
      </c>
      <c r="AZ126">
        <v>1</v>
      </c>
      <c r="BA126">
        <v>1</v>
      </c>
      <c r="BB126">
        <v>1</v>
      </c>
      <c r="BC126">
        <v>1</v>
      </c>
      <c r="BD126" t="s">
        <v>3</v>
      </c>
      <c r="BE126" t="s">
        <v>3</v>
      </c>
      <c r="BF126" t="s">
        <v>3</v>
      </c>
      <c r="BG126" t="s">
        <v>3</v>
      </c>
      <c r="BH126">
        <v>3</v>
      </c>
      <c r="BI126">
        <v>4</v>
      </c>
      <c r="BJ126" t="s">
        <v>3</v>
      </c>
      <c r="BM126">
        <v>0</v>
      </c>
      <c r="BN126">
        <v>0</v>
      </c>
      <c r="BO126" t="s">
        <v>3</v>
      </c>
      <c r="BP126">
        <v>0</v>
      </c>
      <c r="BQ126">
        <v>16</v>
      </c>
      <c r="BR126">
        <v>0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 t="s">
        <v>3</v>
      </c>
      <c r="BZ126">
        <v>0</v>
      </c>
      <c r="CA126">
        <v>0</v>
      </c>
      <c r="CB126" t="s">
        <v>3</v>
      </c>
      <c r="CE126">
        <v>0</v>
      </c>
      <c r="CF126">
        <v>0</v>
      </c>
      <c r="CG126">
        <v>0</v>
      </c>
      <c r="CM126">
        <v>0</v>
      </c>
      <c r="CN126" t="s">
        <v>3</v>
      </c>
      <c r="CO126">
        <v>0</v>
      </c>
      <c r="CP126">
        <f t="shared" si="131"/>
        <v>26000</v>
      </c>
      <c r="CQ126">
        <f t="shared" si="132"/>
        <v>833.33</v>
      </c>
      <c r="CR126">
        <f t="shared" si="133"/>
        <v>0</v>
      </c>
      <c r="CS126">
        <f t="shared" si="134"/>
        <v>0</v>
      </c>
      <c r="CT126">
        <f t="shared" si="135"/>
        <v>0</v>
      </c>
      <c r="CU126">
        <f t="shared" si="136"/>
        <v>0</v>
      </c>
      <c r="CV126">
        <f t="shared" si="137"/>
        <v>0</v>
      </c>
      <c r="CW126">
        <f t="shared" si="138"/>
        <v>0</v>
      </c>
      <c r="CX126">
        <f t="shared" si="139"/>
        <v>0</v>
      </c>
      <c r="CY126">
        <f t="shared" si="140"/>
        <v>0</v>
      </c>
      <c r="CZ126">
        <f t="shared" si="141"/>
        <v>0</v>
      </c>
      <c r="DC126" t="s">
        <v>3</v>
      </c>
      <c r="DD126" t="s">
        <v>3</v>
      </c>
      <c r="DE126" t="s">
        <v>3</v>
      </c>
      <c r="DF126" t="s">
        <v>3</v>
      </c>
      <c r="DG126" t="s">
        <v>3</v>
      </c>
      <c r="DH126" t="s">
        <v>3</v>
      </c>
      <c r="DI126" t="s">
        <v>3</v>
      </c>
      <c r="DJ126" t="s">
        <v>3</v>
      </c>
      <c r="DK126" t="s">
        <v>3</v>
      </c>
      <c r="DL126" t="s">
        <v>3</v>
      </c>
      <c r="DM126" t="s">
        <v>3</v>
      </c>
      <c r="DN126">
        <v>0</v>
      </c>
      <c r="DO126">
        <v>0</v>
      </c>
      <c r="DP126">
        <v>1</v>
      </c>
      <c r="DQ126">
        <v>1</v>
      </c>
      <c r="DU126">
        <v>1007</v>
      </c>
      <c r="DV126" t="s">
        <v>139</v>
      </c>
      <c r="DW126" t="s">
        <v>139</v>
      </c>
      <c r="DX126">
        <v>1</v>
      </c>
      <c r="DZ126" t="s">
        <v>3</v>
      </c>
      <c r="EA126" t="s">
        <v>3</v>
      </c>
      <c r="EB126" t="s">
        <v>3</v>
      </c>
      <c r="EC126" t="s">
        <v>3</v>
      </c>
      <c r="EE126">
        <v>42475850</v>
      </c>
      <c r="EF126">
        <v>16</v>
      </c>
      <c r="EG126" t="s">
        <v>147</v>
      </c>
      <c r="EH126">
        <v>0</v>
      </c>
      <c r="EI126" t="s">
        <v>3</v>
      </c>
      <c r="EJ126">
        <v>4</v>
      </c>
      <c r="EK126">
        <v>0</v>
      </c>
      <c r="EL126" t="s">
        <v>148</v>
      </c>
      <c r="EM126" t="s">
        <v>149</v>
      </c>
      <c r="EO126" t="s">
        <v>3</v>
      </c>
      <c r="EQ126">
        <v>0</v>
      </c>
      <c r="ER126">
        <v>833.33</v>
      </c>
      <c r="ES126">
        <v>833.33</v>
      </c>
      <c r="ET126">
        <v>0</v>
      </c>
      <c r="EU126">
        <v>0</v>
      </c>
      <c r="EV126">
        <v>0</v>
      </c>
      <c r="EW126">
        <v>0</v>
      </c>
      <c r="EX126">
        <v>0</v>
      </c>
      <c r="EZ126">
        <v>5</v>
      </c>
      <c r="FC126">
        <v>1</v>
      </c>
      <c r="FD126">
        <v>18</v>
      </c>
      <c r="FF126">
        <v>1000</v>
      </c>
      <c r="FQ126">
        <v>0</v>
      </c>
      <c r="FR126">
        <f t="shared" si="142"/>
        <v>0</v>
      </c>
      <c r="FS126">
        <v>0</v>
      </c>
      <c r="FX126">
        <v>0</v>
      </c>
      <c r="FY126">
        <v>0</v>
      </c>
      <c r="GA126" t="s">
        <v>150</v>
      </c>
      <c r="GD126">
        <v>1</v>
      </c>
      <c r="GF126">
        <v>-1718654303</v>
      </c>
      <c r="GG126">
        <v>2</v>
      </c>
      <c r="GH126">
        <v>3</v>
      </c>
      <c r="GI126">
        <v>4</v>
      </c>
      <c r="GJ126">
        <v>0</v>
      </c>
      <c r="GK126">
        <v>0</v>
      </c>
      <c r="GL126">
        <f t="shared" si="143"/>
        <v>0</v>
      </c>
      <c r="GM126">
        <f t="shared" si="144"/>
        <v>26000</v>
      </c>
      <c r="GN126">
        <f t="shared" si="145"/>
        <v>0</v>
      </c>
      <c r="GO126">
        <f t="shared" si="146"/>
        <v>0</v>
      </c>
      <c r="GP126">
        <f t="shared" si="147"/>
        <v>26000</v>
      </c>
      <c r="GR126">
        <v>1</v>
      </c>
      <c r="GS126">
        <v>1</v>
      </c>
      <c r="GT126">
        <v>0</v>
      </c>
      <c r="GU126" t="s">
        <v>3</v>
      </c>
      <c r="GV126">
        <f t="shared" si="148"/>
        <v>0</v>
      </c>
      <c r="GW126">
        <v>1</v>
      </c>
      <c r="GX126">
        <f t="shared" si="149"/>
        <v>0</v>
      </c>
      <c r="HA126">
        <v>0</v>
      </c>
      <c r="HB126">
        <v>0</v>
      </c>
      <c r="HC126">
        <f t="shared" si="150"/>
        <v>0</v>
      </c>
      <c r="HE126" t="s">
        <v>151</v>
      </c>
      <c r="HF126" t="s">
        <v>151</v>
      </c>
      <c r="HM126" t="s">
        <v>3</v>
      </c>
      <c r="HN126" t="s">
        <v>3</v>
      </c>
      <c r="HO126" t="s">
        <v>3</v>
      </c>
      <c r="HP126" t="s">
        <v>3</v>
      </c>
      <c r="HQ126" t="s">
        <v>3</v>
      </c>
      <c r="IK126">
        <v>0</v>
      </c>
    </row>
    <row r="127" spans="1:245" x14ac:dyDescent="0.2">
      <c r="A127">
        <v>17</v>
      </c>
      <c r="B127">
        <v>1</v>
      </c>
      <c r="C127">
        <f>ROW(SmtRes!A86)</f>
        <v>86</v>
      </c>
      <c r="D127">
        <f>ROW(EtalonRes!A81)</f>
        <v>81</v>
      </c>
      <c r="E127" t="s">
        <v>56</v>
      </c>
      <c r="F127" t="s">
        <v>152</v>
      </c>
      <c r="G127" t="s">
        <v>153</v>
      </c>
      <c r="H127" t="s">
        <v>29</v>
      </c>
      <c r="I127">
        <v>0</v>
      </c>
      <c r="J127">
        <v>0</v>
      </c>
      <c r="K127">
        <f>ROUND(2.2/100,9)</f>
        <v>2.1999999999999999E-2</v>
      </c>
      <c r="O127">
        <f t="shared" si="116"/>
        <v>0</v>
      </c>
      <c r="P127">
        <f t="shared" si="117"/>
        <v>0</v>
      </c>
      <c r="Q127">
        <f t="shared" si="118"/>
        <v>0</v>
      </c>
      <c r="R127">
        <f t="shared" si="119"/>
        <v>0</v>
      </c>
      <c r="S127">
        <f t="shared" si="120"/>
        <v>0</v>
      </c>
      <c r="T127">
        <f t="shared" si="121"/>
        <v>0</v>
      </c>
      <c r="U127">
        <f t="shared" si="122"/>
        <v>0</v>
      </c>
      <c r="V127">
        <f t="shared" si="123"/>
        <v>0</v>
      </c>
      <c r="W127">
        <f t="shared" si="124"/>
        <v>0</v>
      </c>
      <c r="X127">
        <f t="shared" si="125"/>
        <v>0</v>
      </c>
      <c r="Y127">
        <f t="shared" si="126"/>
        <v>0</v>
      </c>
      <c r="AA127">
        <v>46416371</v>
      </c>
      <c r="AB127">
        <f t="shared" si="127"/>
        <v>713.44849999999997</v>
      </c>
      <c r="AC127">
        <f t="shared" si="128"/>
        <v>0</v>
      </c>
      <c r="AD127">
        <f>ROUND(((((ET127*1.15))-((EU127*1.15)))+AE127),6)</f>
        <v>0</v>
      </c>
      <c r="AE127">
        <f>ROUND(((EU127*1.15)),6)</f>
        <v>0</v>
      </c>
      <c r="AF127">
        <f>ROUND(((EV127*1.15)),6)</f>
        <v>713.44849999999997</v>
      </c>
      <c r="AG127">
        <f t="shared" si="129"/>
        <v>0</v>
      </c>
      <c r="AH127">
        <f>((EW127*1.15))</f>
        <v>101.77499999999999</v>
      </c>
      <c r="AI127">
        <f>((EX127*1.15))</f>
        <v>0</v>
      </c>
      <c r="AJ127">
        <f t="shared" si="130"/>
        <v>0</v>
      </c>
      <c r="AK127">
        <v>620.39</v>
      </c>
      <c r="AL127">
        <v>0</v>
      </c>
      <c r="AM127">
        <v>0</v>
      </c>
      <c r="AN127">
        <v>0</v>
      </c>
      <c r="AO127">
        <v>620.39</v>
      </c>
      <c r="AP127">
        <v>0</v>
      </c>
      <c r="AQ127">
        <v>88.5</v>
      </c>
      <c r="AR127">
        <v>0</v>
      </c>
      <c r="AS127">
        <v>0</v>
      </c>
      <c r="AT127">
        <v>80</v>
      </c>
      <c r="AU127">
        <v>45</v>
      </c>
      <c r="AV127">
        <v>1</v>
      </c>
      <c r="AW127">
        <v>1</v>
      </c>
      <c r="AZ127">
        <v>1</v>
      </c>
      <c r="BA127">
        <v>34.75</v>
      </c>
      <c r="BB127">
        <v>13.36</v>
      </c>
      <c r="BC127">
        <v>8.2899999999999991</v>
      </c>
      <c r="BD127" t="s">
        <v>3</v>
      </c>
      <c r="BE127" t="s">
        <v>3</v>
      </c>
      <c r="BF127" t="s">
        <v>3</v>
      </c>
      <c r="BG127" t="s">
        <v>3</v>
      </c>
      <c r="BH127">
        <v>0</v>
      </c>
      <c r="BI127">
        <v>1</v>
      </c>
      <c r="BJ127" t="s">
        <v>154</v>
      </c>
      <c r="BM127">
        <v>1003</v>
      </c>
      <c r="BN127">
        <v>0</v>
      </c>
      <c r="BO127" t="s">
        <v>3</v>
      </c>
      <c r="BP127">
        <v>0</v>
      </c>
      <c r="BQ127">
        <v>2</v>
      </c>
      <c r="BR127">
        <v>0</v>
      </c>
      <c r="BS127">
        <v>34.75</v>
      </c>
      <c r="BT127">
        <v>1</v>
      </c>
      <c r="BU127">
        <v>1</v>
      </c>
      <c r="BV127">
        <v>1</v>
      </c>
      <c r="BW127">
        <v>1</v>
      </c>
      <c r="BX127">
        <v>1</v>
      </c>
      <c r="BY127" t="s">
        <v>3</v>
      </c>
      <c r="BZ127">
        <v>80</v>
      </c>
      <c r="CA127">
        <v>45</v>
      </c>
      <c r="CB127" t="s">
        <v>3</v>
      </c>
      <c r="CE127">
        <v>0</v>
      </c>
      <c r="CF127">
        <v>0</v>
      </c>
      <c r="CG127">
        <v>0</v>
      </c>
      <c r="CM127">
        <v>0</v>
      </c>
      <c r="CN127" t="s">
        <v>676</v>
      </c>
      <c r="CO127">
        <v>0</v>
      </c>
      <c r="CP127">
        <f t="shared" si="131"/>
        <v>0</v>
      </c>
      <c r="CQ127">
        <f t="shared" si="132"/>
        <v>0</v>
      </c>
      <c r="CR127">
        <f t="shared" si="133"/>
        <v>0</v>
      </c>
      <c r="CS127">
        <f t="shared" si="134"/>
        <v>0</v>
      </c>
      <c r="CT127">
        <f t="shared" si="135"/>
        <v>24792.335374999999</v>
      </c>
      <c r="CU127">
        <f t="shared" si="136"/>
        <v>0</v>
      </c>
      <c r="CV127">
        <f t="shared" si="137"/>
        <v>101.77499999999999</v>
      </c>
      <c r="CW127">
        <f t="shared" si="138"/>
        <v>0</v>
      </c>
      <c r="CX127">
        <f t="shared" si="139"/>
        <v>0</v>
      </c>
      <c r="CY127">
        <f t="shared" si="140"/>
        <v>0</v>
      </c>
      <c r="CZ127">
        <f t="shared" si="141"/>
        <v>0</v>
      </c>
      <c r="DC127" t="s">
        <v>3</v>
      </c>
      <c r="DD127" t="s">
        <v>3</v>
      </c>
      <c r="DE127" t="s">
        <v>31</v>
      </c>
      <c r="DF127" t="s">
        <v>31</v>
      </c>
      <c r="DG127" t="s">
        <v>31</v>
      </c>
      <c r="DH127" t="s">
        <v>3</v>
      </c>
      <c r="DI127" t="s">
        <v>31</v>
      </c>
      <c r="DJ127" t="s">
        <v>31</v>
      </c>
      <c r="DK127" t="s">
        <v>3</v>
      </c>
      <c r="DL127" t="s">
        <v>3</v>
      </c>
      <c r="DM127" t="s">
        <v>3</v>
      </c>
      <c r="DN127">
        <v>0</v>
      </c>
      <c r="DO127">
        <v>0</v>
      </c>
      <c r="DP127">
        <v>1</v>
      </c>
      <c r="DQ127">
        <v>1</v>
      </c>
      <c r="DU127">
        <v>1013</v>
      </c>
      <c r="DV127" t="s">
        <v>29</v>
      </c>
      <c r="DW127" t="s">
        <v>29</v>
      </c>
      <c r="DX127">
        <v>1</v>
      </c>
      <c r="DZ127" t="s">
        <v>3</v>
      </c>
      <c r="EA127" t="s">
        <v>3</v>
      </c>
      <c r="EB127" t="s">
        <v>3</v>
      </c>
      <c r="EC127" t="s">
        <v>3</v>
      </c>
      <c r="EE127">
        <v>42475885</v>
      </c>
      <c r="EF127">
        <v>2</v>
      </c>
      <c r="EG127" t="s">
        <v>22</v>
      </c>
      <c r="EH127">
        <v>0</v>
      </c>
      <c r="EI127" t="s">
        <v>3</v>
      </c>
      <c r="EJ127">
        <v>1</v>
      </c>
      <c r="EK127">
        <v>1003</v>
      </c>
      <c r="EL127" t="s">
        <v>32</v>
      </c>
      <c r="EM127" t="s">
        <v>33</v>
      </c>
      <c r="EO127" t="s">
        <v>48</v>
      </c>
      <c r="EQ127">
        <v>0</v>
      </c>
      <c r="ER127">
        <v>620.39</v>
      </c>
      <c r="ES127">
        <v>0</v>
      </c>
      <c r="ET127">
        <v>0</v>
      </c>
      <c r="EU127">
        <v>0</v>
      </c>
      <c r="EV127">
        <v>620.39</v>
      </c>
      <c r="EW127">
        <v>88.5</v>
      </c>
      <c r="EX127">
        <v>0</v>
      </c>
      <c r="EY127">
        <v>0</v>
      </c>
      <c r="FQ127">
        <v>0</v>
      </c>
      <c r="FR127">
        <f t="shared" si="142"/>
        <v>0</v>
      </c>
      <c r="FS127">
        <v>0</v>
      </c>
      <c r="FX127">
        <v>80</v>
      </c>
      <c r="FY127">
        <v>45</v>
      </c>
      <c r="GA127" t="s">
        <v>3</v>
      </c>
      <c r="GD127">
        <v>1</v>
      </c>
      <c r="GF127">
        <v>-849792585</v>
      </c>
      <c r="GG127">
        <v>2</v>
      </c>
      <c r="GH127">
        <v>1</v>
      </c>
      <c r="GI127">
        <v>4</v>
      </c>
      <c r="GJ127">
        <v>0</v>
      </c>
      <c r="GK127">
        <v>0</v>
      </c>
      <c r="GL127">
        <f t="shared" si="143"/>
        <v>0</v>
      </c>
      <c r="GM127">
        <f t="shared" si="144"/>
        <v>0</v>
      </c>
      <c r="GN127">
        <f t="shared" si="145"/>
        <v>0</v>
      </c>
      <c r="GO127">
        <f t="shared" si="146"/>
        <v>0</v>
      </c>
      <c r="GP127">
        <f t="shared" si="147"/>
        <v>0</v>
      </c>
      <c r="GR127">
        <v>0</v>
      </c>
      <c r="GS127">
        <v>3</v>
      </c>
      <c r="GT127">
        <v>0</v>
      </c>
      <c r="GU127" t="s">
        <v>3</v>
      </c>
      <c r="GV127">
        <f t="shared" si="148"/>
        <v>0</v>
      </c>
      <c r="GW127">
        <v>1</v>
      </c>
      <c r="GX127">
        <f t="shared" si="149"/>
        <v>0</v>
      </c>
      <c r="HA127">
        <v>0</v>
      </c>
      <c r="HB127">
        <v>0</v>
      </c>
      <c r="HC127">
        <f t="shared" si="150"/>
        <v>0</v>
      </c>
      <c r="HE127" t="s">
        <v>3</v>
      </c>
      <c r="HF127" t="s">
        <v>3</v>
      </c>
      <c r="HM127" t="s">
        <v>3</v>
      </c>
      <c r="HN127" t="s">
        <v>3</v>
      </c>
      <c r="HO127" t="s">
        <v>3</v>
      </c>
      <c r="HP127" t="s">
        <v>3</v>
      </c>
      <c r="HQ127" t="s">
        <v>3</v>
      </c>
      <c r="IK127">
        <v>0</v>
      </c>
    </row>
    <row r="128" spans="1:245" x14ac:dyDescent="0.2">
      <c r="A128">
        <v>17</v>
      </c>
      <c r="B128">
        <v>1</v>
      </c>
      <c r="C128">
        <f>ROW(SmtRes!A90)</f>
        <v>90</v>
      </c>
      <c r="D128">
        <f>ROW(EtalonRes!A85)</f>
        <v>85</v>
      </c>
      <c r="E128" t="s">
        <v>64</v>
      </c>
      <c r="F128" t="s">
        <v>156</v>
      </c>
      <c r="G128" t="s">
        <v>157</v>
      </c>
      <c r="H128" t="s">
        <v>158</v>
      </c>
      <c r="I128">
        <f>ROUND(235/100,9)</f>
        <v>2.35</v>
      </c>
      <c r="J128">
        <v>0</v>
      </c>
      <c r="K128">
        <f>ROUND(235/100,9)</f>
        <v>2.35</v>
      </c>
      <c r="O128">
        <f t="shared" si="116"/>
        <v>44455</v>
      </c>
      <c r="P128">
        <f t="shared" si="117"/>
        <v>31106</v>
      </c>
      <c r="Q128">
        <f t="shared" si="118"/>
        <v>679</v>
      </c>
      <c r="R128">
        <f t="shared" si="119"/>
        <v>0</v>
      </c>
      <c r="S128">
        <f t="shared" si="120"/>
        <v>12670</v>
      </c>
      <c r="T128">
        <f t="shared" si="121"/>
        <v>0</v>
      </c>
      <c r="U128">
        <f t="shared" si="122"/>
        <v>44.629085000000003</v>
      </c>
      <c r="V128">
        <f t="shared" si="123"/>
        <v>0</v>
      </c>
      <c r="W128">
        <f t="shared" si="124"/>
        <v>0</v>
      </c>
      <c r="X128">
        <f t="shared" si="125"/>
        <v>12670</v>
      </c>
      <c r="Y128">
        <f t="shared" si="126"/>
        <v>8869</v>
      </c>
      <c r="AA128">
        <v>46416371</v>
      </c>
      <c r="AB128">
        <f t="shared" si="127"/>
        <v>1773.4457</v>
      </c>
      <c r="AC128">
        <f t="shared" si="128"/>
        <v>1596.67</v>
      </c>
      <c r="AD128">
        <f>ROUND((((((ET128*1.15)*1.25))-(((EU128*1.15)*1.25)))+AE128),6)</f>
        <v>21.62</v>
      </c>
      <c r="AE128">
        <f>ROUND((((EU128*1.15)*1.25)),6)</f>
        <v>0</v>
      </c>
      <c r="AF128">
        <f>ROUND((((EV128*1.15)*1.15)),6)</f>
        <v>155.1557</v>
      </c>
      <c r="AG128">
        <f t="shared" si="129"/>
        <v>0</v>
      </c>
      <c r="AH128">
        <f>(((EW128*1.15)*1.15))</f>
        <v>18.991099999999999</v>
      </c>
      <c r="AI128">
        <f>(((EX128*1.15)*1.25))</f>
        <v>0</v>
      </c>
      <c r="AJ128">
        <f t="shared" si="130"/>
        <v>0</v>
      </c>
      <c r="AK128">
        <v>1729.03</v>
      </c>
      <c r="AL128">
        <v>1596.67</v>
      </c>
      <c r="AM128">
        <v>15.04</v>
      </c>
      <c r="AN128">
        <v>0</v>
      </c>
      <c r="AO128">
        <v>117.32</v>
      </c>
      <c r="AP128">
        <v>0</v>
      </c>
      <c r="AQ128">
        <v>14.36</v>
      </c>
      <c r="AR128">
        <v>0</v>
      </c>
      <c r="AS128">
        <v>0</v>
      </c>
      <c r="AT128">
        <v>100</v>
      </c>
      <c r="AU128">
        <v>70</v>
      </c>
      <c r="AV128">
        <v>1</v>
      </c>
      <c r="AW128">
        <v>1</v>
      </c>
      <c r="AZ128">
        <v>1</v>
      </c>
      <c r="BA128">
        <v>34.75</v>
      </c>
      <c r="BB128">
        <v>13.36</v>
      </c>
      <c r="BC128">
        <v>8.2899999999999991</v>
      </c>
      <c r="BD128" t="s">
        <v>3</v>
      </c>
      <c r="BE128" t="s">
        <v>3</v>
      </c>
      <c r="BF128" t="s">
        <v>3</v>
      </c>
      <c r="BG128" t="s">
        <v>3</v>
      </c>
      <c r="BH128">
        <v>0</v>
      </c>
      <c r="BI128">
        <v>1</v>
      </c>
      <c r="BJ128" t="s">
        <v>159</v>
      </c>
      <c r="BM128">
        <v>26001</v>
      </c>
      <c r="BN128">
        <v>0</v>
      </c>
      <c r="BO128" t="s">
        <v>3</v>
      </c>
      <c r="BP128">
        <v>0</v>
      </c>
      <c r="BQ128">
        <v>2</v>
      </c>
      <c r="BR128">
        <v>0</v>
      </c>
      <c r="BS128">
        <v>34.75</v>
      </c>
      <c r="BT128">
        <v>1</v>
      </c>
      <c r="BU128">
        <v>1</v>
      </c>
      <c r="BV128">
        <v>1</v>
      </c>
      <c r="BW128">
        <v>1</v>
      </c>
      <c r="BX128">
        <v>1</v>
      </c>
      <c r="BY128" t="s">
        <v>3</v>
      </c>
      <c r="BZ128">
        <v>100</v>
      </c>
      <c r="CA128">
        <v>70</v>
      </c>
      <c r="CB128" t="s">
        <v>3</v>
      </c>
      <c r="CE128">
        <v>0</v>
      </c>
      <c r="CF128">
        <v>0</v>
      </c>
      <c r="CG128">
        <v>0</v>
      </c>
      <c r="CM128">
        <v>0</v>
      </c>
      <c r="CN128" t="s">
        <v>679</v>
      </c>
      <c r="CO128">
        <v>0</v>
      </c>
      <c r="CP128">
        <f t="shared" si="131"/>
        <v>44455</v>
      </c>
      <c r="CQ128">
        <f t="shared" si="132"/>
        <v>13236.3943</v>
      </c>
      <c r="CR128">
        <f t="shared" si="133"/>
        <v>288.84320000000002</v>
      </c>
      <c r="CS128">
        <f t="shared" si="134"/>
        <v>0</v>
      </c>
      <c r="CT128">
        <f t="shared" si="135"/>
        <v>5391.6605749999999</v>
      </c>
      <c r="CU128">
        <f t="shared" si="136"/>
        <v>0</v>
      </c>
      <c r="CV128">
        <f t="shared" si="137"/>
        <v>18.991099999999999</v>
      </c>
      <c r="CW128">
        <f t="shared" si="138"/>
        <v>0</v>
      </c>
      <c r="CX128">
        <f t="shared" si="139"/>
        <v>0</v>
      </c>
      <c r="CY128">
        <f t="shared" si="140"/>
        <v>12670</v>
      </c>
      <c r="CZ128">
        <f t="shared" si="141"/>
        <v>8869</v>
      </c>
      <c r="DC128" t="s">
        <v>3</v>
      </c>
      <c r="DD128" t="s">
        <v>3</v>
      </c>
      <c r="DE128" t="s">
        <v>160</v>
      </c>
      <c r="DF128" t="s">
        <v>160</v>
      </c>
      <c r="DG128" t="s">
        <v>161</v>
      </c>
      <c r="DH128" t="s">
        <v>3</v>
      </c>
      <c r="DI128" t="s">
        <v>161</v>
      </c>
      <c r="DJ128" t="s">
        <v>160</v>
      </c>
      <c r="DK128" t="s">
        <v>3</v>
      </c>
      <c r="DL128" t="s">
        <v>3</v>
      </c>
      <c r="DM128" t="s">
        <v>3</v>
      </c>
      <c r="DN128">
        <v>0</v>
      </c>
      <c r="DO128">
        <v>0</v>
      </c>
      <c r="DP128">
        <v>1</v>
      </c>
      <c r="DQ128">
        <v>1</v>
      </c>
      <c r="DU128">
        <v>1013</v>
      </c>
      <c r="DV128" t="s">
        <v>158</v>
      </c>
      <c r="DW128" t="s">
        <v>158</v>
      </c>
      <c r="DX128">
        <v>1</v>
      </c>
      <c r="DZ128" t="s">
        <v>3</v>
      </c>
      <c r="EA128" t="s">
        <v>3</v>
      </c>
      <c r="EB128" t="s">
        <v>3</v>
      </c>
      <c r="EC128" t="s">
        <v>3</v>
      </c>
      <c r="EE128">
        <v>42475949</v>
      </c>
      <c r="EF128">
        <v>2</v>
      </c>
      <c r="EG128" t="s">
        <v>22</v>
      </c>
      <c r="EH128">
        <v>0</v>
      </c>
      <c r="EI128" t="s">
        <v>3</v>
      </c>
      <c r="EJ128">
        <v>1</v>
      </c>
      <c r="EK128">
        <v>26001</v>
      </c>
      <c r="EL128" t="s">
        <v>162</v>
      </c>
      <c r="EM128" t="s">
        <v>163</v>
      </c>
      <c r="EO128" t="s">
        <v>164</v>
      </c>
      <c r="EQ128">
        <v>0</v>
      </c>
      <c r="ER128">
        <v>1729.03</v>
      </c>
      <c r="ES128">
        <v>1596.67</v>
      </c>
      <c r="ET128">
        <v>15.04</v>
      </c>
      <c r="EU128">
        <v>0</v>
      </c>
      <c r="EV128">
        <v>117.32</v>
      </c>
      <c r="EW128">
        <v>14.36</v>
      </c>
      <c r="EX128">
        <v>0</v>
      </c>
      <c r="EY128">
        <v>0</v>
      </c>
      <c r="FQ128">
        <v>0</v>
      </c>
      <c r="FR128">
        <f t="shared" si="142"/>
        <v>0</v>
      </c>
      <c r="FS128">
        <v>0</v>
      </c>
      <c r="FX128">
        <v>100</v>
      </c>
      <c r="FY128">
        <v>70</v>
      </c>
      <c r="GA128" t="s">
        <v>3</v>
      </c>
      <c r="GD128">
        <v>1</v>
      </c>
      <c r="GF128">
        <v>85753137</v>
      </c>
      <c r="GG128">
        <v>2</v>
      </c>
      <c r="GH128">
        <v>1</v>
      </c>
      <c r="GI128">
        <v>4</v>
      </c>
      <c r="GJ128">
        <v>0</v>
      </c>
      <c r="GK128">
        <v>0</v>
      </c>
      <c r="GL128">
        <f t="shared" si="143"/>
        <v>0</v>
      </c>
      <c r="GM128">
        <f t="shared" si="144"/>
        <v>65994</v>
      </c>
      <c r="GN128">
        <f t="shared" si="145"/>
        <v>65994</v>
      </c>
      <c r="GO128">
        <f t="shared" si="146"/>
        <v>0</v>
      </c>
      <c r="GP128">
        <f t="shared" si="147"/>
        <v>0</v>
      </c>
      <c r="GR128">
        <v>0</v>
      </c>
      <c r="GS128">
        <v>3</v>
      </c>
      <c r="GT128">
        <v>0</v>
      </c>
      <c r="GU128" t="s">
        <v>3</v>
      </c>
      <c r="GV128">
        <f t="shared" si="148"/>
        <v>0</v>
      </c>
      <c r="GW128">
        <v>1</v>
      </c>
      <c r="GX128">
        <f t="shared" si="149"/>
        <v>0</v>
      </c>
      <c r="HA128">
        <v>0</v>
      </c>
      <c r="HB128">
        <v>0</v>
      </c>
      <c r="HC128">
        <f t="shared" si="150"/>
        <v>0</v>
      </c>
      <c r="HE128" t="s">
        <v>3</v>
      </c>
      <c r="HF128" t="s">
        <v>3</v>
      </c>
      <c r="HM128" t="s">
        <v>3</v>
      </c>
      <c r="HN128" t="s">
        <v>3</v>
      </c>
      <c r="HO128" t="s">
        <v>3</v>
      </c>
      <c r="HP128" t="s">
        <v>3</v>
      </c>
      <c r="HQ128" t="s">
        <v>3</v>
      </c>
      <c r="IK128">
        <v>0</v>
      </c>
    </row>
    <row r="129" spans="1:245" x14ac:dyDescent="0.2">
      <c r="A129">
        <v>17</v>
      </c>
      <c r="B129">
        <v>1</v>
      </c>
      <c r="C129">
        <f>ROW(SmtRes!A95)</f>
        <v>95</v>
      </c>
      <c r="D129">
        <f>ROW(EtalonRes!A90)</f>
        <v>90</v>
      </c>
      <c r="E129" t="s">
        <v>155</v>
      </c>
      <c r="F129" t="s">
        <v>166</v>
      </c>
      <c r="G129" t="s">
        <v>167</v>
      </c>
      <c r="H129" t="s">
        <v>168</v>
      </c>
      <c r="I129">
        <f>ROUND(128/100,9)</f>
        <v>1.28</v>
      </c>
      <c r="J129">
        <v>0</v>
      </c>
      <c r="K129">
        <f>ROUND(128/100,9)</f>
        <v>1.28</v>
      </c>
      <c r="O129">
        <f t="shared" si="116"/>
        <v>35156</v>
      </c>
      <c r="P129">
        <f t="shared" si="117"/>
        <v>8819</v>
      </c>
      <c r="Q129">
        <f t="shared" si="118"/>
        <v>133</v>
      </c>
      <c r="R129">
        <f t="shared" si="119"/>
        <v>0</v>
      </c>
      <c r="S129">
        <f t="shared" si="120"/>
        <v>26204</v>
      </c>
      <c r="T129">
        <f t="shared" si="121"/>
        <v>0</v>
      </c>
      <c r="U129">
        <f t="shared" si="122"/>
        <v>91.072639999999978</v>
      </c>
      <c r="V129">
        <f t="shared" si="123"/>
        <v>0</v>
      </c>
      <c r="W129">
        <f t="shared" si="124"/>
        <v>0</v>
      </c>
      <c r="X129">
        <f t="shared" si="125"/>
        <v>40616</v>
      </c>
      <c r="Y129">
        <f t="shared" si="126"/>
        <v>26204</v>
      </c>
      <c r="AA129">
        <v>46416371</v>
      </c>
      <c r="AB129">
        <f t="shared" si="127"/>
        <v>1427.977725</v>
      </c>
      <c r="AC129">
        <f t="shared" si="128"/>
        <v>831.08</v>
      </c>
      <c r="AD129">
        <f>ROUND((((((ET129*1.25)*1.15))-(((EU129*1.25)*1.15)))+AE129),6)</f>
        <v>7.7768750000000004</v>
      </c>
      <c r="AE129">
        <f>ROUND((((EU129*1.25)*1.15)),6)</f>
        <v>0</v>
      </c>
      <c r="AF129">
        <f>ROUND((((EV129*1.15)*1.15)),6)</f>
        <v>589.12085000000002</v>
      </c>
      <c r="AG129">
        <f t="shared" si="129"/>
        <v>0</v>
      </c>
      <c r="AH129">
        <f>(((EW129*1.15)*1.15))</f>
        <v>71.15049999999998</v>
      </c>
      <c r="AI129">
        <f>(((EX129*1.25)*1.15))</f>
        <v>0</v>
      </c>
      <c r="AJ129">
        <f t="shared" si="130"/>
        <v>0</v>
      </c>
      <c r="AK129">
        <v>1281.95</v>
      </c>
      <c r="AL129">
        <v>831.08</v>
      </c>
      <c r="AM129">
        <v>5.41</v>
      </c>
      <c r="AN129">
        <v>0</v>
      </c>
      <c r="AO129">
        <v>445.46</v>
      </c>
      <c r="AP129">
        <v>0</v>
      </c>
      <c r="AQ129">
        <v>53.8</v>
      </c>
      <c r="AR129">
        <v>0</v>
      </c>
      <c r="AS129">
        <v>0</v>
      </c>
      <c r="AT129">
        <v>155</v>
      </c>
      <c r="AU129">
        <v>100</v>
      </c>
      <c r="AV129">
        <v>1</v>
      </c>
      <c r="AW129">
        <v>1</v>
      </c>
      <c r="AZ129">
        <v>1</v>
      </c>
      <c r="BA129">
        <v>34.75</v>
      </c>
      <c r="BB129">
        <v>13.36</v>
      </c>
      <c r="BC129">
        <v>8.2899999999999991</v>
      </c>
      <c r="BD129" t="s">
        <v>3</v>
      </c>
      <c r="BE129" t="s">
        <v>3</v>
      </c>
      <c r="BF129" t="s">
        <v>3</v>
      </c>
      <c r="BG129" t="s">
        <v>3</v>
      </c>
      <c r="BH129">
        <v>0</v>
      </c>
      <c r="BI129">
        <v>1</v>
      </c>
      <c r="BJ129" t="s">
        <v>169</v>
      </c>
      <c r="BM129">
        <v>7005</v>
      </c>
      <c r="BN129">
        <v>0</v>
      </c>
      <c r="BO129" t="s">
        <v>3</v>
      </c>
      <c r="BP129">
        <v>0</v>
      </c>
      <c r="BQ129">
        <v>2</v>
      </c>
      <c r="BR129">
        <v>0</v>
      </c>
      <c r="BS129">
        <v>34.75</v>
      </c>
      <c r="BT129">
        <v>1</v>
      </c>
      <c r="BU129">
        <v>1</v>
      </c>
      <c r="BV129">
        <v>1</v>
      </c>
      <c r="BW129">
        <v>1</v>
      </c>
      <c r="BX129">
        <v>1</v>
      </c>
      <c r="BY129" t="s">
        <v>3</v>
      </c>
      <c r="BZ129">
        <v>155</v>
      </c>
      <c r="CA129">
        <v>100</v>
      </c>
      <c r="CB129" t="s">
        <v>3</v>
      </c>
      <c r="CE129">
        <v>0</v>
      </c>
      <c r="CF129">
        <v>0</v>
      </c>
      <c r="CG129">
        <v>0</v>
      </c>
      <c r="CM129">
        <v>0</v>
      </c>
      <c r="CN129" t="s">
        <v>680</v>
      </c>
      <c r="CO129">
        <v>0</v>
      </c>
      <c r="CP129">
        <f t="shared" si="131"/>
        <v>35156</v>
      </c>
      <c r="CQ129">
        <f t="shared" si="132"/>
        <v>6889.6531999999997</v>
      </c>
      <c r="CR129">
        <f t="shared" si="133"/>
        <v>103.89905</v>
      </c>
      <c r="CS129">
        <f t="shared" si="134"/>
        <v>0</v>
      </c>
      <c r="CT129">
        <f t="shared" si="135"/>
        <v>20471.949537500001</v>
      </c>
      <c r="CU129">
        <f t="shared" si="136"/>
        <v>0</v>
      </c>
      <c r="CV129">
        <f t="shared" si="137"/>
        <v>71.15049999999998</v>
      </c>
      <c r="CW129">
        <f t="shared" si="138"/>
        <v>0</v>
      </c>
      <c r="CX129">
        <f t="shared" si="139"/>
        <v>0</v>
      </c>
      <c r="CY129">
        <f t="shared" si="140"/>
        <v>40616.199999999997</v>
      </c>
      <c r="CZ129">
        <f t="shared" si="141"/>
        <v>26204</v>
      </c>
      <c r="DC129" t="s">
        <v>3</v>
      </c>
      <c r="DD129" t="s">
        <v>3</v>
      </c>
      <c r="DE129" t="s">
        <v>170</v>
      </c>
      <c r="DF129" t="s">
        <v>170</v>
      </c>
      <c r="DG129" t="s">
        <v>161</v>
      </c>
      <c r="DH129" t="s">
        <v>3</v>
      </c>
      <c r="DI129" t="s">
        <v>161</v>
      </c>
      <c r="DJ129" t="s">
        <v>170</v>
      </c>
      <c r="DK129" t="s">
        <v>3</v>
      </c>
      <c r="DL129" t="s">
        <v>3</v>
      </c>
      <c r="DM129" t="s">
        <v>3</v>
      </c>
      <c r="DN129">
        <v>0</v>
      </c>
      <c r="DO129">
        <v>0</v>
      </c>
      <c r="DP129">
        <v>1</v>
      </c>
      <c r="DQ129">
        <v>1</v>
      </c>
      <c r="DU129">
        <v>1013</v>
      </c>
      <c r="DV129" t="s">
        <v>168</v>
      </c>
      <c r="DW129" t="s">
        <v>168</v>
      </c>
      <c r="DX129">
        <v>1</v>
      </c>
      <c r="DZ129" t="s">
        <v>3</v>
      </c>
      <c r="EA129" t="s">
        <v>3</v>
      </c>
      <c r="EB129" t="s">
        <v>3</v>
      </c>
      <c r="EC129" t="s">
        <v>3</v>
      </c>
      <c r="EE129">
        <v>42475861</v>
      </c>
      <c r="EF129">
        <v>2</v>
      </c>
      <c r="EG129" t="s">
        <v>22</v>
      </c>
      <c r="EH129">
        <v>0</v>
      </c>
      <c r="EI129" t="s">
        <v>3</v>
      </c>
      <c r="EJ129">
        <v>1</v>
      </c>
      <c r="EK129">
        <v>7005</v>
      </c>
      <c r="EL129" t="s">
        <v>171</v>
      </c>
      <c r="EM129" t="s">
        <v>172</v>
      </c>
      <c r="EO129" t="s">
        <v>173</v>
      </c>
      <c r="EQ129">
        <v>0</v>
      </c>
      <c r="ER129">
        <v>1281.95</v>
      </c>
      <c r="ES129">
        <v>831.08</v>
      </c>
      <c r="ET129">
        <v>5.41</v>
      </c>
      <c r="EU129">
        <v>0</v>
      </c>
      <c r="EV129">
        <v>445.46</v>
      </c>
      <c r="EW129">
        <v>53.8</v>
      </c>
      <c r="EX129">
        <v>0</v>
      </c>
      <c r="EY129">
        <v>0</v>
      </c>
      <c r="FQ129">
        <v>0</v>
      </c>
      <c r="FR129">
        <f t="shared" si="142"/>
        <v>0</v>
      </c>
      <c r="FS129">
        <v>0</v>
      </c>
      <c r="FX129">
        <v>155</v>
      </c>
      <c r="FY129">
        <v>100</v>
      </c>
      <c r="GA129" t="s">
        <v>3</v>
      </c>
      <c r="GD129">
        <v>1</v>
      </c>
      <c r="GF129">
        <v>-999286481</v>
      </c>
      <c r="GG129">
        <v>2</v>
      </c>
      <c r="GH129">
        <v>1</v>
      </c>
      <c r="GI129">
        <v>4</v>
      </c>
      <c r="GJ129">
        <v>0</v>
      </c>
      <c r="GK129">
        <v>0</v>
      </c>
      <c r="GL129">
        <f t="shared" si="143"/>
        <v>0</v>
      </c>
      <c r="GM129">
        <f t="shared" si="144"/>
        <v>101976</v>
      </c>
      <c r="GN129">
        <f t="shared" si="145"/>
        <v>101976</v>
      </c>
      <c r="GO129">
        <f t="shared" si="146"/>
        <v>0</v>
      </c>
      <c r="GP129">
        <f t="shared" si="147"/>
        <v>0</v>
      </c>
      <c r="GR129">
        <v>0</v>
      </c>
      <c r="GS129">
        <v>3</v>
      </c>
      <c r="GT129">
        <v>0</v>
      </c>
      <c r="GU129" t="s">
        <v>3</v>
      </c>
      <c r="GV129">
        <f t="shared" si="148"/>
        <v>0</v>
      </c>
      <c r="GW129">
        <v>1</v>
      </c>
      <c r="GX129">
        <f t="shared" si="149"/>
        <v>0</v>
      </c>
      <c r="HA129">
        <v>0</v>
      </c>
      <c r="HB129">
        <v>0</v>
      </c>
      <c r="HC129">
        <f t="shared" si="150"/>
        <v>0</v>
      </c>
      <c r="HE129" t="s">
        <v>3</v>
      </c>
      <c r="HF129" t="s">
        <v>3</v>
      </c>
      <c r="HM129" t="s">
        <v>3</v>
      </c>
      <c r="HN129" t="s">
        <v>3</v>
      </c>
      <c r="HO129" t="s">
        <v>3</v>
      </c>
      <c r="HP129" t="s">
        <v>3</v>
      </c>
      <c r="HQ129" t="s">
        <v>3</v>
      </c>
      <c r="IK129">
        <v>0</v>
      </c>
    </row>
    <row r="130" spans="1:245" x14ac:dyDescent="0.2">
      <c r="A130">
        <v>17</v>
      </c>
      <c r="B130">
        <v>1</v>
      </c>
      <c r="C130">
        <f>ROW(SmtRes!A120)</f>
        <v>120</v>
      </c>
      <c r="D130">
        <f>ROW(EtalonRes!A112)</f>
        <v>112</v>
      </c>
      <c r="E130" t="s">
        <v>202</v>
      </c>
      <c r="F130" t="s">
        <v>175</v>
      </c>
      <c r="G130" t="s">
        <v>176</v>
      </c>
      <c r="H130" t="s">
        <v>177</v>
      </c>
      <c r="I130">
        <f>ROUND(26/100,9)</f>
        <v>0.26</v>
      </c>
      <c r="J130">
        <v>0</v>
      </c>
      <c r="K130">
        <f>ROUND(26/100,9)</f>
        <v>0.26</v>
      </c>
      <c r="O130">
        <f t="shared" si="116"/>
        <v>298531</v>
      </c>
      <c r="P130">
        <f t="shared" si="117"/>
        <v>207340</v>
      </c>
      <c r="Q130">
        <f t="shared" si="118"/>
        <v>12816</v>
      </c>
      <c r="R130">
        <f t="shared" si="119"/>
        <v>2911</v>
      </c>
      <c r="S130">
        <f t="shared" si="120"/>
        <v>78375</v>
      </c>
      <c r="T130">
        <f t="shared" si="121"/>
        <v>0</v>
      </c>
      <c r="U130">
        <f t="shared" si="122"/>
        <v>287.67866399999997</v>
      </c>
      <c r="V130">
        <f t="shared" si="123"/>
        <v>6.6639624999999985</v>
      </c>
      <c r="W130">
        <f t="shared" si="124"/>
        <v>0</v>
      </c>
      <c r="X130">
        <f t="shared" si="125"/>
        <v>85350</v>
      </c>
      <c r="Y130">
        <f t="shared" si="126"/>
        <v>52836</v>
      </c>
      <c r="AA130">
        <v>46416371</v>
      </c>
      <c r="AB130">
        <f t="shared" si="127"/>
        <v>108559.884475</v>
      </c>
      <c r="AC130">
        <f t="shared" si="128"/>
        <v>96195.79</v>
      </c>
      <c r="AD130">
        <f>ROUND((((((ET130*1.25)*1.15))-(((EU130*1.25)*1.15)))+AE130),6)</f>
        <v>3689.473125</v>
      </c>
      <c r="AE130">
        <f>ROUND((((EU130*1.25)*1.15)),6)</f>
        <v>322.17250000000001</v>
      </c>
      <c r="AF130">
        <f>ROUND((((EV130*1.15)*1.15*3)),6)</f>
        <v>8674.6213499999994</v>
      </c>
      <c r="AG130">
        <f t="shared" si="129"/>
        <v>0</v>
      </c>
      <c r="AH130">
        <f>(((EW130*1.15)*1.15*3))</f>
        <v>1106.4563999999998</v>
      </c>
      <c r="AI130">
        <f>(((EX130*1.25)*1.15))</f>
        <v>25.630624999999995</v>
      </c>
      <c r="AJ130">
        <f t="shared" si="130"/>
        <v>0</v>
      </c>
      <c r="AK130">
        <v>100948.8</v>
      </c>
      <c r="AL130">
        <v>96195.79</v>
      </c>
      <c r="AM130">
        <v>2566.59</v>
      </c>
      <c r="AN130">
        <v>224.12</v>
      </c>
      <c r="AO130">
        <v>2186.42</v>
      </c>
      <c r="AP130">
        <v>0</v>
      </c>
      <c r="AQ130">
        <v>278.88</v>
      </c>
      <c r="AR130">
        <v>17.829999999999998</v>
      </c>
      <c r="AS130">
        <v>0</v>
      </c>
      <c r="AT130">
        <v>105</v>
      </c>
      <c r="AU130">
        <v>65</v>
      </c>
      <c r="AV130">
        <v>1</v>
      </c>
      <c r="AW130">
        <v>1</v>
      </c>
      <c r="AZ130">
        <v>1</v>
      </c>
      <c r="BA130">
        <v>34.75</v>
      </c>
      <c r="BB130">
        <v>13.36</v>
      </c>
      <c r="BC130">
        <v>8.2899999999999991</v>
      </c>
      <c r="BD130" t="s">
        <v>3</v>
      </c>
      <c r="BE130" t="s">
        <v>3</v>
      </c>
      <c r="BF130" t="s">
        <v>3</v>
      </c>
      <c r="BG130" t="s">
        <v>3</v>
      </c>
      <c r="BH130">
        <v>0</v>
      </c>
      <c r="BI130">
        <v>1</v>
      </c>
      <c r="BJ130" t="s">
        <v>178</v>
      </c>
      <c r="BM130">
        <v>6001</v>
      </c>
      <c r="BN130">
        <v>0</v>
      </c>
      <c r="BO130" t="s">
        <v>3</v>
      </c>
      <c r="BP130">
        <v>0</v>
      </c>
      <c r="BQ130">
        <v>2</v>
      </c>
      <c r="BR130">
        <v>0</v>
      </c>
      <c r="BS130">
        <v>34.75</v>
      </c>
      <c r="BT130">
        <v>1</v>
      </c>
      <c r="BU130">
        <v>1</v>
      </c>
      <c r="BV130">
        <v>1</v>
      </c>
      <c r="BW130">
        <v>1</v>
      </c>
      <c r="BX130">
        <v>1</v>
      </c>
      <c r="BY130" t="s">
        <v>3</v>
      </c>
      <c r="BZ130">
        <v>105</v>
      </c>
      <c r="CA130">
        <v>65</v>
      </c>
      <c r="CB130" t="s">
        <v>3</v>
      </c>
      <c r="CE130">
        <v>0</v>
      </c>
      <c r="CF130">
        <v>0</v>
      </c>
      <c r="CG130">
        <v>0</v>
      </c>
      <c r="CM130">
        <v>0</v>
      </c>
      <c r="CN130" t="s">
        <v>680</v>
      </c>
      <c r="CO130">
        <v>0</v>
      </c>
      <c r="CP130">
        <f t="shared" si="131"/>
        <v>298531</v>
      </c>
      <c r="CQ130">
        <f t="shared" si="132"/>
        <v>797463.09909999988</v>
      </c>
      <c r="CR130">
        <f t="shared" si="133"/>
        <v>49291.360949999995</v>
      </c>
      <c r="CS130">
        <f t="shared" si="134"/>
        <v>11195.494375</v>
      </c>
      <c r="CT130">
        <f t="shared" si="135"/>
        <v>301443.09191249998</v>
      </c>
      <c r="CU130">
        <f t="shared" si="136"/>
        <v>0</v>
      </c>
      <c r="CV130">
        <f t="shared" si="137"/>
        <v>1106.4563999999998</v>
      </c>
      <c r="CW130">
        <f t="shared" si="138"/>
        <v>25.630624999999995</v>
      </c>
      <c r="CX130">
        <f t="shared" si="139"/>
        <v>0</v>
      </c>
      <c r="CY130">
        <f t="shared" si="140"/>
        <v>85350.3</v>
      </c>
      <c r="CZ130">
        <f t="shared" si="141"/>
        <v>52835.9</v>
      </c>
      <c r="DC130" t="s">
        <v>3</v>
      </c>
      <c r="DD130" t="s">
        <v>3</v>
      </c>
      <c r="DE130" t="s">
        <v>170</v>
      </c>
      <c r="DF130" t="s">
        <v>170</v>
      </c>
      <c r="DG130" t="s">
        <v>203</v>
      </c>
      <c r="DH130" t="s">
        <v>3</v>
      </c>
      <c r="DI130" t="s">
        <v>203</v>
      </c>
      <c r="DJ130" t="s">
        <v>170</v>
      </c>
      <c r="DK130" t="s">
        <v>3</v>
      </c>
      <c r="DL130" t="s">
        <v>3</v>
      </c>
      <c r="DM130" t="s">
        <v>3</v>
      </c>
      <c r="DN130">
        <v>0</v>
      </c>
      <c r="DO130">
        <v>0</v>
      </c>
      <c r="DP130">
        <v>1</v>
      </c>
      <c r="DQ130">
        <v>1</v>
      </c>
      <c r="DU130">
        <v>1013</v>
      </c>
      <c r="DV130" t="s">
        <v>177</v>
      </c>
      <c r="DW130" t="s">
        <v>177</v>
      </c>
      <c r="DX130">
        <v>1</v>
      </c>
      <c r="DZ130" t="s">
        <v>3</v>
      </c>
      <c r="EA130" t="s">
        <v>3</v>
      </c>
      <c r="EB130" t="s">
        <v>3</v>
      </c>
      <c r="EC130" t="s">
        <v>3</v>
      </c>
      <c r="EE130">
        <v>42475896</v>
      </c>
      <c r="EF130">
        <v>2</v>
      </c>
      <c r="EG130" t="s">
        <v>22</v>
      </c>
      <c r="EH130">
        <v>0</v>
      </c>
      <c r="EI130" t="s">
        <v>3</v>
      </c>
      <c r="EJ130">
        <v>1</v>
      </c>
      <c r="EK130">
        <v>6001</v>
      </c>
      <c r="EL130" t="s">
        <v>179</v>
      </c>
      <c r="EM130" t="s">
        <v>180</v>
      </c>
      <c r="EO130" t="s">
        <v>173</v>
      </c>
      <c r="EQ130">
        <v>0</v>
      </c>
      <c r="ER130">
        <v>100948.8</v>
      </c>
      <c r="ES130">
        <v>96195.79</v>
      </c>
      <c r="ET130">
        <v>2566.59</v>
      </c>
      <c r="EU130">
        <v>224.12</v>
      </c>
      <c r="EV130">
        <v>2186.42</v>
      </c>
      <c r="EW130">
        <v>278.88</v>
      </c>
      <c r="EX130">
        <v>17.829999999999998</v>
      </c>
      <c r="EY130">
        <v>0</v>
      </c>
      <c r="FQ130">
        <v>0</v>
      </c>
      <c r="FR130">
        <f t="shared" si="142"/>
        <v>0</v>
      </c>
      <c r="FS130">
        <v>0</v>
      </c>
      <c r="FX130">
        <v>105</v>
      </c>
      <c r="FY130">
        <v>65</v>
      </c>
      <c r="GA130" t="s">
        <v>3</v>
      </c>
      <c r="GD130">
        <v>1</v>
      </c>
      <c r="GF130">
        <v>1895643426</v>
      </c>
      <c r="GG130">
        <v>2</v>
      </c>
      <c r="GH130">
        <v>1</v>
      </c>
      <c r="GI130">
        <v>4</v>
      </c>
      <c r="GJ130">
        <v>0</v>
      </c>
      <c r="GK130">
        <v>0</v>
      </c>
      <c r="GL130">
        <f t="shared" si="143"/>
        <v>0</v>
      </c>
      <c r="GM130">
        <f t="shared" si="144"/>
        <v>436717</v>
      </c>
      <c r="GN130">
        <f t="shared" si="145"/>
        <v>436717</v>
      </c>
      <c r="GO130">
        <f t="shared" si="146"/>
        <v>0</v>
      </c>
      <c r="GP130">
        <f t="shared" si="147"/>
        <v>0</v>
      </c>
      <c r="GR130">
        <v>0</v>
      </c>
      <c r="GS130">
        <v>3</v>
      </c>
      <c r="GT130">
        <v>0</v>
      </c>
      <c r="GU130" t="s">
        <v>3</v>
      </c>
      <c r="GV130">
        <f t="shared" si="148"/>
        <v>0</v>
      </c>
      <c r="GW130">
        <v>1</v>
      </c>
      <c r="GX130">
        <f t="shared" si="149"/>
        <v>0</v>
      </c>
      <c r="HA130">
        <v>0</v>
      </c>
      <c r="HB130">
        <v>0</v>
      </c>
      <c r="HC130">
        <f t="shared" si="150"/>
        <v>0</v>
      </c>
      <c r="HE130" t="s">
        <v>3</v>
      </c>
      <c r="HF130" t="s">
        <v>3</v>
      </c>
      <c r="HM130" t="s">
        <v>3</v>
      </c>
      <c r="HN130" t="s">
        <v>3</v>
      </c>
      <c r="HO130" t="s">
        <v>3</v>
      </c>
      <c r="HP130" t="s">
        <v>3</v>
      </c>
      <c r="HQ130" t="s">
        <v>3</v>
      </c>
      <c r="IK130">
        <v>0</v>
      </c>
    </row>
    <row r="131" spans="1:245" x14ac:dyDescent="0.2">
      <c r="A131">
        <v>18</v>
      </c>
      <c r="B131">
        <v>1</v>
      </c>
      <c r="C131">
        <v>115</v>
      </c>
      <c r="E131" t="s">
        <v>204</v>
      </c>
      <c r="F131" t="s">
        <v>182</v>
      </c>
      <c r="G131" t="s">
        <v>183</v>
      </c>
      <c r="H131" t="s">
        <v>184</v>
      </c>
      <c r="I131">
        <f>I130*J131</f>
        <v>-0.83199999999999996</v>
      </c>
      <c r="J131">
        <v>-3.1999999999999997</v>
      </c>
      <c r="K131">
        <v>-3.2</v>
      </c>
      <c r="O131">
        <f t="shared" si="116"/>
        <v>-37357</v>
      </c>
      <c r="P131">
        <f t="shared" si="117"/>
        <v>-37357</v>
      </c>
      <c r="Q131">
        <f t="shared" si="118"/>
        <v>0</v>
      </c>
      <c r="R131">
        <f t="shared" si="119"/>
        <v>0</v>
      </c>
      <c r="S131">
        <f t="shared" si="120"/>
        <v>0</v>
      </c>
      <c r="T131">
        <f t="shared" si="121"/>
        <v>0</v>
      </c>
      <c r="U131">
        <f t="shared" si="122"/>
        <v>0</v>
      </c>
      <c r="V131">
        <f t="shared" si="123"/>
        <v>0</v>
      </c>
      <c r="W131">
        <f t="shared" si="124"/>
        <v>0</v>
      </c>
      <c r="X131">
        <f t="shared" si="125"/>
        <v>0</v>
      </c>
      <c r="Y131">
        <f t="shared" si="126"/>
        <v>0</v>
      </c>
      <c r="AA131">
        <v>46416371</v>
      </c>
      <c r="AB131">
        <f t="shared" si="127"/>
        <v>5416.2</v>
      </c>
      <c r="AC131">
        <f t="shared" si="128"/>
        <v>5416.2</v>
      </c>
      <c r="AD131">
        <f>ROUND((((ET131)-(EU131))+AE131),6)</f>
        <v>0</v>
      </c>
      <c r="AE131">
        <f t="shared" ref="AE131:AF135" si="151">ROUND((EU131),6)</f>
        <v>0</v>
      </c>
      <c r="AF131">
        <f t="shared" si="151"/>
        <v>0</v>
      </c>
      <c r="AG131">
        <f t="shared" si="129"/>
        <v>0</v>
      </c>
      <c r="AH131">
        <f t="shared" ref="AH131:AI135" si="152">(EW131)</f>
        <v>0</v>
      </c>
      <c r="AI131">
        <f t="shared" si="152"/>
        <v>0</v>
      </c>
      <c r="AJ131">
        <f t="shared" si="130"/>
        <v>0</v>
      </c>
      <c r="AK131">
        <v>5416.2</v>
      </c>
      <c r="AL131">
        <v>5416.2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1</v>
      </c>
      <c r="AW131">
        <v>1</v>
      </c>
      <c r="AZ131">
        <v>1</v>
      </c>
      <c r="BA131">
        <v>1</v>
      </c>
      <c r="BB131">
        <v>1</v>
      </c>
      <c r="BC131">
        <v>8.2899999999999991</v>
      </c>
      <c r="BD131" t="s">
        <v>3</v>
      </c>
      <c r="BE131" t="s">
        <v>3</v>
      </c>
      <c r="BF131" t="s">
        <v>3</v>
      </c>
      <c r="BG131" t="s">
        <v>3</v>
      </c>
      <c r="BH131">
        <v>3</v>
      </c>
      <c r="BI131">
        <v>1</v>
      </c>
      <c r="BJ131" t="s">
        <v>185</v>
      </c>
      <c r="BM131">
        <v>500001</v>
      </c>
      <c r="BN131">
        <v>0</v>
      </c>
      <c r="BO131" t="s">
        <v>3</v>
      </c>
      <c r="BP131">
        <v>0</v>
      </c>
      <c r="BQ131">
        <v>8</v>
      </c>
      <c r="BR131">
        <v>1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 t="s">
        <v>3</v>
      </c>
      <c r="BZ131">
        <v>0</v>
      </c>
      <c r="CA131">
        <v>0</v>
      </c>
      <c r="CB131" t="s">
        <v>3</v>
      </c>
      <c r="CE131">
        <v>0</v>
      </c>
      <c r="CF131">
        <v>0</v>
      </c>
      <c r="CG131">
        <v>0</v>
      </c>
      <c r="CM131">
        <v>0</v>
      </c>
      <c r="CN131" t="s">
        <v>3</v>
      </c>
      <c r="CO131">
        <v>0</v>
      </c>
      <c r="CP131">
        <f t="shared" si="131"/>
        <v>-37357</v>
      </c>
      <c r="CQ131">
        <f t="shared" si="132"/>
        <v>44900.297999999995</v>
      </c>
      <c r="CR131">
        <f t="shared" si="133"/>
        <v>0</v>
      </c>
      <c r="CS131">
        <f t="shared" si="134"/>
        <v>0</v>
      </c>
      <c r="CT131">
        <f t="shared" si="135"/>
        <v>0</v>
      </c>
      <c r="CU131">
        <f t="shared" si="136"/>
        <v>0</v>
      </c>
      <c r="CV131">
        <f t="shared" si="137"/>
        <v>0</v>
      </c>
      <c r="CW131">
        <f t="shared" si="138"/>
        <v>0</v>
      </c>
      <c r="CX131">
        <f t="shared" si="139"/>
        <v>0</v>
      </c>
      <c r="CY131">
        <f t="shared" si="140"/>
        <v>0</v>
      </c>
      <c r="CZ131">
        <f t="shared" si="141"/>
        <v>0</v>
      </c>
      <c r="DC131" t="s">
        <v>3</v>
      </c>
      <c r="DD131" t="s">
        <v>3</v>
      </c>
      <c r="DE131" t="s">
        <v>3</v>
      </c>
      <c r="DF131" t="s">
        <v>3</v>
      </c>
      <c r="DG131" t="s">
        <v>3</v>
      </c>
      <c r="DH131" t="s">
        <v>3</v>
      </c>
      <c r="DI131" t="s">
        <v>3</v>
      </c>
      <c r="DJ131" t="s">
        <v>3</v>
      </c>
      <c r="DK131" t="s">
        <v>3</v>
      </c>
      <c r="DL131" t="s">
        <v>3</v>
      </c>
      <c r="DM131" t="s">
        <v>3</v>
      </c>
      <c r="DN131">
        <v>0</v>
      </c>
      <c r="DO131">
        <v>0</v>
      </c>
      <c r="DP131">
        <v>1</v>
      </c>
      <c r="DQ131">
        <v>1</v>
      </c>
      <c r="DU131">
        <v>1009</v>
      </c>
      <c r="DV131" t="s">
        <v>184</v>
      </c>
      <c r="DW131" t="s">
        <v>184</v>
      </c>
      <c r="DX131">
        <v>1000</v>
      </c>
      <c r="DZ131" t="s">
        <v>3</v>
      </c>
      <c r="EA131" t="s">
        <v>3</v>
      </c>
      <c r="EB131" t="s">
        <v>3</v>
      </c>
      <c r="EC131" t="s">
        <v>3</v>
      </c>
      <c r="EE131">
        <v>42475842</v>
      </c>
      <c r="EF131">
        <v>8</v>
      </c>
      <c r="EG131" t="s">
        <v>141</v>
      </c>
      <c r="EH131">
        <v>0</v>
      </c>
      <c r="EI131" t="s">
        <v>3</v>
      </c>
      <c r="EJ131">
        <v>1</v>
      </c>
      <c r="EK131">
        <v>500001</v>
      </c>
      <c r="EL131" t="s">
        <v>142</v>
      </c>
      <c r="EM131" t="s">
        <v>143</v>
      </c>
      <c r="EO131" t="s">
        <v>3</v>
      </c>
      <c r="EQ131">
        <v>32768</v>
      </c>
      <c r="ER131">
        <v>5416.2</v>
      </c>
      <c r="ES131">
        <v>5416.2</v>
      </c>
      <c r="ET131">
        <v>0</v>
      </c>
      <c r="EU131">
        <v>0</v>
      </c>
      <c r="EV131">
        <v>0</v>
      </c>
      <c r="EW131">
        <v>0</v>
      </c>
      <c r="EX131">
        <v>0</v>
      </c>
      <c r="FQ131">
        <v>0</v>
      </c>
      <c r="FR131">
        <f t="shared" si="142"/>
        <v>0</v>
      </c>
      <c r="FS131">
        <v>0</v>
      </c>
      <c r="FX131">
        <v>0</v>
      </c>
      <c r="FY131">
        <v>0</v>
      </c>
      <c r="GA131" t="s">
        <v>3</v>
      </c>
      <c r="GD131">
        <v>1</v>
      </c>
      <c r="GF131">
        <v>98865574</v>
      </c>
      <c r="GG131">
        <v>2</v>
      </c>
      <c r="GH131">
        <v>1</v>
      </c>
      <c r="GI131">
        <v>4</v>
      </c>
      <c r="GJ131">
        <v>0</v>
      </c>
      <c r="GK131">
        <v>0</v>
      </c>
      <c r="GL131">
        <f t="shared" si="143"/>
        <v>0</v>
      </c>
      <c r="GM131">
        <f t="shared" si="144"/>
        <v>-37357</v>
      </c>
      <c r="GN131">
        <f t="shared" si="145"/>
        <v>-37357</v>
      </c>
      <c r="GO131">
        <f t="shared" si="146"/>
        <v>0</v>
      </c>
      <c r="GP131">
        <f t="shared" si="147"/>
        <v>0</v>
      </c>
      <c r="GR131">
        <v>0</v>
      </c>
      <c r="GS131">
        <v>3</v>
      </c>
      <c r="GT131">
        <v>0</v>
      </c>
      <c r="GU131" t="s">
        <v>3</v>
      </c>
      <c r="GV131">
        <f t="shared" si="148"/>
        <v>0</v>
      </c>
      <c r="GW131">
        <v>1</v>
      </c>
      <c r="GX131">
        <f t="shared" si="149"/>
        <v>0</v>
      </c>
      <c r="HA131">
        <v>0</v>
      </c>
      <c r="HB131">
        <v>0</v>
      </c>
      <c r="HC131">
        <f t="shared" si="150"/>
        <v>0</v>
      </c>
      <c r="HE131" t="s">
        <v>3</v>
      </c>
      <c r="HF131" t="s">
        <v>3</v>
      </c>
      <c r="HM131" t="s">
        <v>3</v>
      </c>
      <c r="HN131" t="s">
        <v>3</v>
      </c>
      <c r="HO131" t="s">
        <v>3</v>
      </c>
      <c r="HP131" t="s">
        <v>3</v>
      </c>
      <c r="HQ131" t="s">
        <v>3</v>
      </c>
      <c r="IK131">
        <v>0</v>
      </c>
    </row>
    <row r="132" spans="1:245" x14ac:dyDescent="0.2">
      <c r="A132">
        <v>18</v>
      </c>
      <c r="B132">
        <v>1</v>
      </c>
      <c r="C132">
        <v>116</v>
      </c>
      <c r="E132" t="s">
        <v>205</v>
      </c>
      <c r="F132" t="s">
        <v>187</v>
      </c>
      <c r="G132" t="s">
        <v>188</v>
      </c>
      <c r="H132" t="s">
        <v>139</v>
      </c>
      <c r="I132">
        <f>I130*J132</f>
        <v>-26.39</v>
      </c>
      <c r="J132">
        <v>-101.5</v>
      </c>
      <c r="K132">
        <v>-101.5</v>
      </c>
      <c r="O132">
        <f t="shared" si="116"/>
        <v>-163585</v>
      </c>
      <c r="P132">
        <f t="shared" si="117"/>
        <v>-163585</v>
      </c>
      <c r="Q132">
        <f t="shared" si="118"/>
        <v>0</v>
      </c>
      <c r="R132">
        <f t="shared" si="119"/>
        <v>0</v>
      </c>
      <c r="S132">
        <f t="shared" si="120"/>
        <v>0</v>
      </c>
      <c r="T132">
        <f t="shared" si="121"/>
        <v>0</v>
      </c>
      <c r="U132">
        <f t="shared" si="122"/>
        <v>0</v>
      </c>
      <c r="V132">
        <f t="shared" si="123"/>
        <v>0</v>
      </c>
      <c r="W132">
        <f t="shared" si="124"/>
        <v>0</v>
      </c>
      <c r="X132">
        <f t="shared" si="125"/>
        <v>0</v>
      </c>
      <c r="Y132">
        <f t="shared" si="126"/>
        <v>0</v>
      </c>
      <c r="AA132">
        <v>46416371</v>
      </c>
      <c r="AB132">
        <f t="shared" si="127"/>
        <v>747.74</v>
      </c>
      <c r="AC132">
        <f t="shared" si="128"/>
        <v>747.74</v>
      </c>
      <c r="AD132">
        <f>ROUND((((ET132)-(EU132))+AE132),6)</f>
        <v>0</v>
      </c>
      <c r="AE132">
        <f t="shared" si="151"/>
        <v>0</v>
      </c>
      <c r="AF132">
        <f t="shared" si="151"/>
        <v>0</v>
      </c>
      <c r="AG132">
        <f t="shared" si="129"/>
        <v>0</v>
      </c>
      <c r="AH132">
        <f t="shared" si="152"/>
        <v>0</v>
      </c>
      <c r="AI132">
        <f t="shared" si="152"/>
        <v>0</v>
      </c>
      <c r="AJ132">
        <f t="shared" si="130"/>
        <v>0</v>
      </c>
      <c r="AK132">
        <v>747.74</v>
      </c>
      <c r="AL132">
        <v>747.74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1</v>
      </c>
      <c r="AW132">
        <v>1</v>
      </c>
      <c r="AZ132">
        <v>1</v>
      </c>
      <c r="BA132">
        <v>1</v>
      </c>
      <c r="BB132">
        <v>1</v>
      </c>
      <c r="BC132">
        <v>8.2899999999999991</v>
      </c>
      <c r="BD132" t="s">
        <v>3</v>
      </c>
      <c r="BE132" t="s">
        <v>3</v>
      </c>
      <c r="BF132" t="s">
        <v>3</v>
      </c>
      <c r="BG132" t="s">
        <v>3</v>
      </c>
      <c r="BH132">
        <v>3</v>
      </c>
      <c r="BI132">
        <v>1</v>
      </c>
      <c r="BJ132" t="s">
        <v>189</v>
      </c>
      <c r="BM132">
        <v>500001</v>
      </c>
      <c r="BN132">
        <v>0</v>
      </c>
      <c r="BO132" t="s">
        <v>3</v>
      </c>
      <c r="BP132">
        <v>0</v>
      </c>
      <c r="BQ132">
        <v>8</v>
      </c>
      <c r="BR132">
        <v>1</v>
      </c>
      <c r="BS132">
        <v>1</v>
      </c>
      <c r="BT132">
        <v>1</v>
      </c>
      <c r="BU132">
        <v>1</v>
      </c>
      <c r="BV132">
        <v>1</v>
      </c>
      <c r="BW132">
        <v>1</v>
      </c>
      <c r="BX132">
        <v>1</v>
      </c>
      <c r="BY132" t="s">
        <v>3</v>
      </c>
      <c r="BZ132">
        <v>0</v>
      </c>
      <c r="CA132">
        <v>0</v>
      </c>
      <c r="CB132" t="s">
        <v>3</v>
      </c>
      <c r="CE132">
        <v>0</v>
      </c>
      <c r="CF132">
        <v>0</v>
      </c>
      <c r="CG132">
        <v>0</v>
      </c>
      <c r="CM132">
        <v>0</v>
      </c>
      <c r="CN132" t="s">
        <v>3</v>
      </c>
      <c r="CO132">
        <v>0</v>
      </c>
      <c r="CP132">
        <f t="shared" si="131"/>
        <v>-163585</v>
      </c>
      <c r="CQ132">
        <f t="shared" si="132"/>
        <v>6198.7645999999995</v>
      </c>
      <c r="CR132">
        <f t="shared" si="133"/>
        <v>0</v>
      </c>
      <c r="CS132">
        <f t="shared" si="134"/>
        <v>0</v>
      </c>
      <c r="CT132">
        <f t="shared" si="135"/>
        <v>0</v>
      </c>
      <c r="CU132">
        <f t="shared" si="136"/>
        <v>0</v>
      </c>
      <c r="CV132">
        <f t="shared" si="137"/>
        <v>0</v>
      </c>
      <c r="CW132">
        <f t="shared" si="138"/>
        <v>0</v>
      </c>
      <c r="CX132">
        <f t="shared" si="139"/>
        <v>0</v>
      </c>
      <c r="CY132">
        <f t="shared" si="140"/>
        <v>0</v>
      </c>
      <c r="CZ132">
        <f t="shared" si="141"/>
        <v>0</v>
      </c>
      <c r="DC132" t="s">
        <v>3</v>
      </c>
      <c r="DD132" t="s">
        <v>3</v>
      </c>
      <c r="DE132" t="s">
        <v>3</v>
      </c>
      <c r="DF132" t="s">
        <v>3</v>
      </c>
      <c r="DG132" t="s">
        <v>3</v>
      </c>
      <c r="DH132" t="s">
        <v>3</v>
      </c>
      <c r="DI132" t="s">
        <v>3</v>
      </c>
      <c r="DJ132" t="s">
        <v>3</v>
      </c>
      <c r="DK132" t="s">
        <v>3</v>
      </c>
      <c r="DL132" t="s">
        <v>3</v>
      </c>
      <c r="DM132" t="s">
        <v>3</v>
      </c>
      <c r="DN132">
        <v>0</v>
      </c>
      <c r="DO132">
        <v>0</v>
      </c>
      <c r="DP132">
        <v>1</v>
      </c>
      <c r="DQ132">
        <v>1</v>
      </c>
      <c r="DU132">
        <v>1007</v>
      </c>
      <c r="DV132" t="s">
        <v>139</v>
      </c>
      <c r="DW132" t="s">
        <v>139</v>
      </c>
      <c r="DX132">
        <v>1</v>
      </c>
      <c r="DZ132" t="s">
        <v>3</v>
      </c>
      <c r="EA132" t="s">
        <v>3</v>
      </c>
      <c r="EB132" t="s">
        <v>3</v>
      </c>
      <c r="EC132" t="s">
        <v>3</v>
      </c>
      <c r="EE132">
        <v>42475842</v>
      </c>
      <c r="EF132">
        <v>8</v>
      </c>
      <c r="EG132" t="s">
        <v>141</v>
      </c>
      <c r="EH132">
        <v>0</v>
      </c>
      <c r="EI132" t="s">
        <v>3</v>
      </c>
      <c r="EJ132">
        <v>1</v>
      </c>
      <c r="EK132">
        <v>500001</v>
      </c>
      <c r="EL132" t="s">
        <v>142</v>
      </c>
      <c r="EM132" t="s">
        <v>143</v>
      </c>
      <c r="EO132" t="s">
        <v>3</v>
      </c>
      <c r="EQ132">
        <v>32768</v>
      </c>
      <c r="ER132">
        <v>747.74</v>
      </c>
      <c r="ES132">
        <v>747.74</v>
      </c>
      <c r="ET132">
        <v>0</v>
      </c>
      <c r="EU132">
        <v>0</v>
      </c>
      <c r="EV132">
        <v>0</v>
      </c>
      <c r="EW132">
        <v>0</v>
      </c>
      <c r="EX132">
        <v>0</v>
      </c>
      <c r="FQ132">
        <v>0</v>
      </c>
      <c r="FR132">
        <f t="shared" si="142"/>
        <v>0</v>
      </c>
      <c r="FS132">
        <v>0</v>
      </c>
      <c r="FX132">
        <v>0</v>
      </c>
      <c r="FY132">
        <v>0</v>
      </c>
      <c r="GA132" t="s">
        <v>3</v>
      </c>
      <c r="GD132">
        <v>1</v>
      </c>
      <c r="GF132">
        <v>220986734</v>
      </c>
      <c r="GG132">
        <v>2</v>
      </c>
      <c r="GH132">
        <v>1</v>
      </c>
      <c r="GI132">
        <v>4</v>
      </c>
      <c r="GJ132">
        <v>0</v>
      </c>
      <c r="GK132">
        <v>0</v>
      </c>
      <c r="GL132">
        <f t="shared" si="143"/>
        <v>0</v>
      </c>
      <c r="GM132">
        <f t="shared" si="144"/>
        <v>-163585</v>
      </c>
      <c r="GN132">
        <f t="shared" si="145"/>
        <v>-163585</v>
      </c>
      <c r="GO132">
        <f t="shared" si="146"/>
        <v>0</v>
      </c>
      <c r="GP132">
        <f t="shared" si="147"/>
        <v>0</v>
      </c>
      <c r="GR132">
        <v>0</v>
      </c>
      <c r="GS132">
        <v>3</v>
      </c>
      <c r="GT132">
        <v>0</v>
      </c>
      <c r="GU132" t="s">
        <v>3</v>
      </c>
      <c r="GV132">
        <f t="shared" si="148"/>
        <v>0</v>
      </c>
      <c r="GW132">
        <v>1</v>
      </c>
      <c r="GX132">
        <f t="shared" si="149"/>
        <v>0</v>
      </c>
      <c r="HA132">
        <v>0</v>
      </c>
      <c r="HB132">
        <v>0</v>
      </c>
      <c r="HC132">
        <f t="shared" si="150"/>
        <v>0</v>
      </c>
      <c r="HE132" t="s">
        <v>3</v>
      </c>
      <c r="HF132" t="s">
        <v>3</v>
      </c>
      <c r="HM132" t="s">
        <v>3</v>
      </c>
      <c r="HN132" t="s">
        <v>3</v>
      </c>
      <c r="HO132" t="s">
        <v>3</v>
      </c>
      <c r="HP132" t="s">
        <v>3</v>
      </c>
      <c r="HQ132" t="s">
        <v>3</v>
      </c>
      <c r="IK132">
        <v>0</v>
      </c>
    </row>
    <row r="133" spans="1:245" x14ac:dyDescent="0.2">
      <c r="A133">
        <v>18</v>
      </c>
      <c r="B133">
        <v>1</v>
      </c>
      <c r="C133">
        <v>119</v>
      </c>
      <c r="E133" t="s">
        <v>206</v>
      </c>
      <c r="F133" t="s">
        <v>145</v>
      </c>
      <c r="G133" t="s">
        <v>191</v>
      </c>
      <c r="H133" t="s">
        <v>139</v>
      </c>
      <c r="I133">
        <f>I130*J133</f>
        <v>26.39</v>
      </c>
      <c r="J133">
        <v>101.5</v>
      </c>
      <c r="K133">
        <v>101.5</v>
      </c>
      <c r="O133">
        <f t="shared" si="116"/>
        <v>235311</v>
      </c>
      <c r="P133">
        <f t="shared" si="117"/>
        <v>235311</v>
      </c>
      <c r="Q133">
        <f t="shared" si="118"/>
        <v>0</v>
      </c>
      <c r="R133">
        <f t="shared" si="119"/>
        <v>0</v>
      </c>
      <c r="S133">
        <f t="shared" si="120"/>
        <v>0</v>
      </c>
      <c r="T133">
        <f t="shared" si="121"/>
        <v>0</v>
      </c>
      <c r="U133">
        <f t="shared" si="122"/>
        <v>0</v>
      </c>
      <c r="V133">
        <f t="shared" si="123"/>
        <v>0</v>
      </c>
      <c r="W133">
        <f t="shared" si="124"/>
        <v>0</v>
      </c>
      <c r="X133">
        <f t="shared" si="125"/>
        <v>0</v>
      </c>
      <c r="Y133">
        <f t="shared" si="126"/>
        <v>0</v>
      </c>
      <c r="AA133">
        <v>46416371</v>
      </c>
      <c r="AB133">
        <f t="shared" si="127"/>
        <v>8916.67</v>
      </c>
      <c r="AC133">
        <f t="shared" si="128"/>
        <v>8916.67</v>
      </c>
      <c r="AD133">
        <f>ROUND((((ET133)-(EU133))+AE133),6)</f>
        <v>0</v>
      </c>
      <c r="AE133">
        <f t="shared" si="151"/>
        <v>0</v>
      </c>
      <c r="AF133">
        <f t="shared" si="151"/>
        <v>0</v>
      </c>
      <c r="AG133">
        <f t="shared" si="129"/>
        <v>0</v>
      </c>
      <c r="AH133">
        <f t="shared" si="152"/>
        <v>0</v>
      </c>
      <c r="AI133">
        <f t="shared" si="152"/>
        <v>0</v>
      </c>
      <c r="AJ133">
        <f t="shared" si="130"/>
        <v>0</v>
      </c>
      <c r="AK133">
        <v>8916.67</v>
      </c>
      <c r="AL133">
        <v>8916.67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1</v>
      </c>
      <c r="AW133">
        <v>1</v>
      </c>
      <c r="AZ133">
        <v>1</v>
      </c>
      <c r="BA133">
        <v>1</v>
      </c>
      <c r="BB133">
        <v>1</v>
      </c>
      <c r="BC133">
        <v>1</v>
      </c>
      <c r="BD133" t="s">
        <v>3</v>
      </c>
      <c r="BE133" t="s">
        <v>3</v>
      </c>
      <c r="BF133" t="s">
        <v>3</v>
      </c>
      <c r="BG133" t="s">
        <v>3</v>
      </c>
      <c r="BH133">
        <v>3</v>
      </c>
      <c r="BI133">
        <v>4</v>
      </c>
      <c r="BJ133" t="s">
        <v>3</v>
      </c>
      <c r="BM133">
        <v>0</v>
      </c>
      <c r="BN133">
        <v>0</v>
      </c>
      <c r="BO133" t="s">
        <v>3</v>
      </c>
      <c r="BP133">
        <v>0</v>
      </c>
      <c r="BQ133">
        <v>16</v>
      </c>
      <c r="BR133">
        <v>0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 t="s">
        <v>3</v>
      </c>
      <c r="BZ133">
        <v>0</v>
      </c>
      <c r="CA133">
        <v>0</v>
      </c>
      <c r="CB133" t="s">
        <v>3</v>
      </c>
      <c r="CE133">
        <v>0</v>
      </c>
      <c r="CF133">
        <v>0</v>
      </c>
      <c r="CG133">
        <v>0</v>
      </c>
      <c r="CM133">
        <v>0</v>
      </c>
      <c r="CN133" t="s">
        <v>3</v>
      </c>
      <c r="CO133">
        <v>0</v>
      </c>
      <c r="CP133">
        <f t="shared" si="131"/>
        <v>235311</v>
      </c>
      <c r="CQ133">
        <f t="shared" si="132"/>
        <v>8916.67</v>
      </c>
      <c r="CR133">
        <f t="shared" si="133"/>
        <v>0</v>
      </c>
      <c r="CS133">
        <f t="shared" si="134"/>
        <v>0</v>
      </c>
      <c r="CT133">
        <f t="shared" si="135"/>
        <v>0</v>
      </c>
      <c r="CU133">
        <f t="shared" si="136"/>
        <v>0</v>
      </c>
      <c r="CV133">
        <f t="shared" si="137"/>
        <v>0</v>
      </c>
      <c r="CW133">
        <f t="shared" si="138"/>
        <v>0</v>
      </c>
      <c r="CX133">
        <f t="shared" si="139"/>
        <v>0</v>
      </c>
      <c r="CY133">
        <f t="shared" si="140"/>
        <v>0</v>
      </c>
      <c r="CZ133">
        <f t="shared" si="141"/>
        <v>0</v>
      </c>
      <c r="DC133" t="s">
        <v>3</v>
      </c>
      <c r="DD133" t="s">
        <v>3</v>
      </c>
      <c r="DE133" t="s">
        <v>3</v>
      </c>
      <c r="DF133" t="s">
        <v>3</v>
      </c>
      <c r="DG133" t="s">
        <v>3</v>
      </c>
      <c r="DH133" t="s">
        <v>3</v>
      </c>
      <c r="DI133" t="s">
        <v>3</v>
      </c>
      <c r="DJ133" t="s">
        <v>3</v>
      </c>
      <c r="DK133" t="s">
        <v>3</v>
      </c>
      <c r="DL133" t="s">
        <v>3</v>
      </c>
      <c r="DM133" t="s">
        <v>3</v>
      </c>
      <c r="DN133">
        <v>0</v>
      </c>
      <c r="DO133">
        <v>0</v>
      </c>
      <c r="DP133">
        <v>1</v>
      </c>
      <c r="DQ133">
        <v>1</v>
      </c>
      <c r="DU133">
        <v>1007</v>
      </c>
      <c r="DV133" t="s">
        <v>139</v>
      </c>
      <c r="DW133" t="s">
        <v>139</v>
      </c>
      <c r="DX133">
        <v>1</v>
      </c>
      <c r="DZ133" t="s">
        <v>3</v>
      </c>
      <c r="EA133" t="s">
        <v>3</v>
      </c>
      <c r="EB133" t="s">
        <v>3</v>
      </c>
      <c r="EC133" t="s">
        <v>3</v>
      </c>
      <c r="EE133">
        <v>42475850</v>
      </c>
      <c r="EF133">
        <v>16</v>
      </c>
      <c r="EG133" t="s">
        <v>147</v>
      </c>
      <c r="EH133">
        <v>0</v>
      </c>
      <c r="EI133" t="s">
        <v>3</v>
      </c>
      <c r="EJ133">
        <v>4</v>
      </c>
      <c r="EK133">
        <v>0</v>
      </c>
      <c r="EL133" t="s">
        <v>148</v>
      </c>
      <c r="EM133" t="s">
        <v>149</v>
      </c>
      <c r="EO133" t="s">
        <v>3</v>
      </c>
      <c r="EQ133">
        <v>0</v>
      </c>
      <c r="ER133">
        <v>8916.67</v>
      </c>
      <c r="ES133">
        <v>8916.67</v>
      </c>
      <c r="ET133">
        <v>0</v>
      </c>
      <c r="EU133">
        <v>0</v>
      </c>
      <c r="EV133">
        <v>0</v>
      </c>
      <c r="EW133">
        <v>0</v>
      </c>
      <c r="EX133">
        <v>0</v>
      </c>
      <c r="EZ133">
        <v>5</v>
      </c>
      <c r="FC133">
        <v>1</v>
      </c>
      <c r="FD133">
        <v>18</v>
      </c>
      <c r="FF133">
        <v>10700</v>
      </c>
      <c r="FQ133">
        <v>0</v>
      </c>
      <c r="FR133">
        <f t="shared" si="142"/>
        <v>0</v>
      </c>
      <c r="FS133">
        <v>0</v>
      </c>
      <c r="FX133">
        <v>0</v>
      </c>
      <c r="FY133">
        <v>0</v>
      </c>
      <c r="GA133" t="s">
        <v>192</v>
      </c>
      <c r="GD133">
        <v>1</v>
      </c>
      <c r="GF133">
        <v>1314498646</v>
      </c>
      <c r="GG133">
        <v>2</v>
      </c>
      <c r="GH133">
        <v>3</v>
      </c>
      <c r="GI133">
        <v>4</v>
      </c>
      <c r="GJ133">
        <v>0</v>
      </c>
      <c r="GK133">
        <v>0</v>
      </c>
      <c r="GL133">
        <f t="shared" si="143"/>
        <v>0</v>
      </c>
      <c r="GM133">
        <f t="shared" si="144"/>
        <v>235311</v>
      </c>
      <c r="GN133">
        <f t="shared" si="145"/>
        <v>0</v>
      </c>
      <c r="GO133">
        <f t="shared" si="146"/>
        <v>0</v>
      </c>
      <c r="GP133">
        <f t="shared" si="147"/>
        <v>235311</v>
      </c>
      <c r="GR133">
        <v>1</v>
      </c>
      <c r="GS133">
        <v>1</v>
      </c>
      <c r="GT133">
        <v>0</v>
      </c>
      <c r="GU133" t="s">
        <v>3</v>
      </c>
      <c r="GV133">
        <f t="shared" si="148"/>
        <v>0</v>
      </c>
      <c r="GW133">
        <v>1</v>
      </c>
      <c r="GX133">
        <f t="shared" si="149"/>
        <v>0</v>
      </c>
      <c r="HA133">
        <v>0</v>
      </c>
      <c r="HB133">
        <v>0</v>
      </c>
      <c r="HC133">
        <f t="shared" si="150"/>
        <v>0</v>
      </c>
      <c r="HE133" t="s">
        <v>151</v>
      </c>
      <c r="HF133" t="s">
        <v>151</v>
      </c>
      <c r="HM133" t="s">
        <v>3</v>
      </c>
      <c r="HN133" t="s">
        <v>3</v>
      </c>
      <c r="HO133" t="s">
        <v>3</v>
      </c>
      <c r="HP133" t="s">
        <v>3</v>
      </c>
      <c r="HQ133" t="s">
        <v>3</v>
      </c>
      <c r="IK133">
        <v>0</v>
      </c>
    </row>
    <row r="134" spans="1:245" x14ac:dyDescent="0.2">
      <c r="A134">
        <v>18</v>
      </c>
      <c r="B134">
        <v>1</v>
      </c>
      <c r="C134">
        <v>120</v>
      </c>
      <c r="E134" t="s">
        <v>207</v>
      </c>
      <c r="F134" t="s">
        <v>145</v>
      </c>
      <c r="G134" t="s">
        <v>183</v>
      </c>
      <c r="H134" t="s">
        <v>184</v>
      </c>
      <c r="I134">
        <f>I130*J134</f>
        <v>0.311</v>
      </c>
      <c r="J134">
        <v>1.1961538461538461</v>
      </c>
      <c r="K134">
        <v>1.1961539999999999</v>
      </c>
      <c r="O134">
        <f t="shared" si="116"/>
        <v>19060</v>
      </c>
      <c r="P134">
        <f t="shared" si="117"/>
        <v>19060</v>
      </c>
      <c r="Q134">
        <f t="shared" si="118"/>
        <v>0</v>
      </c>
      <c r="R134">
        <f t="shared" si="119"/>
        <v>0</v>
      </c>
      <c r="S134">
        <f t="shared" si="120"/>
        <v>0</v>
      </c>
      <c r="T134">
        <f t="shared" si="121"/>
        <v>0</v>
      </c>
      <c r="U134">
        <f t="shared" si="122"/>
        <v>0</v>
      </c>
      <c r="V134">
        <f t="shared" si="123"/>
        <v>0</v>
      </c>
      <c r="W134">
        <f t="shared" si="124"/>
        <v>0</v>
      </c>
      <c r="X134">
        <f t="shared" si="125"/>
        <v>0</v>
      </c>
      <c r="Y134">
        <f t="shared" si="126"/>
        <v>0</v>
      </c>
      <c r="AA134">
        <v>46416371</v>
      </c>
      <c r="AB134">
        <f t="shared" si="127"/>
        <v>61285</v>
      </c>
      <c r="AC134">
        <f t="shared" si="128"/>
        <v>61285</v>
      </c>
      <c r="AD134">
        <f>ROUND((((ET134)-(EU134))+AE134),6)</f>
        <v>0</v>
      </c>
      <c r="AE134">
        <f t="shared" si="151"/>
        <v>0</v>
      </c>
      <c r="AF134">
        <f t="shared" si="151"/>
        <v>0</v>
      </c>
      <c r="AG134">
        <f t="shared" si="129"/>
        <v>0</v>
      </c>
      <c r="AH134">
        <f t="shared" si="152"/>
        <v>0</v>
      </c>
      <c r="AI134">
        <f t="shared" si="152"/>
        <v>0</v>
      </c>
      <c r="AJ134">
        <f t="shared" si="130"/>
        <v>0</v>
      </c>
      <c r="AK134">
        <v>61285</v>
      </c>
      <c r="AL134">
        <v>61285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1</v>
      </c>
      <c r="AW134">
        <v>1</v>
      </c>
      <c r="AZ134">
        <v>1</v>
      </c>
      <c r="BA134">
        <v>1</v>
      </c>
      <c r="BB134">
        <v>1</v>
      </c>
      <c r="BC134">
        <v>1</v>
      </c>
      <c r="BD134" t="s">
        <v>3</v>
      </c>
      <c r="BE134" t="s">
        <v>3</v>
      </c>
      <c r="BF134" t="s">
        <v>3</v>
      </c>
      <c r="BG134" t="s">
        <v>3</v>
      </c>
      <c r="BH134">
        <v>3</v>
      </c>
      <c r="BI134">
        <v>4</v>
      </c>
      <c r="BJ134" t="s">
        <v>3</v>
      </c>
      <c r="BM134">
        <v>0</v>
      </c>
      <c r="BN134">
        <v>0</v>
      </c>
      <c r="BO134" t="s">
        <v>3</v>
      </c>
      <c r="BP134">
        <v>0</v>
      </c>
      <c r="BQ134">
        <v>16</v>
      </c>
      <c r="BR134">
        <v>0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 t="s">
        <v>3</v>
      </c>
      <c r="BZ134">
        <v>0</v>
      </c>
      <c r="CA134">
        <v>0</v>
      </c>
      <c r="CB134" t="s">
        <v>3</v>
      </c>
      <c r="CE134">
        <v>0</v>
      </c>
      <c r="CF134">
        <v>0</v>
      </c>
      <c r="CG134">
        <v>0</v>
      </c>
      <c r="CM134">
        <v>0</v>
      </c>
      <c r="CN134" t="s">
        <v>3</v>
      </c>
      <c r="CO134">
        <v>0</v>
      </c>
      <c r="CP134">
        <f t="shared" si="131"/>
        <v>19060</v>
      </c>
      <c r="CQ134">
        <f t="shared" si="132"/>
        <v>61285</v>
      </c>
      <c r="CR134">
        <f t="shared" si="133"/>
        <v>0</v>
      </c>
      <c r="CS134">
        <f t="shared" si="134"/>
        <v>0</v>
      </c>
      <c r="CT134">
        <f t="shared" si="135"/>
        <v>0</v>
      </c>
      <c r="CU134">
        <f t="shared" si="136"/>
        <v>0</v>
      </c>
      <c r="CV134">
        <f t="shared" si="137"/>
        <v>0</v>
      </c>
      <c r="CW134">
        <f t="shared" si="138"/>
        <v>0</v>
      </c>
      <c r="CX134">
        <f t="shared" si="139"/>
        <v>0</v>
      </c>
      <c r="CY134">
        <f t="shared" si="140"/>
        <v>0</v>
      </c>
      <c r="CZ134">
        <f t="shared" si="141"/>
        <v>0</v>
      </c>
      <c r="DC134" t="s">
        <v>3</v>
      </c>
      <c r="DD134" t="s">
        <v>3</v>
      </c>
      <c r="DE134" t="s">
        <v>3</v>
      </c>
      <c r="DF134" t="s">
        <v>3</v>
      </c>
      <c r="DG134" t="s">
        <v>3</v>
      </c>
      <c r="DH134" t="s">
        <v>3</v>
      </c>
      <c r="DI134" t="s">
        <v>3</v>
      </c>
      <c r="DJ134" t="s">
        <v>3</v>
      </c>
      <c r="DK134" t="s">
        <v>3</v>
      </c>
      <c r="DL134" t="s">
        <v>3</v>
      </c>
      <c r="DM134" t="s">
        <v>3</v>
      </c>
      <c r="DN134">
        <v>0</v>
      </c>
      <c r="DO134">
        <v>0</v>
      </c>
      <c r="DP134">
        <v>1</v>
      </c>
      <c r="DQ134">
        <v>1</v>
      </c>
      <c r="DU134">
        <v>1009</v>
      </c>
      <c r="DV134" t="s">
        <v>184</v>
      </c>
      <c r="DW134" t="s">
        <v>184</v>
      </c>
      <c r="DX134">
        <v>1000</v>
      </c>
      <c r="DZ134" t="s">
        <v>3</v>
      </c>
      <c r="EA134" t="s">
        <v>3</v>
      </c>
      <c r="EB134" t="s">
        <v>3</v>
      </c>
      <c r="EC134" t="s">
        <v>3</v>
      </c>
      <c r="EE134">
        <v>42475850</v>
      </c>
      <c r="EF134">
        <v>16</v>
      </c>
      <c r="EG134" t="s">
        <v>147</v>
      </c>
      <c r="EH134">
        <v>0</v>
      </c>
      <c r="EI134" t="s">
        <v>3</v>
      </c>
      <c r="EJ134">
        <v>4</v>
      </c>
      <c r="EK134">
        <v>0</v>
      </c>
      <c r="EL134" t="s">
        <v>148</v>
      </c>
      <c r="EM134" t="s">
        <v>149</v>
      </c>
      <c r="EO134" t="s">
        <v>3</v>
      </c>
      <c r="EQ134">
        <v>0</v>
      </c>
      <c r="ER134">
        <v>61285</v>
      </c>
      <c r="ES134">
        <v>61285</v>
      </c>
      <c r="ET134">
        <v>0</v>
      </c>
      <c r="EU134">
        <v>0</v>
      </c>
      <c r="EV134">
        <v>0</v>
      </c>
      <c r="EW134">
        <v>0</v>
      </c>
      <c r="EX134">
        <v>0</v>
      </c>
      <c r="EZ134">
        <v>5</v>
      </c>
      <c r="FC134">
        <v>1</v>
      </c>
      <c r="FD134">
        <v>18</v>
      </c>
      <c r="FF134">
        <v>70000</v>
      </c>
      <c r="FQ134">
        <v>0</v>
      </c>
      <c r="FR134">
        <f t="shared" si="142"/>
        <v>0</v>
      </c>
      <c r="FS134">
        <v>0</v>
      </c>
      <c r="FX134">
        <v>0</v>
      </c>
      <c r="FY134">
        <v>0</v>
      </c>
      <c r="GA134" t="s">
        <v>194</v>
      </c>
      <c r="GD134">
        <v>1</v>
      </c>
      <c r="GF134">
        <v>511527928</v>
      </c>
      <c r="GG134">
        <v>2</v>
      </c>
      <c r="GH134">
        <v>3</v>
      </c>
      <c r="GI134">
        <v>4</v>
      </c>
      <c r="GJ134">
        <v>0</v>
      </c>
      <c r="GK134">
        <v>0</v>
      </c>
      <c r="GL134">
        <f t="shared" si="143"/>
        <v>0</v>
      </c>
      <c r="GM134">
        <f t="shared" si="144"/>
        <v>19060</v>
      </c>
      <c r="GN134">
        <f t="shared" si="145"/>
        <v>0</v>
      </c>
      <c r="GO134">
        <f t="shared" si="146"/>
        <v>0</v>
      </c>
      <c r="GP134">
        <f t="shared" si="147"/>
        <v>19060</v>
      </c>
      <c r="GR134">
        <v>1</v>
      </c>
      <c r="GS134">
        <v>1</v>
      </c>
      <c r="GT134">
        <v>0</v>
      </c>
      <c r="GU134" t="s">
        <v>3</v>
      </c>
      <c r="GV134">
        <f t="shared" si="148"/>
        <v>0</v>
      </c>
      <c r="GW134">
        <v>1</v>
      </c>
      <c r="GX134">
        <f t="shared" si="149"/>
        <v>0</v>
      </c>
      <c r="HA134">
        <v>0</v>
      </c>
      <c r="HB134">
        <v>0</v>
      </c>
      <c r="HC134">
        <f t="shared" si="150"/>
        <v>0</v>
      </c>
      <c r="HE134" t="s">
        <v>56</v>
      </c>
      <c r="HF134" t="s">
        <v>26</v>
      </c>
      <c r="HM134" t="s">
        <v>3</v>
      </c>
      <c r="HN134" t="s">
        <v>3</v>
      </c>
      <c r="HO134" t="s">
        <v>3</v>
      </c>
      <c r="HP134" t="s">
        <v>3</v>
      </c>
      <c r="HQ134" t="s">
        <v>3</v>
      </c>
      <c r="IK134">
        <v>0</v>
      </c>
    </row>
    <row r="135" spans="1:245" x14ac:dyDescent="0.2">
      <c r="A135">
        <v>18</v>
      </c>
      <c r="B135">
        <v>1</v>
      </c>
      <c r="C135">
        <v>114</v>
      </c>
      <c r="E135" t="s">
        <v>208</v>
      </c>
      <c r="F135" t="s">
        <v>196</v>
      </c>
      <c r="G135" t="s">
        <v>197</v>
      </c>
      <c r="H135" t="s">
        <v>184</v>
      </c>
      <c r="I135">
        <f>I130*J135</f>
        <v>0.311</v>
      </c>
      <c r="J135">
        <v>1.1961538461538461</v>
      </c>
      <c r="K135">
        <v>1.1961539999999999</v>
      </c>
      <c r="O135">
        <f t="shared" si="116"/>
        <v>3507</v>
      </c>
      <c r="P135">
        <f t="shared" si="117"/>
        <v>3507</v>
      </c>
      <c r="Q135">
        <f t="shared" si="118"/>
        <v>0</v>
      </c>
      <c r="R135">
        <f t="shared" si="119"/>
        <v>0</v>
      </c>
      <c r="S135">
        <f t="shared" si="120"/>
        <v>0</v>
      </c>
      <c r="T135">
        <f t="shared" si="121"/>
        <v>0</v>
      </c>
      <c r="U135">
        <f t="shared" si="122"/>
        <v>0</v>
      </c>
      <c r="V135">
        <f t="shared" si="123"/>
        <v>0</v>
      </c>
      <c r="W135">
        <f t="shared" si="124"/>
        <v>0</v>
      </c>
      <c r="X135">
        <f t="shared" si="125"/>
        <v>0</v>
      </c>
      <c r="Y135">
        <f t="shared" si="126"/>
        <v>0</v>
      </c>
      <c r="AA135">
        <v>46416371</v>
      </c>
      <c r="AB135">
        <f t="shared" si="127"/>
        <v>1360.33</v>
      </c>
      <c r="AC135">
        <f t="shared" si="128"/>
        <v>1360.33</v>
      </c>
      <c r="AD135">
        <f>ROUND((((ET135)-(EU135))+AE135),6)</f>
        <v>0</v>
      </c>
      <c r="AE135">
        <f t="shared" si="151"/>
        <v>0</v>
      </c>
      <c r="AF135">
        <f t="shared" si="151"/>
        <v>0</v>
      </c>
      <c r="AG135">
        <f t="shared" si="129"/>
        <v>0</v>
      </c>
      <c r="AH135">
        <f t="shared" si="152"/>
        <v>0</v>
      </c>
      <c r="AI135">
        <f t="shared" si="152"/>
        <v>0</v>
      </c>
      <c r="AJ135">
        <f t="shared" si="130"/>
        <v>0</v>
      </c>
      <c r="AK135">
        <v>1360.33</v>
      </c>
      <c r="AL135">
        <v>1360.33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1</v>
      </c>
      <c r="AW135">
        <v>1</v>
      </c>
      <c r="AZ135">
        <v>1</v>
      </c>
      <c r="BA135">
        <v>1</v>
      </c>
      <c r="BB135">
        <v>1</v>
      </c>
      <c r="BC135">
        <v>8.2899999999999991</v>
      </c>
      <c r="BD135" t="s">
        <v>3</v>
      </c>
      <c r="BE135" t="s">
        <v>3</v>
      </c>
      <c r="BF135" t="s">
        <v>3</v>
      </c>
      <c r="BG135" t="s">
        <v>3</v>
      </c>
      <c r="BH135">
        <v>3</v>
      </c>
      <c r="BI135">
        <v>1</v>
      </c>
      <c r="BJ135" t="s">
        <v>198</v>
      </c>
      <c r="BM135">
        <v>500001</v>
      </c>
      <c r="BN135">
        <v>0</v>
      </c>
      <c r="BO135" t="s">
        <v>3</v>
      </c>
      <c r="BP135">
        <v>0</v>
      </c>
      <c r="BQ135">
        <v>8</v>
      </c>
      <c r="BR135">
        <v>0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3</v>
      </c>
      <c r="BZ135">
        <v>0</v>
      </c>
      <c r="CA135">
        <v>0</v>
      </c>
      <c r="CB135" t="s">
        <v>3</v>
      </c>
      <c r="CE135">
        <v>0</v>
      </c>
      <c r="CF135">
        <v>0</v>
      </c>
      <c r="CG135">
        <v>0</v>
      </c>
      <c r="CM135">
        <v>0</v>
      </c>
      <c r="CN135" t="s">
        <v>3</v>
      </c>
      <c r="CO135">
        <v>0</v>
      </c>
      <c r="CP135">
        <f t="shared" si="131"/>
        <v>3507</v>
      </c>
      <c r="CQ135">
        <f t="shared" si="132"/>
        <v>11277.135699999999</v>
      </c>
      <c r="CR135">
        <f t="shared" si="133"/>
        <v>0</v>
      </c>
      <c r="CS135">
        <f t="shared" si="134"/>
        <v>0</v>
      </c>
      <c r="CT135">
        <f t="shared" si="135"/>
        <v>0</v>
      </c>
      <c r="CU135">
        <f t="shared" si="136"/>
        <v>0</v>
      </c>
      <c r="CV135">
        <f t="shared" si="137"/>
        <v>0</v>
      </c>
      <c r="CW135">
        <f t="shared" si="138"/>
        <v>0</v>
      </c>
      <c r="CX135">
        <f t="shared" si="139"/>
        <v>0</v>
      </c>
      <c r="CY135">
        <f t="shared" si="140"/>
        <v>0</v>
      </c>
      <c r="CZ135">
        <f t="shared" si="141"/>
        <v>0</v>
      </c>
      <c r="DC135" t="s">
        <v>3</v>
      </c>
      <c r="DD135" t="s">
        <v>3</v>
      </c>
      <c r="DE135" t="s">
        <v>3</v>
      </c>
      <c r="DF135" t="s">
        <v>3</v>
      </c>
      <c r="DG135" t="s">
        <v>3</v>
      </c>
      <c r="DH135" t="s">
        <v>3</v>
      </c>
      <c r="DI135" t="s">
        <v>3</v>
      </c>
      <c r="DJ135" t="s">
        <v>3</v>
      </c>
      <c r="DK135" t="s">
        <v>3</v>
      </c>
      <c r="DL135" t="s">
        <v>3</v>
      </c>
      <c r="DM135" t="s">
        <v>3</v>
      </c>
      <c r="DN135">
        <v>0</v>
      </c>
      <c r="DO135">
        <v>0</v>
      </c>
      <c r="DP135">
        <v>1</v>
      </c>
      <c r="DQ135">
        <v>1</v>
      </c>
      <c r="DU135">
        <v>1009</v>
      </c>
      <c r="DV135" t="s">
        <v>184</v>
      </c>
      <c r="DW135" t="s">
        <v>184</v>
      </c>
      <c r="DX135">
        <v>1000</v>
      </c>
      <c r="DZ135" t="s">
        <v>3</v>
      </c>
      <c r="EA135" t="s">
        <v>3</v>
      </c>
      <c r="EB135" t="s">
        <v>3</v>
      </c>
      <c r="EC135" t="s">
        <v>3</v>
      </c>
      <c r="EE135">
        <v>42475842</v>
      </c>
      <c r="EF135">
        <v>8</v>
      </c>
      <c r="EG135" t="s">
        <v>141</v>
      </c>
      <c r="EH135">
        <v>0</v>
      </c>
      <c r="EI135" t="s">
        <v>3</v>
      </c>
      <c r="EJ135">
        <v>1</v>
      </c>
      <c r="EK135">
        <v>500001</v>
      </c>
      <c r="EL135" t="s">
        <v>142</v>
      </c>
      <c r="EM135" t="s">
        <v>143</v>
      </c>
      <c r="EO135" t="s">
        <v>3</v>
      </c>
      <c r="EQ135">
        <v>0</v>
      </c>
      <c r="ER135">
        <v>1360.33</v>
      </c>
      <c r="ES135">
        <v>1360.33</v>
      </c>
      <c r="ET135">
        <v>0</v>
      </c>
      <c r="EU135">
        <v>0</v>
      </c>
      <c r="EV135">
        <v>0</v>
      </c>
      <c r="EW135">
        <v>0</v>
      </c>
      <c r="EX135">
        <v>0</v>
      </c>
      <c r="FQ135">
        <v>0</v>
      </c>
      <c r="FR135">
        <f t="shared" si="142"/>
        <v>0</v>
      </c>
      <c r="FS135">
        <v>0</v>
      </c>
      <c r="FX135">
        <v>0</v>
      </c>
      <c r="FY135">
        <v>0</v>
      </c>
      <c r="GA135" t="s">
        <v>3</v>
      </c>
      <c r="GD135">
        <v>1</v>
      </c>
      <c r="GF135">
        <v>-922995156</v>
      </c>
      <c r="GG135">
        <v>2</v>
      </c>
      <c r="GH135">
        <v>1</v>
      </c>
      <c r="GI135">
        <v>4</v>
      </c>
      <c r="GJ135">
        <v>0</v>
      </c>
      <c r="GK135">
        <v>0</v>
      </c>
      <c r="GL135">
        <f t="shared" si="143"/>
        <v>0</v>
      </c>
      <c r="GM135">
        <f t="shared" si="144"/>
        <v>3507</v>
      </c>
      <c r="GN135">
        <f t="shared" si="145"/>
        <v>3507</v>
      </c>
      <c r="GO135">
        <f t="shared" si="146"/>
        <v>0</v>
      </c>
      <c r="GP135">
        <f t="shared" si="147"/>
        <v>0</v>
      </c>
      <c r="GR135">
        <v>0</v>
      </c>
      <c r="GS135">
        <v>3</v>
      </c>
      <c r="GT135">
        <v>0</v>
      </c>
      <c r="GU135" t="s">
        <v>3</v>
      </c>
      <c r="GV135">
        <f t="shared" si="148"/>
        <v>0</v>
      </c>
      <c r="GW135">
        <v>1</v>
      </c>
      <c r="GX135">
        <f t="shared" si="149"/>
        <v>0</v>
      </c>
      <c r="HA135">
        <v>0</v>
      </c>
      <c r="HB135">
        <v>0</v>
      </c>
      <c r="HC135">
        <f t="shared" si="150"/>
        <v>0</v>
      </c>
      <c r="HE135" t="s">
        <v>3</v>
      </c>
      <c r="HF135" t="s">
        <v>3</v>
      </c>
      <c r="HM135" t="s">
        <v>3</v>
      </c>
      <c r="HN135" t="s">
        <v>3</v>
      </c>
      <c r="HO135" t="s">
        <v>3</v>
      </c>
      <c r="HP135" t="s">
        <v>3</v>
      </c>
      <c r="HQ135" t="s">
        <v>3</v>
      </c>
      <c r="IK135">
        <v>0</v>
      </c>
    </row>
    <row r="137" spans="1:245" x14ac:dyDescent="0.2">
      <c r="A137" s="2">
        <v>51</v>
      </c>
      <c r="B137" s="2">
        <f>B119</f>
        <v>1</v>
      </c>
      <c r="C137" s="2">
        <f>A119</f>
        <v>5</v>
      </c>
      <c r="D137" s="2">
        <f>ROW(A119)</f>
        <v>119</v>
      </c>
      <c r="E137" s="2"/>
      <c r="F137" s="2" t="str">
        <f>IF(F119&lt;&gt;"",F119,"")</f>
        <v>Новый подраздел</v>
      </c>
      <c r="G137" s="2" t="str">
        <f>IF(G119&lt;&gt;"",G119,"")</f>
        <v>Участок ТИП2</v>
      </c>
      <c r="H137" s="2">
        <v>0</v>
      </c>
      <c r="I137" s="2"/>
      <c r="J137" s="2"/>
      <c r="K137" s="2"/>
      <c r="L137" s="2"/>
      <c r="M137" s="2"/>
      <c r="N137" s="2"/>
      <c r="O137" s="2">
        <f t="shared" ref="O137:T137" si="153">ROUND(AB137,0)</f>
        <v>501338</v>
      </c>
      <c r="P137" s="2">
        <f t="shared" si="153"/>
        <v>330243</v>
      </c>
      <c r="Q137" s="2">
        <f t="shared" si="153"/>
        <v>25252</v>
      </c>
      <c r="R137" s="2">
        <f t="shared" si="153"/>
        <v>5841</v>
      </c>
      <c r="S137" s="2">
        <f t="shared" si="153"/>
        <v>145843</v>
      </c>
      <c r="T137" s="2">
        <f t="shared" si="153"/>
        <v>0</v>
      </c>
      <c r="U137" s="2">
        <f>AH137</f>
        <v>525.33938899999998</v>
      </c>
      <c r="V137" s="2">
        <f>AI137</f>
        <v>15.633962499999997</v>
      </c>
      <c r="W137" s="2">
        <f>ROUND(AJ137,0)</f>
        <v>0</v>
      </c>
      <c r="X137" s="2">
        <f>ROUND(AK137,0)</f>
        <v>177411</v>
      </c>
      <c r="Y137" s="2">
        <f>ROUND(AL137,0)</f>
        <v>111552</v>
      </c>
      <c r="Z137" s="2"/>
      <c r="AA137" s="2"/>
      <c r="AB137" s="2">
        <f>ROUND(SUMIF(AA123:AA135,"=46416371",O123:O135),0)</f>
        <v>501338</v>
      </c>
      <c r="AC137" s="2">
        <f>ROUND(SUMIF(AA123:AA135,"=46416371",P123:P135),0)</f>
        <v>330243</v>
      </c>
      <c r="AD137" s="2">
        <f>ROUND(SUMIF(AA123:AA135,"=46416371",Q123:Q135),0)</f>
        <v>25252</v>
      </c>
      <c r="AE137" s="2">
        <f>ROUND(SUMIF(AA123:AA135,"=46416371",R123:R135),0)</f>
        <v>5841</v>
      </c>
      <c r="AF137" s="2">
        <f>ROUND(SUMIF(AA123:AA135,"=46416371",S123:S135),0)</f>
        <v>145843</v>
      </c>
      <c r="AG137" s="2">
        <f>ROUND(SUMIF(AA123:AA135,"=46416371",T123:T135),0)</f>
        <v>0</v>
      </c>
      <c r="AH137" s="2">
        <f>SUMIF(AA123:AA135,"=46416371",U123:U135)</f>
        <v>525.33938899999998</v>
      </c>
      <c r="AI137" s="2">
        <f>SUMIF(AA123:AA135,"=46416371",V123:V135)</f>
        <v>15.633962499999997</v>
      </c>
      <c r="AJ137" s="2">
        <f>ROUND(SUMIF(AA123:AA135,"=46416371",W123:W135),0)</f>
        <v>0</v>
      </c>
      <c r="AK137" s="2">
        <f>ROUND(SUMIF(AA123:AA135,"=46416371",X123:X135),0)</f>
        <v>177411</v>
      </c>
      <c r="AL137" s="2">
        <f>ROUND(SUMIF(AA123:AA135,"=46416371",Y123:Y135),0)</f>
        <v>111552</v>
      </c>
      <c r="AM137" s="2"/>
      <c r="AN137" s="2"/>
      <c r="AO137" s="2">
        <f t="shared" ref="AO137:BD137" si="154">ROUND(BX137,0)</f>
        <v>0</v>
      </c>
      <c r="AP137" s="2">
        <f t="shared" si="154"/>
        <v>0</v>
      </c>
      <c r="AQ137" s="2">
        <f t="shared" si="154"/>
        <v>0</v>
      </c>
      <c r="AR137" s="2">
        <f t="shared" si="154"/>
        <v>790301</v>
      </c>
      <c r="AS137" s="2">
        <f t="shared" si="154"/>
        <v>509930</v>
      </c>
      <c r="AT137" s="2">
        <f t="shared" si="154"/>
        <v>0</v>
      </c>
      <c r="AU137" s="2">
        <f t="shared" si="154"/>
        <v>280371</v>
      </c>
      <c r="AV137" s="2">
        <f t="shared" si="154"/>
        <v>330243</v>
      </c>
      <c r="AW137" s="2">
        <f t="shared" si="154"/>
        <v>330243</v>
      </c>
      <c r="AX137" s="2">
        <f t="shared" si="154"/>
        <v>0</v>
      </c>
      <c r="AY137" s="2">
        <f t="shared" si="154"/>
        <v>330243</v>
      </c>
      <c r="AZ137" s="2">
        <f t="shared" si="154"/>
        <v>0</v>
      </c>
      <c r="BA137" s="2">
        <f t="shared" si="154"/>
        <v>0</v>
      </c>
      <c r="BB137" s="2">
        <f t="shared" si="154"/>
        <v>0</v>
      </c>
      <c r="BC137" s="2">
        <f t="shared" si="154"/>
        <v>0</v>
      </c>
      <c r="BD137" s="2">
        <f t="shared" si="154"/>
        <v>0</v>
      </c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>
        <f>ROUND(SUMIF(AA123:AA135,"=46416371",FQ123:FQ135),0)</f>
        <v>0</v>
      </c>
      <c r="BY137" s="2">
        <f>ROUND(SUMIF(AA123:AA135,"=46416371",FR123:FR135),0)</f>
        <v>0</v>
      </c>
      <c r="BZ137" s="2">
        <f>ROUND(SUMIF(AA123:AA135,"=46416371",GL123:GL135),0)</f>
        <v>0</v>
      </c>
      <c r="CA137" s="2">
        <f>ROUND(SUMIF(AA123:AA135,"=46416371",GM123:GM135),0)</f>
        <v>790301</v>
      </c>
      <c r="CB137" s="2">
        <f>ROUND(SUMIF(AA123:AA135,"=46416371",GN123:GN135),0)</f>
        <v>509930</v>
      </c>
      <c r="CC137" s="2">
        <f>ROUND(SUMIF(AA123:AA135,"=46416371",GO123:GO135),0)</f>
        <v>0</v>
      </c>
      <c r="CD137" s="2">
        <f>ROUND(SUMIF(AA123:AA135,"=46416371",GP123:GP135),0)</f>
        <v>280371</v>
      </c>
      <c r="CE137" s="2">
        <f>AC137-BX137</f>
        <v>330243</v>
      </c>
      <c r="CF137" s="2">
        <f>AC137-BY137</f>
        <v>330243</v>
      </c>
      <c r="CG137" s="2">
        <f>BX137-BZ137</f>
        <v>0</v>
      </c>
      <c r="CH137" s="2">
        <f>AC137-BX137-BY137+BZ137</f>
        <v>330243</v>
      </c>
      <c r="CI137" s="2">
        <f>BY137-BZ137</f>
        <v>0</v>
      </c>
      <c r="CJ137" s="2">
        <f>ROUND(SUMIF(AA123:AA135,"=46416371",GX123:GX135),0)</f>
        <v>0</v>
      </c>
      <c r="CK137" s="2">
        <f>ROUND(SUMIF(AA123:AA135,"=46416371",GY123:GY135),0)</f>
        <v>0</v>
      </c>
      <c r="CL137" s="2">
        <f>ROUND(SUMIF(AA123:AA135,"=46416371",GZ123:GZ135),0)</f>
        <v>0</v>
      </c>
      <c r="CM137" s="2">
        <f>ROUND(SUMIF(AA123:AA135,"=46416371",HD123:HD135),0)</f>
        <v>0</v>
      </c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>
        <v>0</v>
      </c>
    </row>
    <row r="139" spans="1:245" x14ac:dyDescent="0.2">
      <c r="A139" s="4">
        <v>50</v>
      </c>
      <c r="B139" s="4">
        <v>0</v>
      </c>
      <c r="C139" s="4">
        <v>0</v>
      </c>
      <c r="D139" s="4">
        <v>1</v>
      </c>
      <c r="E139" s="4">
        <v>201</v>
      </c>
      <c r="F139" s="4">
        <f>ROUND(Source!O137,O139)</f>
        <v>501338</v>
      </c>
      <c r="G139" s="4" t="s">
        <v>68</v>
      </c>
      <c r="H139" s="4" t="s">
        <v>69</v>
      </c>
      <c r="I139" s="4"/>
      <c r="J139" s="4"/>
      <c r="K139" s="4">
        <v>201</v>
      </c>
      <c r="L139" s="4">
        <v>1</v>
      </c>
      <c r="M139" s="4">
        <v>3</v>
      </c>
      <c r="N139" s="4" t="s">
        <v>3</v>
      </c>
      <c r="O139" s="4">
        <v>0</v>
      </c>
      <c r="P139" s="4"/>
      <c r="Q139" s="4"/>
      <c r="R139" s="4"/>
      <c r="S139" s="4"/>
      <c r="T139" s="4"/>
      <c r="U139" s="4"/>
      <c r="V139" s="4"/>
      <c r="W139" s="4">
        <v>505978</v>
      </c>
      <c r="X139" s="4">
        <v>1</v>
      </c>
      <c r="Y139" s="4">
        <v>505978</v>
      </c>
      <c r="Z139" s="4"/>
      <c r="AA139" s="4"/>
      <c r="AB139" s="4"/>
    </row>
    <row r="140" spans="1:245" x14ac:dyDescent="0.2">
      <c r="A140" s="4">
        <v>50</v>
      </c>
      <c r="B140" s="4">
        <v>0</v>
      </c>
      <c r="C140" s="4">
        <v>0</v>
      </c>
      <c r="D140" s="4">
        <v>1</v>
      </c>
      <c r="E140" s="4">
        <v>202</v>
      </c>
      <c r="F140" s="4">
        <f>ROUND(Source!P137,O140)</f>
        <v>330243</v>
      </c>
      <c r="G140" s="4" t="s">
        <v>70</v>
      </c>
      <c r="H140" s="4" t="s">
        <v>71</v>
      </c>
      <c r="I140" s="4"/>
      <c r="J140" s="4"/>
      <c r="K140" s="4">
        <v>202</v>
      </c>
      <c r="L140" s="4">
        <v>2</v>
      </c>
      <c r="M140" s="4">
        <v>3</v>
      </c>
      <c r="N140" s="4" t="s">
        <v>3</v>
      </c>
      <c r="O140" s="4">
        <v>0</v>
      </c>
      <c r="P140" s="4"/>
      <c r="Q140" s="4"/>
      <c r="R140" s="4"/>
      <c r="S140" s="4"/>
      <c r="T140" s="4"/>
      <c r="U140" s="4"/>
      <c r="V140" s="4"/>
      <c r="W140" s="4">
        <v>330243</v>
      </c>
      <c r="X140" s="4">
        <v>1</v>
      </c>
      <c r="Y140" s="4">
        <v>330243</v>
      </c>
      <c r="Z140" s="4"/>
      <c r="AA140" s="4"/>
      <c r="AB140" s="4"/>
    </row>
    <row r="141" spans="1:245" x14ac:dyDescent="0.2">
      <c r="A141" s="4">
        <v>50</v>
      </c>
      <c r="B141" s="4">
        <v>0</v>
      </c>
      <c r="C141" s="4">
        <v>0</v>
      </c>
      <c r="D141" s="4">
        <v>1</v>
      </c>
      <c r="E141" s="4">
        <v>222</v>
      </c>
      <c r="F141" s="4">
        <f>ROUND(Source!AO137,O141)</f>
        <v>0</v>
      </c>
      <c r="G141" s="4" t="s">
        <v>72</v>
      </c>
      <c r="H141" s="4" t="s">
        <v>73</v>
      </c>
      <c r="I141" s="4"/>
      <c r="J141" s="4"/>
      <c r="K141" s="4">
        <v>222</v>
      </c>
      <c r="L141" s="4">
        <v>3</v>
      </c>
      <c r="M141" s="4">
        <v>3</v>
      </c>
      <c r="N141" s="4" t="s">
        <v>3</v>
      </c>
      <c r="O141" s="4">
        <v>0</v>
      </c>
      <c r="P141" s="4"/>
      <c r="Q141" s="4"/>
      <c r="R141" s="4"/>
      <c r="S141" s="4"/>
      <c r="T141" s="4"/>
      <c r="U141" s="4"/>
      <c r="V141" s="4"/>
      <c r="W141" s="4">
        <v>0</v>
      </c>
      <c r="X141" s="4">
        <v>1</v>
      </c>
      <c r="Y141" s="4">
        <v>0</v>
      </c>
      <c r="Z141" s="4"/>
      <c r="AA141" s="4"/>
      <c r="AB141" s="4"/>
    </row>
    <row r="142" spans="1:245" x14ac:dyDescent="0.2">
      <c r="A142" s="4">
        <v>50</v>
      </c>
      <c r="B142" s="4">
        <v>0</v>
      </c>
      <c r="C142" s="4">
        <v>0</v>
      </c>
      <c r="D142" s="4">
        <v>1</v>
      </c>
      <c r="E142" s="4">
        <v>225</v>
      </c>
      <c r="F142" s="4">
        <f>ROUND(Source!AV137,O142)</f>
        <v>330243</v>
      </c>
      <c r="G142" s="4" t="s">
        <v>74</v>
      </c>
      <c r="H142" s="4" t="s">
        <v>75</v>
      </c>
      <c r="I142" s="4"/>
      <c r="J142" s="4"/>
      <c r="K142" s="4">
        <v>225</v>
      </c>
      <c r="L142" s="4">
        <v>4</v>
      </c>
      <c r="M142" s="4">
        <v>3</v>
      </c>
      <c r="N142" s="4" t="s">
        <v>3</v>
      </c>
      <c r="O142" s="4">
        <v>0</v>
      </c>
      <c r="P142" s="4"/>
      <c r="Q142" s="4"/>
      <c r="R142" s="4"/>
      <c r="S142" s="4"/>
      <c r="T142" s="4"/>
      <c r="U142" s="4"/>
      <c r="V142" s="4"/>
      <c r="W142" s="4">
        <v>330243</v>
      </c>
      <c r="X142" s="4">
        <v>1</v>
      </c>
      <c r="Y142" s="4">
        <v>330243</v>
      </c>
      <c r="Z142" s="4"/>
      <c r="AA142" s="4"/>
      <c r="AB142" s="4"/>
    </row>
    <row r="143" spans="1:245" x14ac:dyDescent="0.2">
      <c r="A143" s="4">
        <v>50</v>
      </c>
      <c r="B143" s="4">
        <v>0</v>
      </c>
      <c r="C143" s="4">
        <v>0</v>
      </c>
      <c r="D143" s="4">
        <v>1</v>
      </c>
      <c r="E143" s="4">
        <v>226</v>
      </c>
      <c r="F143" s="4">
        <f>ROUND(Source!AW137,O143)</f>
        <v>330243</v>
      </c>
      <c r="G143" s="4" t="s">
        <v>76</v>
      </c>
      <c r="H143" s="4" t="s">
        <v>77</v>
      </c>
      <c r="I143" s="4"/>
      <c r="J143" s="4"/>
      <c r="K143" s="4">
        <v>226</v>
      </c>
      <c r="L143" s="4">
        <v>5</v>
      </c>
      <c r="M143" s="4">
        <v>3</v>
      </c>
      <c r="N143" s="4" t="s">
        <v>3</v>
      </c>
      <c r="O143" s="4">
        <v>0</v>
      </c>
      <c r="P143" s="4"/>
      <c r="Q143" s="4"/>
      <c r="R143" s="4"/>
      <c r="S143" s="4"/>
      <c r="T143" s="4"/>
      <c r="U143" s="4"/>
      <c r="V143" s="4"/>
      <c r="W143" s="4">
        <v>330243</v>
      </c>
      <c r="X143" s="4">
        <v>1</v>
      </c>
      <c r="Y143" s="4">
        <v>330243</v>
      </c>
      <c r="Z143" s="4"/>
      <c r="AA143" s="4"/>
      <c r="AB143" s="4"/>
    </row>
    <row r="144" spans="1:245" x14ac:dyDescent="0.2">
      <c r="A144" s="4">
        <v>50</v>
      </c>
      <c r="B144" s="4">
        <v>0</v>
      </c>
      <c r="C144" s="4">
        <v>0</v>
      </c>
      <c r="D144" s="4">
        <v>1</v>
      </c>
      <c r="E144" s="4">
        <v>227</v>
      </c>
      <c r="F144" s="4">
        <f>ROUND(Source!AX137,O144)</f>
        <v>0</v>
      </c>
      <c r="G144" s="4" t="s">
        <v>78</v>
      </c>
      <c r="H144" s="4" t="s">
        <v>79</v>
      </c>
      <c r="I144" s="4"/>
      <c r="J144" s="4"/>
      <c r="K144" s="4">
        <v>227</v>
      </c>
      <c r="L144" s="4">
        <v>6</v>
      </c>
      <c r="M144" s="4">
        <v>3</v>
      </c>
      <c r="N144" s="4" t="s">
        <v>3</v>
      </c>
      <c r="O144" s="4">
        <v>0</v>
      </c>
      <c r="P144" s="4"/>
      <c r="Q144" s="4"/>
      <c r="R144" s="4"/>
      <c r="S144" s="4"/>
      <c r="T144" s="4"/>
      <c r="U144" s="4"/>
      <c r="V144" s="4"/>
      <c r="W144" s="4">
        <v>0</v>
      </c>
      <c r="X144" s="4">
        <v>1</v>
      </c>
      <c r="Y144" s="4">
        <v>0</v>
      </c>
      <c r="Z144" s="4"/>
      <c r="AA144" s="4"/>
      <c r="AB144" s="4"/>
    </row>
    <row r="145" spans="1:28" x14ac:dyDescent="0.2">
      <c r="A145" s="4">
        <v>50</v>
      </c>
      <c r="B145" s="4">
        <v>0</v>
      </c>
      <c r="C145" s="4">
        <v>0</v>
      </c>
      <c r="D145" s="4">
        <v>1</v>
      </c>
      <c r="E145" s="4">
        <v>228</v>
      </c>
      <c r="F145" s="4">
        <f>ROUND(Source!AY137,O145)</f>
        <v>330243</v>
      </c>
      <c r="G145" s="4" t="s">
        <v>80</v>
      </c>
      <c r="H145" s="4" t="s">
        <v>81</v>
      </c>
      <c r="I145" s="4"/>
      <c r="J145" s="4"/>
      <c r="K145" s="4">
        <v>228</v>
      </c>
      <c r="L145" s="4">
        <v>7</v>
      </c>
      <c r="M145" s="4">
        <v>3</v>
      </c>
      <c r="N145" s="4" t="s">
        <v>3</v>
      </c>
      <c r="O145" s="4">
        <v>0</v>
      </c>
      <c r="P145" s="4"/>
      <c r="Q145" s="4"/>
      <c r="R145" s="4"/>
      <c r="S145" s="4"/>
      <c r="T145" s="4"/>
      <c r="U145" s="4"/>
      <c r="V145" s="4"/>
      <c r="W145" s="4">
        <v>330243</v>
      </c>
      <c r="X145" s="4">
        <v>1</v>
      </c>
      <c r="Y145" s="4">
        <v>330243</v>
      </c>
      <c r="Z145" s="4"/>
      <c r="AA145" s="4"/>
      <c r="AB145" s="4"/>
    </row>
    <row r="146" spans="1:28" x14ac:dyDescent="0.2">
      <c r="A146" s="4">
        <v>50</v>
      </c>
      <c r="B146" s="4">
        <v>0</v>
      </c>
      <c r="C146" s="4">
        <v>0</v>
      </c>
      <c r="D146" s="4">
        <v>1</v>
      </c>
      <c r="E146" s="4">
        <v>216</v>
      </c>
      <c r="F146" s="4">
        <f>ROUND(Source!AP137,O146)</f>
        <v>0</v>
      </c>
      <c r="G146" s="4" t="s">
        <v>82</v>
      </c>
      <c r="H146" s="4" t="s">
        <v>83</v>
      </c>
      <c r="I146" s="4"/>
      <c r="J146" s="4"/>
      <c r="K146" s="4">
        <v>216</v>
      </c>
      <c r="L146" s="4">
        <v>8</v>
      </c>
      <c r="M146" s="4">
        <v>3</v>
      </c>
      <c r="N146" s="4" t="s">
        <v>3</v>
      </c>
      <c r="O146" s="4">
        <v>0</v>
      </c>
      <c r="P146" s="4"/>
      <c r="Q146" s="4"/>
      <c r="R146" s="4"/>
      <c r="S146" s="4"/>
      <c r="T146" s="4"/>
      <c r="U146" s="4"/>
      <c r="V146" s="4"/>
      <c r="W146" s="4">
        <v>0</v>
      </c>
      <c r="X146" s="4">
        <v>1</v>
      </c>
      <c r="Y146" s="4">
        <v>0</v>
      </c>
      <c r="Z146" s="4"/>
      <c r="AA146" s="4"/>
      <c r="AB146" s="4"/>
    </row>
    <row r="147" spans="1:28" x14ac:dyDescent="0.2">
      <c r="A147" s="4">
        <v>50</v>
      </c>
      <c r="B147" s="4">
        <v>0</v>
      </c>
      <c r="C147" s="4">
        <v>0</v>
      </c>
      <c r="D147" s="4">
        <v>1</v>
      </c>
      <c r="E147" s="4">
        <v>223</v>
      </c>
      <c r="F147" s="4">
        <f>ROUND(Source!AQ137,O147)</f>
        <v>0</v>
      </c>
      <c r="G147" s="4" t="s">
        <v>84</v>
      </c>
      <c r="H147" s="4" t="s">
        <v>85</v>
      </c>
      <c r="I147" s="4"/>
      <c r="J147" s="4"/>
      <c r="K147" s="4">
        <v>223</v>
      </c>
      <c r="L147" s="4">
        <v>9</v>
      </c>
      <c r="M147" s="4">
        <v>3</v>
      </c>
      <c r="N147" s="4" t="s">
        <v>3</v>
      </c>
      <c r="O147" s="4">
        <v>0</v>
      </c>
      <c r="P147" s="4"/>
      <c r="Q147" s="4"/>
      <c r="R147" s="4"/>
      <c r="S147" s="4"/>
      <c r="T147" s="4"/>
      <c r="U147" s="4"/>
      <c r="V147" s="4"/>
      <c r="W147" s="4">
        <v>0</v>
      </c>
      <c r="X147" s="4">
        <v>1</v>
      </c>
      <c r="Y147" s="4">
        <v>0</v>
      </c>
      <c r="Z147" s="4"/>
      <c r="AA147" s="4"/>
      <c r="AB147" s="4"/>
    </row>
    <row r="148" spans="1:28" x14ac:dyDescent="0.2">
      <c r="A148" s="4">
        <v>50</v>
      </c>
      <c r="B148" s="4">
        <v>0</v>
      </c>
      <c r="C148" s="4">
        <v>0</v>
      </c>
      <c r="D148" s="4">
        <v>1</v>
      </c>
      <c r="E148" s="4">
        <v>229</v>
      </c>
      <c r="F148" s="4">
        <f>ROUND(Source!AZ137,O148)</f>
        <v>0</v>
      </c>
      <c r="G148" s="4" t="s">
        <v>86</v>
      </c>
      <c r="H148" s="4" t="s">
        <v>87</v>
      </c>
      <c r="I148" s="4"/>
      <c r="J148" s="4"/>
      <c r="K148" s="4">
        <v>229</v>
      </c>
      <c r="L148" s="4">
        <v>10</v>
      </c>
      <c r="M148" s="4">
        <v>3</v>
      </c>
      <c r="N148" s="4" t="s">
        <v>3</v>
      </c>
      <c r="O148" s="4">
        <v>0</v>
      </c>
      <c r="P148" s="4"/>
      <c r="Q148" s="4"/>
      <c r="R148" s="4"/>
      <c r="S148" s="4"/>
      <c r="T148" s="4"/>
      <c r="U148" s="4"/>
      <c r="V148" s="4"/>
      <c r="W148" s="4">
        <v>0</v>
      </c>
      <c r="X148" s="4">
        <v>1</v>
      </c>
      <c r="Y148" s="4">
        <v>0</v>
      </c>
      <c r="Z148" s="4"/>
      <c r="AA148" s="4"/>
      <c r="AB148" s="4"/>
    </row>
    <row r="149" spans="1:28" x14ac:dyDescent="0.2">
      <c r="A149" s="4">
        <v>50</v>
      </c>
      <c r="B149" s="4">
        <v>0</v>
      </c>
      <c r="C149" s="4">
        <v>0</v>
      </c>
      <c r="D149" s="4">
        <v>1</v>
      </c>
      <c r="E149" s="4">
        <v>203</v>
      </c>
      <c r="F149" s="4">
        <f>ROUND(Source!Q137,O149)</f>
        <v>25252</v>
      </c>
      <c r="G149" s="4" t="s">
        <v>88</v>
      </c>
      <c r="H149" s="4" t="s">
        <v>89</v>
      </c>
      <c r="I149" s="4"/>
      <c r="J149" s="4"/>
      <c r="K149" s="4">
        <v>203</v>
      </c>
      <c r="L149" s="4">
        <v>11</v>
      </c>
      <c r="M149" s="4">
        <v>3</v>
      </c>
      <c r="N149" s="4" t="s">
        <v>3</v>
      </c>
      <c r="O149" s="4">
        <v>0</v>
      </c>
      <c r="P149" s="4"/>
      <c r="Q149" s="4"/>
      <c r="R149" s="4"/>
      <c r="S149" s="4"/>
      <c r="T149" s="4"/>
      <c r="U149" s="4"/>
      <c r="V149" s="4"/>
      <c r="W149" s="4">
        <v>27471</v>
      </c>
      <c r="X149" s="4">
        <v>1</v>
      </c>
      <c r="Y149" s="4">
        <v>27471</v>
      </c>
      <c r="Z149" s="4"/>
      <c r="AA149" s="4"/>
      <c r="AB149" s="4"/>
    </row>
    <row r="150" spans="1:28" x14ac:dyDescent="0.2">
      <c r="A150" s="4">
        <v>50</v>
      </c>
      <c r="B150" s="4">
        <v>0</v>
      </c>
      <c r="C150" s="4">
        <v>0</v>
      </c>
      <c r="D150" s="4">
        <v>1</v>
      </c>
      <c r="E150" s="4">
        <v>231</v>
      </c>
      <c r="F150" s="4">
        <f>ROUND(Source!BB137,O150)</f>
        <v>0</v>
      </c>
      <c r="G150" s="4" t="s">
        <v>90</v>
      </c>
      <c r="H150" s="4" t="s">
        <v>91</v>
      </c>
      <c r="I150" s="4"/>
      <c r="J150" s="4"/>
      <c r="K150" s="4">
        <v>231</v>
      </c>
      <c r="L150" s="4">
        <v>12</v>
      </c>
      <c r="M150" s="4">
        <v>3</v>
      </c>
      <c r="N150" s="4" t="s">
        <v>3</v>
      </c>
      <c r="O150" s="4">
        <v>0</v>
      </c>
      <c r="P150" s="4"/>
      <c r="Q150" s="4"/>
      <c r="R150" s="4"/>
      <c r="S150" s="4"/>
      <c r="T150" s="4"/>
      <c r="U150" s="4"/>
      <c r="V150" s="4"/>
      <c r="W150" s="4">
        <v>0</v>
      </c>
      <c r="X150" s="4">
        <v>1</v>
      </c>
      <c r="Y150" s="4">
        <v>0</v>
      </c>
      <c r="Z150" s="4"/>
      <c r="AA150" s="4"/>
      <c r="AB150" s="4"/>
    </row>
    <row r="151" spans="1:28" x14ac:dyDescent="0.2">
      <c r="A151" s="4">
        <v>50</v>
      </c>
      <c r="B151" s="4">
        <v>0</v>
      </c>
      <c r="C151" s="4">
        <v>0</v>
      </c>
      <c r="D151" s="4">
        <v>1</v>
      </c>
      <c r="E151" s="4">
        <v>204</v>
      </c>
      <c r="F151" s="4">
        <f>ROUND(Source!R137,O151)</f>
        <v>5841</v>
      </c>
      <c r="G151" s="4" t="s">
        <v>92</v>
      </c>
      <c r="H151" s="4" t="s">
        <v>93</v>
      </c>
      <c r="I151" s="4"/>
      <c r="J151" s="4"/>
      <c r="K151" s="4">
        <v>204</v>
      </c>
      <c r="L151" s="4">
        <v>13</v>
      </c>
      <c r="M151" s="4">
        <v>3</v>
      </c>
      <c r="N151" s="4" t="s">
        <v>3</v>
      </c>
      <c r="O151" s="4">
        <v>0</v>
      </c>
      <c r="P151" s="4"/>
      <c r="Q151" s="4"/>
      <c r="R151" s="4"/>
      <c r="S151" s="4"/>
      <c r="T151" s="4"/>
      <c r="U151" s="4"/>
      <c r="V151" s="4"/>
      <c r="W151" s="4">
        <v>6378</v>
      </c>
      <c r="X151" s="4">
        <v>1</v>
      </c>
      <c r="Y151" s="4">
        <v>6378</v>
      </c>
      <c r="Z151" s="4"/>
      <c r="AA151" s="4"/>
      <c r="AB151" s="4"/>
    </row>
    <row r="152" spans="1:28" x14ac:dyDescent="0.2">
      <c r="A152" s="4">
        <v>50</v>
      </c>
      <c r="B152" s="4">
        <v>0</v>
      </c>
      <c r="C152" s="4">
        <v>0</v>
      </c>
      <c r="D152" s="4">
        <v>1</v>
      </c>
      <c r="E152" s="4">
        <v>205</v>
      </c>
      <c r="F152" s="4">
        <f>ROUND(Source!S137,O152)</f>
        <v>145843</v>
      </c>
      <c r="G152" s="4" t="s">
        <v>94</v>
      </c>
      <c r="H152" s="4" t="s">
        <v>95</v>
      </c>
      <c r="I152" s="4"/>
      <c r="J152" s="4"/>
      <c r="K152" s="4">
        <v>205</v>
      </c>
      <c r="L152" s="4">
        <v>14</v>
      </c>
      <c r="M152" s="4">
        <v>3</v>
      </c>
      <c r="N152" s="4" t="s">
        <v>3</v>
      </c>
      <c r="O152" s="4">
        <v>0</v>
      </c>
      <c r="P152" s="4"/>
      <c r="Q152" s="4"/>
      <c r="R152" s="4"/>
      <c r="S152" s="4"/>
      <c r="T152" s="4"/>
      <c r="U152" s="4"/>
      <c r="V152" s="4"/>
      <c r="W152" s="4">
        <v>148264</v>
      </c>
      <c r="X152" s="4">
        <v>1</v>
      </c>
      <c r="Y152" s="4">
        <v>148264</v>
      </c>
      <c r="Z152" s="4"/>
      <c r="AA152" s="4"/>
      <c r="AB152" s="4"/>
    </row>
    <row r="153" spans="1:28" x14ac:dyDescent="0.2">
      <c r="A153" s="4">
        <v>50</v>
      </c>
      <c r="B153" s="4">
        <v>0</v>
      </c>
      <c r="C153" s="4">
        <v>0</v>
      </c>
      <c r="D153" s="4">
        <v>1</v>
      </c>
      <c r="E153" s="4">
        <v>232</v>
      </c>
      <c r="F153" s="4">
        <f>ROUND(Source!BC137,O153)</f>
        <v>0</v>
      </c>
      <c r="G153" s="4" t="s">
        <v>96</v>
      </c>
      <c r="H153" s="4" t="s">
        <v>97</v>
      </c>
      <c r="I153" s="4"/>
      <c r="J153" s="4"/>
      <c r="K153" s="4">
        <v>232</v>
      </c>
      <c r="L153" s="4">
        <v>15</v>
      </c>
      <c r="M153" s="4">
        <v>3</v>
      </c>
      <c r="N153" s="4" t="s">
        <v>3</v>
      </c>
      <c r="O153" s="4">
        <v>0</v>
      </c>
      <c r="P153" s="4"/>
      <c r="Q153" s="4"/>
      <c r="R153" s="4"/>
      <c r="S153" s="4"/>
      <c r="T153" s="4"/>
      <c r="U153" s="4"/>
      <c r="V153" s="4"/>
      <c r="W153" s="4">
        <v>0</v>
      </c>
      <c r="X153" s="4">
        <v>1</v>
      </c>
      <c r="Y153" s="4">
        <v>0</v>
      </c>
      <c r="Z153" s="4"/>
      <c r="AA153" s="4"/>
      <c r="AB153" s="4"/>
    </row>
    <row r="154" spans="1:28" x14ac:dyDescent="0.2">
      <c r="A154" s="4">
        <v>50</v>
      </c>
      <c r="B154" s="4">
        <v>0</v>
      </c>
      <c r="C154" s="4">
        <v>0</v>
      </c>
      <c r="D154" s="4">
        <v>1</v>
      </c>
      <c r="E154" s="4">
        <v>214</v>
      </c>
      <c r="F154" s="4">
        <f>ROUND(Source!AS137,O154)</f>
        <v>509930</v>
      </c>
      <c r="G154" s="4" t="s">
        <v>98</v>
      </c>
      <c r="H154" s="4" t="s">
        <v>99</v>
      </c>
      <c r="I154" s="4"/>
      <c r="J154" s="4"/>
      <c r="K154" s="4">
        <v>214</v>
      </c>
      <c r="L154" s="4">
        <v>16</v>
      </c>
      <c r="M154" s="4">
        <v>3</v>
      </c>
      <c r="N154" s="4" t="s">
        <v>3</v>
      </c>
      <c r="O154" s="4">
        <v>0</v>
      </c>
      <c r="P154" s="4"/>
      <c r="Q154" s="4"/>
      <c r="R154" s="4"/>
      <c r="S154" s="4"/>
      <c r="T154" s="4"/>
      <c r="U154" s="4"/>
      <c r="V154" s="4"/>
      <c r="W154" s="4">
        <v>518750</v>
      </c>
      <c r="X154" s="4">
        <v>1</v>
      </c>
      <c r="Y154" s="4">
        <v>518750</v>
      </c>
      <c r="Z154" s="4"/>
      <c r="AA154" s="4"/>
      <c r="AB154" s="4"/>
    </row>
    <row r="155" spans="1:28" x14ac:dyDescent="0.2">
      <c r="A155" s="4">
        <v>50</v>
      </c>
      <c r="B155" s="4">
        <v>0</v>
      </c>
      <c r="C155" s="4">
        <v>0</v>
      </c>
      <c r="D155" s="4">
        <v>1</v>
      </c>
      <c r="E155" s="4">
        <v>215</v>
      </c>
      <c r="F155" s="4">
        <f>ROUND(Source!AT137,O155)</f>
        <v>0</v>
      </c>
      <c r="G155" s="4" t="s">
        <v>100</v>
      </c>
      <c r="H155" s="4" t="s">
        <v>101</v>
      </c>
      <c r="I155" s="4"/>
      <c r="J155" s="4"/>
      <c r="K155" s="4">
        <v>215</v>
      </c>
      <c r="L155" s="4">
        <v>17</v>
      </c>
      <c r="M155" s="4">
        <v>3</v>
      </c>
      <c r="N155" s="4" t="s">
        <v>3</v>
      </c>
      <c r="O155" s="4">
        <v>0</v>
      </c>
      <c r="P155" s="4"/>
      <c r="Q155" s="4"/>
      <c r="R155" s="4"/>
      <c r="S155" s="4"/>
      <c r="T155" s="4"/>
      <c r="U155" s="4"/>
      <c r="V155" s="4"/>
      <c r="W155" s="4">
        <v>0</v>
      </c>
      <c r="X155" s="4">
        <v>1</v>
      </c>
      <c r="Y155" s="4">
        <v>0</v>
      </c>
      <c r="Z155" s="4"/>
      <c r="AA155" s="4"/>
      <c r="AB155" s="4"/>
    </row>
    <row r="156" spans="1:28" x14ac:dyDescent="0.2">
      <c r="A156" s="4">
        <v>50</v>
      </c>
      <c r="B156" s="4">
        <v>0</v>
      </c>
      <c r="C156" s="4">
        <v>0</v>
      </c>
      <c r="D156" s="4">
        <v>1</v>
      </c>
      <c r="E156" s="4">
        <v>217</v>
      </c>
      <c r="F156" s="4">
        <f>ROUND(Source!AU137,O156)</f>
        <v>280371</v>
      </c>
      <c r="G156" s="4" t="s">
        <v>102</v>
      </c>
      <c r="H156" s="4" t="s">
        <v>103</v>
      </c>
      <c r="I156" s="4"/>
      <c r="J156" s="4"/>
      <c r="K156" s="4">
        <v>217</v>
      </c>
      <c r="L156" s="4">
        <v>18</v>
      </c>
      <c r="M156" s="4">
        <v>3</v>
      </c>
      <c r="N156" s="4" t="s">
        <v>3</v>
      </c>
      <c r="O156" s="4">
        <v>0</v>
      </c>
      <c r="P156" s="4"/>
      <c r="Q156" s="4"/>
      <c r="R156" s="4"/>
      <c r="S156" s="4"/>
      <c r="T156" s="4"/>
      <c r="U156" s="4"/>
      <c r="V156" s="4"/>
      <c r="W156" s="4">
        <v>280371</v>
      </c>
      <c r="X156" s="4">
        <v>1</v>
      </c>
      <c r="Y156" s="4">
        <v>280371</v>
      </c>
      <c r="Z156" s="4"/>
      <c r="AA156" s="4"/>
      <c r="AB156" s="4"/>
    </row>
    <row r="157" spans="1:28" x14ac:dyDescent="0.2">
      <c r="A157" s="4">
        <v>50</v>
      </c>
      <c r="B157" s="4">
        <v>0</v>
      </c>
      <c r="C157" s="4">
        <v>0</v>
      </c>
      <c r="D157" s="4">
        <v>1</v>
      </c>
      <c r="E157" s="4">
        <v>230</v>
      </c>
      <c r="F157" s="4">
        <f>ROUND(Source!BA137,O157)</f>
        <v>0</v>
      </c>
      <c r="G157" s="4" t="s">
        <v>104</v>
      </c>
      <c r="H157" s="4" t="s">
        <v>105</v>
      </c>
      <c r="I157" s="4"/>
      <c r="J157" s="4"/>
      <c r="K157" s="4">
        <v>230</v>
      </c>
      <c r="L157" s="4">
        <v>19</v>
      </c>
      <c r="M157" s="4">
        <v>3</v>
      </c>
      <c r="N157" s="4" t="s">
        <v>3</v>
      </c>
      <c r="O157" s="4">
        <v>0</v>
      </c>
      <c r="P157" s="4"/>
      <c r="Q157" s="4"/>
      <c r="R157" s="4"/>
      <c r="S157" s="4"/>
      <c r="T157" s="4"/>
      <c r="U157" s="4"/>
      <c r="V157" s="4"/>
      <c r="W157" s="4">
        <v>0</v>
      </c>
      <c r="X157" s="4">
        <v>1</v>
      </c>
      <c r="Y157" s="4">
        <v>0</v>
      </c>
      <c r="Z157" s="4"/>
      <c r="AA157" s="4"/>
      <c r="AB157" s="4"/>
    </row>
    <row r="158" spans="1:28" x14ac:dyDescent="0.2">
      <c r="A158" s="4">
        <v>50</v>
      </c>
      <c r="B158" s="4">
        <v>0</v>
      </c>
      <c r="C158" s="4">
        <v>0</v>
      </c>
      <c r="D158" s="4">
        <v>1</v>
      </c>
      <c r="E158" s="4">
        <v>206</v>
      </c>
      <c r="F158" s="4">
        <f>ROUND(Source!T137,O158)</f>
        <v>0</v>
      </c>
      <c r="G158" s="4" t="s">
        <v>106</v>
      </c>
      <c r="H158" s="4" t="s">
        <v>107</v>
      </c>
      <c r="I158" s="4"/>
      <c r="J158" s="4"/>
      <c r="K158" s="4">
        <v>206</v>
      </c>
      <c r="L158" s="4">
        <v>20</v>
      </c>
      <c r="M158" s="4">
        <v>3</v>
      </c>
      <c r="N158" s="4" t="s">
        <v>3</v>
      </c>
      <c r="O158" s="4">
        <v>0</v>
      </c>
      <c r="P158" s="4"/>
      <c r="Q158" s="4"/>
      <c r="R158" s="4"/>
      <c r="S158" s="4"/>
      <c r="T158" s="4"/>
      <c r="U158" s="4"/>
      <c r="V158" s="4"/>
      <c r="W158" s="4">
        <v>0</v>
      </c>
      <c r="X158" s="4">
        <v>1</v>
      </c>
      <c r="Y158" s="4">
        <v>0</v>
      </c>
      <c r="Z158" s="4"/>
      <c r="AA158" s="4"/>
      <c r="AB158" s="4"/>
    </row>
    <row r="159" spans="1:28" x14ac:dyDescent="0.2">
      <c r="A159" s="4">
        <v>50</v>
      </c>
      <c r="B159" s="4">
        <v>0</v>
      </c>
      <c r="C159" s="4">
        <v>0</v>
      </c>
      <c r="D159" s="4">
        <v>1</v>
      </c>
      <c r="E159" s="4">
        <v>207</v>
      </c>
      <c r="F159" s="4">
        <f>Source!U137</f>
        <v>525.33938899999998</v>
      </c>
      <c r="G159" s="4" t="s">
        <v>108</v>
      </c>
      <c r="H159" s="4" t="s">
        <v>109</v>
      </c>
      <c r="I159" s="4"/>
      <c r="J159" s="4"/>
      <c r="K159" s="4">
        <v>207</v>
      </c>
      <c r="L159" s="4">
        <v>21</v>
      </c>
      <c r="M159" s="4">
        <v>3</v>
      </c>
      <c r="N159" s="4" t="s">
        <v>3</v>
      </c>
      <c r="O159" s="4">
        <v>-1</v>
      </c>
      <c r="P159" s="4"/>
      <c r="Q159" s="4"/>
      <c r="R159" s="4"/>
      <c r="S159" s="4"/>
      <c r="T159" s="4"/>
      <c r="U159" s="4"/>
      <c r="V159" s="4"/>
      <c r="W159" s="4">
        <v>534.35090400000001</v>
      </c>
      <c r="X159" s="4">
        <v>1</v>
      </c>
      <c r="Y159" s="4">
        <v>534.35090400000001</v>
      </c>
      <c r="Z159" s="4"/>
      <c r="AA159" s="4"/>
      <c r="AB159" s="4"/>
    </row>
    <row r="160" spans="1:28" x14ac:dyDescent="0.2">
      <c r="A160" s="4">
        <v>50</v>
      </c>
      <c r="B160" s="4">
        <v>0</v>
      </c>
      <c r="C160" s="4">
        <v>0</v>
      </c>
      <c r="D160" s="4">
        <v>1</v>
      </c>
      <c r="E160" s="4">
        <v>208</v>
      </c>
      <c r="F160" s="4">
        <f>Source!V137</f>
        <v>15.633962499999997</v>
      </c>
      <c r="G160" s="4" t="s">
        <v>110</v>
      </c>
      <c r="H160" s="4" t="s">
        <v>111</v>
      </c>
      <c r="I160" s="4"/>
      <c r="J160" s="4"/>
      <c r="K160" s="4">
        <v>208</v>
      </c>
      <c r="L160" s="4">
        <v>22</v>
      </c>
      <c r="M160" s="4">
        <v>3</v>
      </c>
      <c r="N160" s="4" t="s">
        <v>3</v>
      </c>
      <c r="O160" s="4">
        <v>-1</v>
      </c>
      <c r="P160" s="4"/>
      <c r="Q160" s="4"/>
      <c r="R160" s="4"/>
      <c r="S160" s="4"/>
      <c r="T160" s="4"/>
      <c r="U160" s="4"/>
      <c r="V160" s="4"/>
      <c r="W160" s="4">
        <v>17.277082499999999</v>
      </c>
      <c r="X160" s="4">
        <v>1</v>
      </c>
      <c r="Y160" s="4">
        <v>17.277082499999999</v>
      </c>
      <c r="Z160" s="4"/>
      <c r="AA160" s="4"/>
      <c r="AB160" s="4"/>
    </row>
    <row r="161" spans="1:245" x14ac:dyDescent="0.2">
      <c r="A161" s="4">
        <v>50</v>
      </c>
      <c r="B161" s="4">
        <v>0</v>
      </c>
      <c r="C161" s="4">
        <v>0</v>
      </c>
      <c r="D161" s="4">
        <v>1</v>
      </c>
      <c r="E161" s="4">
        <v>209</v>
      </c>
      <c r="F161" s="4">
        <f>ROUND(Source!W137,O161)</f>
        <v>0</v>
      </c>
      <c r="G161" s="4" t="s">
        <v>112</v>
      </c>
      <c r="H161" s="4" t="s">
        <v>113</v>
      </c>
      <c r="I161" s="4"/>
      <c r="J161" s="4"/>
      <c r="K161" s="4">
        <v>209</v>
      </c>
      <c r="L161" s="4">
        <v>23</v>
      </c>
      <c r="M161" s="4">
        <v>3</v>
      </c>
      <c r="N161" s="4" t="s">
        <v>3</v>
      </c>
      <c r="O161" s="4">
        <v>0</v>
      </c>
      <c r="P161" s="4"/>
      <c r="Q161" s="4"/>
      <c r="R161" s="4"/>
      <c r="S161" s="4"/>
      <c r="T161" s="4"/>
      <c r="U161" s="4"/>
      <c r="V161" s="4"/>
      <c r="W161" s="4">
        <v>0</v>
      </c>
      <c r="X161" s="4">
        <v>1</v>
      </c>
      <c r="Y161" s="4">
        <v>0</v>
      </c>
      <c r="Z161" s="4"/>
      <c r="AA161" s="4"/>
      <c r="AB161" s="4"/>
    </row>
    <row r="162" spans="1:245" x14ac:dyDescent="0.2">
      <c r="A162" s="4">
        <v>50</v>
      </c>
      <c r="B162" s="4">
        <v>0</v>
      </c>
      <c r="C162" s="4">
        <v>0</v>
      </c>
      <c r="D162" s="4">
        <v>1</v>
      </c>
      <c r="E162" s="4">
        <v>233</v>
      </c>
      <c r="F162" s="4">
        <f>ROUND(Source!BD137,O162)</f>
        <v>0</v>
      </c>
      <c r="G162" s="4" t="s">
        <v>114</v>
      </c>
      <c r="H162" s="4" t="s">
        <v>115</v>
      </c>
      <c r="I162" s="4"/>
      <c r="J162" s="4"/>
      <c r="K162" s="4">
        <v>233</v>
      </c>
      <c r="L162" s="4">
        <v>24</v>
      </c>
      <c r="M162" s="4">
        <v>3</v>
      </c>
      <c r="N162" s="4" t="s">
        <v>3</v>
      </c>
      <c r="O162" s="4">
        <v>0</v>
      </c>
      <c r="P162" s="4"/>
      <c r="Q162" s="4"/>
      <c r="R162" s="4"/>
      <c r="S162" s="4"/>
      <c r="T162" s="4"/>
      <c r="U162" s="4"/>
      <c r="V162" s="4"/>
      <c r="W162" s="4">
        <v>0</v>
      </c>
      <c r="X162" s="4">
        <v>1</v>
      </c>
      <c r="Y162" s="4">
        <v>0</v>
      </c>
      <c r="Z162" s="4"/>
      <c r="AA162" s="4"/>
      <c r="AB162" s="4"/>
    </row>
    <row r="163" spans="1:245" x14ac:dyDescent="0.2">
      <c r="A163" s="4">
        <v>50</v>
      </c>
      <c r="B163" s="4">
        <v>0</v>
      </c>
      <c r="C163" s="4">
        <v>0</v>
      </c>
      <c r="D163" s="4">
        <v>1</v>
      </c>
      <c r="E163" s="4">
        <v>210</v>
      </c>
      <c r="F163" s="4">
        <f>ROUND(Source!X137,O163)</f>
        <v>177411</v>
      </c>
      <c r="G163" s="4" t="s">
        <v>116</v>
      </c>
      <c r="H163" s="4" t="s">
        <v>117</v>
      </c>
      <c r="I163" s="4"/>
      <c r="J163" s="4"/>
      <c r="K163" s="4">
        <v>210</v>
      </c>
      <c r="L163" s="4">
        <v>25</v>
      </c>
      <c r="M163" s="4">
        <v>3</v>
      </c>
      <c r="N163" s="4" t="s">
        <v>3</v>
      </c>
      <c r="O163" s="4">
        <v>0</v>
      </c>
      <c r="P163" s="4"/>
      <c r="Q163" s="4"/>
      <c r="R163" s="4"/>
      <c r="S163" s="4"/>
      <c r="T163" s="4"/>
      <c r="U163" s="4"/>
      <c r="V163" s="4"/>
      <c r="W163" s="4">
        <v>180139</v>
      </c>
      <c r="X163" s="4">
        <v>1</v>
      </c>
      <c r="Y163" s="4">
        <v>180139</v>
      </c>
      <c r="Z163" s="4"/>
      <c r="AA163" s="4"/>
      <c r="AB163" s="4"/>
    </row>
    <row r="164" spans="1:245" x14ac:dyDescent="0.2">
      <c r="A164" s="4">
        <v>50</v>
      </c>
      <c r="B164" s="4">
        <v>0</v>
      </c>
      <c r="C164" s="4">
        <v>0</v>
      </c>
      <c r="D164" s="4">
        <v>1</v>
      </c>
      <c r="E164" s="4">
        <v>211</v>
      </c>
      <c r="F164" s="4">
        <f>ROUND(Source!Y137,O164)</f>
        <v>111552</v>
      </c>
      <c r="G164" s="4" t="s">
        <v>118</v>
      </c>
      <c r="H164" s="4" t="s">
        <v>119</v>
      </c>
      <c r="I164" s="4"/>
      <c r="J164" s="4"/>
      <c r="K164" s="4">
        <v>211</v>
      </c>
      <c r="L164" s="4">
        <v>26</v>
      </c>
      <c r="M164" s="4">
        <v>3</v>
      </c>
      <c r="N164" s="4" t="s">
        <v>3</v>
      </c>
      <c r="O164" s="4">
        <v>0</v>
      </c>
      <c r="P164" s="4"/>
      <c r="Q164" s="4"/>
      <c r="R164" s="4"/>
      <c r="S164" s="4"/>
      <c r="T164" s="4"/>
      <c r="U164" s="4"/>
      <c r="V164" s="4"/>
      <c r="W164" s="4">
        <v>113004</v>
      </c>
      <c r="X164" s="4">
        <v>1</v>
      </c>
      <c r="Y164" s="4">
        <v>113004</v>
      </c>
      <c r="Z164" s="4"/>
      <c r="AA164" s="4"/>
      <c r="AB164" s="4"/>
    </row>
    <row r="165" spans="1:245" x14ac:dyDescent="0.2">
      <c r="A165" s="4">
        <v>50</v>
      </c>
      <c r="B165" s="4">
        <v>0</v>
      </c>
      <c r="C165" s="4">
        <v>0</v>
      </c>
      <c r="D165" s="4">
        <v>1</v>
      </c>
      <c r="E165" s="4">
        <v>224</v>
      </c>
      <c r="F165" s="4">
        <f>ROUND(Source!AR137,O165)</f>
        <v>790301</v>
      </c>
      <c r="G165" s="4" t="s">
        <v>120</v>
      </c>
      <c r="H165" s="4" t="s">
        <v>121</v>
      </c>
      <c r="I165" s="4"/>
      <c r="J165" s="4"/>
      <c r="K165" s="4">
        <v>224</v>
      </c>
      <c r="L165" s="4">
        <v>27</v>
      </c>
      <c r="M165" s="4">
        <v>3</v>
      </c>
      <c r="N165" s="4" t="s">
        <v>3</v>
      </c>
      <c r="O165" s="4">
        <v>0</v>
      </c>
      <c r="P165" s="4"/>
      <c r="Q165" s="4"/>
      <c r="R165" s="4"/>
      <c r="S165" s="4"/>
      <c r="T165" s="4"/>
      <c r="U165" s="4"/>
      <c r="V165" s="4"/>
      <c r="W165" s="4">
        <v>799121</v>
      </c>
      <c r="X165" s="4">
        <v>1</v>
      </c>
      <c r="Y165" s="4">
        <v>799121</v>
      </c>
      <c r="Z165" s="4"/>
      <c r="AA165" s="4"/>
      <c r="AB165" s="4"/>
    </row>
    <row r="167" spans="1:245" x14ac:dyDescent="0.2">
      <c r="A167" s="1">
        <v>5</v>
      </c>
      <c r="B167" s="1">
        <v>1</v>
      </c>
      <c r="C167" s="1"/>
      <c r="D167" s="1">
        <f>ROW(A183)</f>
        <v>183</v>
      </c>
      <c r="E167" s="1"/>
      <c r="F167" s="1" t="s">
        <v>123</v>
      </c>
      <c r="G167" s="1" t="s">
        <v>209</v>
      </c>
      <c r="H167" s="1" t="s">
        <v>3</v>
      </c>
      <c r="I167" s="1">
        <v>0</v>
      </c>
      <c r="J167" s="1"/>
      <c r="K167" s="1">
        <v>0</v>
      </c>
      <c r="L167" s="1"/>
      <c r="M167" s="1" t="s">
        <v>3</v>
      </c>
      <c r="N167" s="1"/>
      <c r="O167" s="1"/>
      <c r="P167" s="1"/>
      <c r="Q167" s="1"/>
      <c r="R167" s="1"/>
      <c r="S167" s="1">
        <v>0</v>
      </c>
      <c r="T167" s="1"/>
      <c r="U167" s="1" t="s">
        <v>3</v>
      </c>
      <c r="V167" s="1">
        <v>0</v>
      </c>
      <c r="W167" s="1"/>
      <c r="X167" s="1"/>
      <c r="Y167" s="1"/>
      <c r="Z167" s="1"/>
      <c r="AA167" s="1"/>
      <c r="AB167" s="1" t="s">
        <v>3</v>
      </c>
      <c r="AC167" s="1" t="s">
        <v>3</v>
      </c>
      <c r="AD167" s="1" t="s">
        <v>3</v>
      </c>
      <c r="AE167" s="1" t="s">
        <v>3</v>
      </c>
      <c r="AF167" s="1" t="s">
        <v>3</v>
      </c>
      <c r="AG167" s="1" t="s">
        <v>3</v>
      </c>
      <c r="AH167" s="1"/>
      <c r="AI167" s="1"/>
      <c r="AJ167" s="1"/>
      <c r="AK167" s="1"/>
      <c r="AL167" s="1"/>
      <c r="AM167" s="1"/>
      <c r="AN167" s="1"/>
      <c r="AO167" s="1"/>
      <c r="AP167" s="1" t="s">
        <v>3</v>
      </c>
      <c r="AQ167" s="1" t="s">
        <v>3</v>
      </c>
      <c r="AR167" s="1" t="s">
        <v>3</v>
      </c>
      <c r="AS167" s="1"/>
      <c r="AT167" s="1"/>
      <c r="AU167" s="1"/>
      <c r="AV167" s="1"/>
      <c r="AW167" s="1"/>
      <c r="AX167" s="1"/>
      <c r="AY167" s="1"/>
      <c r="AZ167" s="1" t="s">
        <v>3</v>
      </c>
      <c r="BA167" s="1"/>
      <c r="BB167" s="1" t="s">
        <v>3</v>
      </c>
      <c r="BC167" s="1" t="s">
        <v>3</v>
      </c>
      <c r="BD167" s="1" t="s">
        <v>3</v>
      </c>
      <c r="BE167" s="1" t="s">
        <v>3</v>
      </c>
      <c r="BF167" s="1" t="s">
        <v>3</v>
      </c>
      <c r="BG167" s="1" t="s">
        <v>3</v>
      </c>
      <c r="BH167" s="1" t="s">
        <v>3</v>
      </c>
      <c r="BI167" s="1" t="s">
        <v>3</v>
      </c>
      <c r="BJ167" s="1" t="s">
        <v>3</v>
      </c>
      <c r="BK167" s="1" t="s">
        <v>3</v>
      </c>
      <c r="BL167" s="1" t="s">
        <v>3</v>
      </c>
      <c r="BM167" s="1" t="s">
        <v>3</v>
      </c>
      <c r="BN167" s="1" t="s">
        <v>3</v>
      </c>
      <c r="BO167" s="1" t="s">
        <v>3</v>
      </c>
      <c r="BP167" s="1" t="s">
        <v>3</v>
      </c>
      <c r="BQ167" s="1"/>
      <c r="BR167" s="1"/>
      <c r="BS167" s="1"/>
      <c r="BT167" s="1"/>
      <c r="BU167" s="1"/>
      <c r="BV167" s="1"/>
      <c r="BW167" s="1"/>
      <c r="BX167" s="1">
        <v>0</v>
      </c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>
        <v>0</v>
      </c>
    </row>
    <row r="169" spans="1:245" x14ac:dyDescent="0.2">
      <c r="A169" s="2">
        <v>52</v>
      </c>
      <c r="B169" s="2">
        <f t="shared" ref="B169:G169" si="155">B183</f>
        <v>1</v>
      </c>
      <c r="C169" s="2">
        <f t="shared" si="155"/>
        <v>5</v>
      </c>
      <c r="D169" s="2">
        <f t="shared" si="155"/>
        <v>167</v>
      </c>
      <c r="E169" s="2">
        <f t="shared" si="155"/>
        <v>0</v>
      </c>
      <c r="F169" s="2" t="str">
        <f t="shared" si="155"/>
        <v>Новый подраздел</v>
      </c>
      <c r="G169" s="2" t="str">
        <f t="shared" si="155"/>
        <v>Отмостка</v>
      </c>
      <c r="H169" s="2"/>
      <c r="I169" s="2"/>
      <c r="J169" s="2"/>
      <c r="K169" s="2"/>
      <c r="L169" s="2"/>
      <c r="M169" s="2"/>
      <c r="N169" s="2"/>
      <c r="O169" s="2">
        <f t="shared" ref="O169:AT169" si="156">O183</f>
        <v>49424</v>
      </c>
      <c r="P169" s="2">
        <f t="shared" si="156"/>
        <v>29516</v>
      </c>
      <c r="Q169" s="2">
        <f t="shared" si="156"/>
        <v>3205</v>
      </c>
      <c r="R169" s="2">
        <f t="shared" si="156"/>
        <v>608</v>
      </c>
      <c r="S169" s="2">
        <f t="shared" si="156"/>
        <v>16703</v>
      </c>
      <c r="T169" s="2">
        <f t="shared" si="156"/>
        <v>0</v>
      </c>
      <c r="U169" s="2">
        <f t="shared" si="156"/>
        <v>60.914165999999994</v>
      </c>
      <c r="V169" s="2">
        <f t="shared" si="156"/>
        <v>1.652895</v>
      </c>
      <c r="W169" s="2">
        <f t="shared" si="156"/>
        <v>0</v>
      </c>
      <c r="X169" s="2">
        <f t="shared" si="156"/>
        <v>18970</v>
      </c>
      <c r="Y169" s="2">
        <f t="shared" si="156"/>
        <v>11763</v>
      </c>
      <c r="Z169" s="2">
        <f t="shared" si="156"/>
        <v>0</v>
      </c>
      <c r="AA169" s="2">
        <f t="shared" si="156"/>
        <v>0</v>
      </c>
      <c r="AB169" s="2">
        <f t="shared" si="156"/>
        <v>49424</v>
      </c>
      <c r="AC169" s="2">
        <f t="shared" si="156"/>
        <v>29516</v>
      </c>
      <c r="AD169" s="2">
        <f t="shared" si="156"/>
        <v>3205</v>
      </c>
      <c r="AE169" s="2">
        <f t="shared" si="156"/>
        <v>608</v>
      </c>
      <c r="AF169" s="2">
        <f t="shared" si="156"/>
        <v>16703</v>
      </c>
      <c r="AG169" s="2">
        <f t="shared" si="156"/>
        <v>0</v>
      </c>
      <c r="AH169" s="2">
        <f t="shared" si="156"/>
        <v>60.914165999999994</v>
      </c>
      <c r="AI169" s="2">
        <f t="shared" si="156"/>
        <v>1.652895</v>
      </c>
      <c r="AJ169" s="2">
        <f t="shared" si="156"/>
        <v>0</v>
      </c>
      <c r="AK169" s="2">
        <f t="shared" si="156"/>
        <v>18970</v>
      </c>
      <c r="AL169" s="2">
        <f t="shared" si="156"/>
        <v>11763</v>
      </c>
      <c r="AM169" s="2">
        <f t="shared" si="156"/>
        <v>0</v>
      </c>
      <c r="AN169" s="2">
        <f t="shared" si="156"/>
        <v>0</v>
      </c>
      <c r="AO169" s="2">
        <f t="shared" si="156"/>
        <v>0</v>
      </c>
      <c r="AP169" s="2">
        <f t="shared" si="156"/>
        <v>0</v>
      </c>
      <c r="AQ169" s="2">
        <f t="shared" si="156"/>
        <v>0</v>
      </c>
      <c r="AR169" s="2">
        <f t="shared" si="156"/>
        <v>80157</v>
      </c>
      <c r="AS169" s="2">
        <f t="shared" si="156"/>
        <v>59881</v>
      </c>
      <c r="AT169" s="2">
        <f t="shared" si="156"/>
        <v>0</v>
      </c>
      <c r="AU169" s="2">
        <f t="shared" ref="AU169:BZ169" si="157">AU183</f>
        <v>20276</v>
      </c>
      <c r="AV169" s="2">
        <f t="shared" si="157"/>
        <v>29516</v>
      </c>
      <c r="AW169" s="2">
        <f t="shared" si="157"/>
        <v>29516</v>
      </c>
      <c r="AX169" s="2">
        <f t="shared" si="157"/>
        <v>0</v>
      </c>
      <c r="AY169" s="2">
        <f t="shared" si="157"/>
        <v>29516</v>
      </c>
      <c r="AZ169" s="2">
        <f t="shared" si="157"/>
        <v>0</v>
      </c>
      <c r="BA169" s="2">
        <f t="shared" si="157"/>
        <v>0</v>
      </c>
      <c r="BB169" s="2">
        <f t="shared" si="157"/>
        <v>0</v>
      </c>
      <c r="BC169" s="2">
        <f t="shared" si="157"/>
        <v>0</v>
      </c>
      <c r="BD169" s="2">
        <f t="shared" si="157"/>
        <v>0</v>
      </c>
      <c r="BE169" s="2">
        <f t="shared" si="157"/>
        <v>0</v>
      </c>
      <c r="BF169" s="2">
        <f t="shared" si="157"/>
        <v>0</v>
      </c>
      <c r="BG169" s="2">
        <f t="shared" si="157"/>
        <v>0</v>
      </c>
      <c r="BH169" s="2">
        <f t="shared" si="157"/>
        <v>0</v>
      </c>
      <c r="BI169" s="2">
        <f t="shared" si="157"/>
        <v>0</v>
      </c>
      <c r="BJ169" s="2">
        <f t="shared" si="157"/>
        <v>0</v>
      </c>
      <c r="BK169" s="2">
        <f t="shared" si="157"/>
        <v>0</v>
      </c>
      <c r="BL169" s="2">
        <f t="shared" si="157"/>
        <v>0</v>
      </c>
      <c r="BM169" s="2">
        <f t="shared" si="157"/>
        <v>0</v>
      </c>
      <c r="BN169" s="2">
        <f t="shared" si="157"/>
        <v>0</v>
      </c>
      <c r="BO169" s="2">
        <f t="shared" si="157"/>
        <v>0</v>
      </c>
      <c r="BP169" s="2">
        <f t="shared" si="157"/>
        <v>0</v>
      </c>
      <c r="BQ169" s="2">
        <f t="shared" si="157"/>
        <v>0</v>
      </c>
      <c r="BR169" s="2">
        <f t="shared" si="157"/>
        <v>0</v>
      </c>
      <c r="BS169" s="2">
        <f t="shared" si="157"/>
        <v>0</v>
      </c>
      <c r="BT169" s="2">
        <f t="shared" si="157"/>
        <v>0</v>
      </c>
      <c r="BU169" s="2">
        <f t="shared" si="157"/>
        <v>0</v>
      </c>
      <c r="BV169" s="2">
        <f t="shared" si="157"/>
        <v>0</v>
      </c>
      <c r="BW169" s="2">
        <f t="shared" si="157"/>
        <v>0</v>
      </c>
      <c r="BX169" s="2">
        <f t="shared" si="157"/>
        <v>0</v>
      </c>
      <c r="BY169" s="2">
        <f t="shared" si="157"/>
        <v>0</v>
      </c>
      <c r="BZ169" s="2">
        <f t="shared" si="157"/>
        <v>0</v>
      </c>
      <c r="CA169" s="2">
        <f t="shared" ref="CA169:DF169" si="158">CA183</f>
        <v>80157</v>
      </c>
      <c r="CB169" s="2">
        <f t="shared" si="158"/>
        <v>59881</v>
      </c>
      <c r="CC169" s="2">
        <f t="shared" si="158"/>
        <v>0</v>
      </c>
      <c r="CD169" s="2">
        <f t="shared" si="158"/>
        <v>20276</v>
      </c>
      <c r="CE169" s="2">
        <f t="shared" si="158"/>
        <v>29516</v>
      </c>
      <c r="CF169" s="2">
        <f t="shared" si="158"/>
        <v>29516</v>
      </c>
      <c r="CG169" s="2">
        <f t="shared" si="158"/>
        <v>0</v>
      </c>
      <c r="CH169" s="2">
        <f t="shared" si="158"/>
        <v>29516</v>
      </c>
      <c r="CI169" s="2">
        <f t="shared" si="158"/>
        <v>0</v>
      </c>
      <c r="CJ169" s="2">
        <f t="shared" si="158"/>
        <v>0</v>
      </c>
      <c r="CK169" s="2">
        <f t="shared" si="158"/>
        <v>0</v>
      </c>
      <c r="CL169" s="2">
        <f t="shared" si="158"/>
        <v>0</v>
      </c>
      <c r="CM169" s="2">
        <f t="shared" si="158"/>
        <v>0</v>
      </c>
      <c r="CN169" s="2">
        <f t="shared" si="158"/>
        <v>0</v>
      </c>
      <c r="CO169" s="2">
        <f t="shared" si="158"/>
        <v>0</v>
      </c>
      <c r="CP169" s="2">
        <f t="shared" si="158"/>
        <v>0</v>
      </c>
      <c r="CQ169" s="2">
        <f t="shared" si="158"/>
        <v>0</v>
      </c>
      <c r="CR169" s="2">
        <f t="shared" si="158"/>
        <v>0</v>
      </c>
      <c r="CS169" s="2">
        <f t="shared" si="158"/>
        <v>0</v>
      </c>
      <c r="CT169" s="2">
        <f t="shared" si="158"/>
        <v>0</v>
      </c>
      <c r="CU169" s="2">
        <f t="shared" si="158"/>
        <v>0</v>
      </c>
      <c r="CV169" s="2">
        <f t="shared" si="158"/>
        <v>0</v>
      </c>
      <c r="CW169" s="2">
        <f t="shared" si="158"/>
        <v>0</v>
      </c>
      <c r="CX169" s="2">
        <f t="shared" si="158"/>
        <v>0</v>
      </c>
      <c r="CY169" s="2">
        <f t="shared" si="158"/>
        <v>0</v>
      </c>
      <c r="CZ169" s="2">
        <f t="shared" si="158"/>
        <v>0</v>
      </c>
      <c r="DA169" s="2">
        <f t="shared" si="158"/>
        <v>0</v>
      </c>
      <c r="DB169" s="2">
        <f t="shared" si="158"/>
        <v>0</v>
      </c>
      <c r="DC169" s="2">
        <f t="shared" si="158"/>
        <v>0</v>
      </c>
      <c r="DD169" s="2">
        <f t="shared" si="158"/>
        <v>0</v>
      </c>
      <c r="DE169" s="2">
        <f t="shared" si="158"/>
        <v>0</v>
      </c>
      <c r="DF169" s="2">
        <f t="shared" si="158"/>
        <v>0</v>
      </c>
      <c r="DG169" s="3">
        <f t="shared" ref="DG169:EL169" si="159">DG183</f>
        <v>0</v>
      </c>
      <c r="DH169" s="3">
        <f t="shared" si="159"/>
        <v>0</v>
      </c>
      <c r="DI169" s="3">
        <f t="shared" si="159"/>
        <v>0</v>
      </c>
      <c r="DJ169" s="3">
        <f t="shared" si="159"/>
        <v>0</v>
      </c>
      <c r="DK169" s="3">
        <f t="shared" si="159"/>
        <v>0</v>
      </c>
      <c r="DL169" s="3">
        <f t="shared" si="159"/>
        <v>0</v>
      </c>
      <c r="DM169" s="3">
        <f t="shared" si="159"/>
        <v>0</v>
      </c>
      <c r="DN169" s="3">
        <f t="shared" si="159"/>
        <v>0</v>
      </c>
      <c r="DO169" s="3">
        <f t="shared" si="159"/>
        <v>0</v>
      </c>
      <c r="DP169" s="3">
        <f t="shared" si="159"/>
        <v>0</v>
      </c>
      <c r="DQ169" s="3">
        <f t="shared" si="159"/>
        <v>0</v>
      </c>
      <c r="DR169" s="3">
        <f t="shared" si="159"/>
        <v>0</v>
      </c>
      <c r="DS169" s="3">
        <f t="shared" si="159"/>
        <v>0</v>
      </c>
      <c r="DT169" s="3">
        <f t="shared" si="159"/>
        <v>0</v>
      </c>
      <c r="DU169" s="3">
        <f t="shared" si="159"/>
        <v>0</v>
      </c>
      <c r="DV169" s="3">
        <f t="shared" si="159"/>
        <v>0</v>
      </c>
      <c r="DW169" s="3">
        <f t="shared" si="159"/>
        <v>0</v>
      </c>
      <c r="DX169" s="3">
        <f t="shared" si="159"/>
        <v>0</v>
      </c>
      <c r="DY169" s="3">
        <f t="shared" si="159"/>
        <v>0</v>
      </c>
      <c r="DZ169" s="3">
        <f t="shared" si="159"/>
        <v>0</v>
      </c>
      <c r="EA169" s="3">
        <f t="shared" si="159"/>
        <v>0</v>
      </c>
      <c r="EB169" s="3">
        <f t="shared" si="159"/>
        <v>0</v>
      </c>
      <c r="EC169" s="3">
        <f t="shared" si="159"/>
        <v>0</v>
      </c>
      <c r="ED169" s="3">
        <f t="shared" si="159"/>
        <v>0</v>
      </c>
      <c r="EE169" s="3">
        <f t="shared" si="159"/>
        <v>0</v>
      </c>
      <c r="EF169" s="3">
        <f t="shared" si="159"/>
        <v>0</v>
      </c>
      <c r="EG169" s="3">
        <f t="shared" si="159"/>
        <v>0</v>
      </c>
      <c r="EH169" s="3">
        <f t="shared" si="159"/>
        <v>0</v>
      </c>
      <c r="EI169" s="3">
        <f t="shared" si="159"/>
        <v>0</v>
      </c>
      <c r="EJ169" s="3">
        <f t="shared" si="159"/>
        <v>0</v>
      </c>
      <c r="EK169" s="3">
        <f t="shared" si="159"/>
        <v>0</v>
      </c>
      <c r="EL169" s="3">
        <f t="shared" si="159"/>
        <v>0</v>
      </c>
      <c r="EM169" s="3">
        <f t="shared" ref="EM169:FR169" si="160">EM183</f>
        <v>0</v>
      </c>
      <c r="EN169" s="3">
        <f t="shared" si="160"/>
        <v>0</v>
      </c>
      <c r="EO169" s="3">
        <f t="shared" si="160"/>
        <v>0</v>
      </c>
      <c r="EP169" s="3">
        <f t="shared" si="160"/>
        <v>0</v>
      </c>
      <c r="EQ169" s="3">
        <f t="shared" si="160"/>
        <v>0</v>
      </c>
      <c r="ER169" s="3">
        <f t="shared" si="160"/>
        <v>0</v>
      </c>
      <c r="ES169" s="3">
        <f t="shared" si="160"/>
        <v>0</v>
      </c>
      <c r="ET169" s="3">
        <f t="shared" si="160"/>
        <v>0</v>
      </c>
      <c r="EU169" s="3">
        <f t="shared" si="160"/>
        <v>0</v>
      </c>
      <c r="EV169" s="3">
        <f t="shared" si="160"/>
        <v>0</v>
      </c>
      <c r="EW169" s="3">
        <f t="shared" si="160"/>
        <v>0</v>
      </c>
      <c r="EX169" s="3">
        <f t="shared" si="160"/>
        <v>0</v>
      </c>
      <c r="EY169" s="3">
        <f t="shared" si="160"/>
        <v>0</v>
      </c>
      <c r="EZ169" s="3">
        <f t="shared" si="160"/>
        <v>0</v>
      </c>
      <c r="FA169" s="3">
        <f t="shared" si="160"/>
        <v>0</v>
      </c>
      <c r="FB169" s="3">
        <f t="shared" si="160"/>
        <v>0</v>
      </c>
      <c r="FC169" s="3">
        <f t="shared" si="160"/>
        <v>0</v>
      </c>
      <c r="FD169" s="3">
        <f t="shared" si="160"/>
        <v>0</v>
      </c>
      <c r="FE169" s="3">
        <f t="shared" si="160"/>
        <v>0</v>
      </c>
      <c r="FF169" s="3">
        <f t="shared" si="160"/>
        <v>0</v>
      </c>
      <c r="FG169" s="3">
        <f t="shared" si="160"/>
        <v>0</v>
      </c>
      <c r="FH169" s="3">
        <f t="shared" si="160"/>
        <v>0</v>
      </c>
      <c r="FI169" s="3">
        <f t="shared" si="160"/>
        <v>0</v>
      </c>
      <c r="FJ169" s="3">
        <f t="shared" si="160"/>
        <v>0</v>
      </c>
      <c r="FK169" s="3">
        <f t="shared" si="160"/>
        <v>0</v>
      </c>
      <c r="FL169" s="3">
        <f t="shared" si="160"/>
        <v>0</v>
      </c>
      <c r="FM169" s="3">
        <f t="shared" si="160"/>
        <v>0</v>
      </c>
      <c r="FN169" s="3">
        <f t="shared" si="160"/>
        <v>0</v>
      </c>
      <c r="FO169" s="3">
        <f t="shared" si="160"/>
        <v>0</v>
      </c>
      <c r="FP169" s="3">
        <f t="shared" si="160"/>
        <v>0</v>
      </c>
      <c r="FQ169" s="3">
        <f t="shared" si="160"/>
        <v>0</v>
      </c>
      <c r="FR169" s="3">
        <f t="shared" si="160"/>
        <v>0</v>
      </c>
      <c r="FS169" s="3">
        <f t="shared" ref="FS169:GX169" si="161">FS183</f>
        <v>0</v>
      </c>
      <c r="FT169" s="3">
        <f t="shared" si="161"/>
        <v>0</v>
      </c>
      <c r="FU169" s="3">
        <f t="shared" si="161"/>
        <v>0</v>
      </c>
      <c r="FV169" s="3">
        <f t="shared" si="161"/>
        <v>0</v>
      </c>
      <c r="FW169" s="3">
        <f t="shared" si="161"/>
        <v>0</v>
      </c>
      <c r="FX169" s="3">
        <f t="shared" si="161"/>
        <v>0</v>
      </c>
      <c r="FY169" s="3">
        <f t="shared" si="161"/>
        <v>0</v>
      </c>
      <c r="FZ169" s="3">
        <f t="shared" si="161"/>
        <v>0</v>
      </c>
      <c r="GA169" s="3">
        <f t="shared" si="161"/>
        <v>0</v>
      </c>
      <c r="GB169" s="3">
        <f t="shared" si="161"/>
        <v>0</v>
      </c>
      <c r="GC169" s="3">
        <f t="shared" si="161"/>
        <v>0</v>
      </c>
      <c r="GD169" s="3">
        <f t="shared" si="161"/>
        <v>0</v>
      </c>
      <c r="GE169" s="3">
        <f t="shared" si="161"/>
        <v>0</v>
      </c>
      <c r="GF169" s="3">
        <f t="shared" si="161"/>
        <v>0</v>
      </c>
      <c r="GG169" s="3">
        <f t="shared" si="161"/>
        <v>0</v>
      </c>
      <c r="GH169" s="3">
        <f t="shared" si="161"/>
        <v>0</v>
      </c>
      <c r="GI169" s="3">
        <f t="shared" si="161"/>
        <v>0</v>
      </c>
      <c r="GJ169" s="3">
        <f t="shared" si="161"/>
        <v>0</v>
      </c>
      <c r="GK169" s="3">
        <f t="shared" si="161"/>
        <v>0</v>
      </c>
      <c r="GL169" s="3">
        <f t="shared" si="161"/>
        <v>0</v>
      </c>
      <c r="GM169" s="3">
        <f t="shared" si="161"/>
        <v>0</v>
      </c>
      <c r="GN169" s="3">
        <f t="shared" si="161"/>
        <v>0</v>
      </c>
      <c r="GO169" s="3">
        <f t="shared" si="161"/>
        <v>0</v>
      </c>
      <c r="GP169" s="3">
        <f t="shared" si="161"/>
        <v>0</v>
      </c>
      <c r="GQ169" s="3">
        <f t="shared" si="161"/>
        <v>0</v>
      </c>
      <c r="GR169" s="3">
        <f t="shared" si="161"/>
        <v>0</v>
      </c>
      <c r="GS169" s="3">
        <f t="shared" si="161"/>
        <v>0</v>
      </c>
      <c r="GT169" s="3">
        <f t="shared" si="161"/>
        <v>0</v>
      </c>
      <c r="GU169" s="3">
        <f t="shared" si="161"/>
        <v>0</v>
      </c>
      <c r="GV169" s="3">
        <f t="shared" si="161"/>
        <v>0</v>
      </c>
      <c r="GW169" s="3">
        <f t="shared" si="161"/>
        <v>0</v>
      </c>
      <c r="GX169" s="3">
        <f t="shared" si="161"/>
        <v>0</v>
      </c>
    </row>
    <row r="171" spans="1:245" x14ac:dyDescent="0.2">
      <c r="A171">
        <v>17</v>
      </c>
      <c r="B171">
        <v>1</v>
      </c>
      <c r="C171">
        <f>ROW(SmtRes!A124)</f>
        <v>124</v>
      </c>
      <c r="D171">
        <f>ROW(EtalonRes!A116)</f>
        <v>116</v>
      </c>
      <c r="E171" t="s">
        <v>15</v>
      </c>
      <c r="F171" t="s">
        <v>125</v>
      </c>
      <c r="G171" t="s">
        <v>126</v>
      </c>
      <c r="H171" t="s">
        <v>127</v>
      </c>
      <c r="I171">
        <f>ROUND(6/100,9)</f>
        <v>0.06</v>
      </c>
      <c r="J171">
        <v>0</v>
      </c>
      <c r="K171">
        <f>ROUND(6/100,9)</f>
        <v>0.06</v>
      </c>
      <c r="O171">
        <f t="shared" ref="O171:O181" si="162">ROUND(CP171,0)</f>
        <v>522</v>
      </c>
      <c r="P171">
        <f t="shared" ref="P171:P181" si="163">ROUND(CQ171*I171,0)</f>
        <v>0</v>
      </c>
      <c r="Q171">
        <f t="shared" ref="Q171:Q181" si="164">ROUND(CR171*I171,0)</f>
        <v>283</v>
      </c>
      <c r="R171">
        <f t="shared" ref="R171:R181" si="165">ROUND(CS171*I171,0)</f>
        <v>69</v>
      </c>
      <c r="S171">
        <f t="shared" ref="S171:S181" si="166">ROUND(CT171*I171,0)</f>
        <v>239</v>
      </c>
      <c r="T171">
        <f t="shared" ref="T171:T181" si="167">ROUND(CU171*I171,0)</f>
        <v>0</v>
      </c>
      <c r="U171">
        <f t="shared" ref="U171:U181" si="168">CV171*I171</f>
        <v>0.86456999999999984</v>
      </c>
      <c r="V171">
        <f t="shared" ref="V171:V181" si="169">CW171*I171</f>
        <v>0.20975999999999997</v>
      </c>
      <c r="W171">
        <f t="shared" ref="W171:W181" si="170">ROUND(CX171*I171,0)</f>
        <v>0</v>
      </c>
      <c r="X171">
        <f t="shared" ref="X171:X181" si="171">ROUND(CY171,0)</f>
        <v>293</v>
      </c>
      <c r="Y171">
        <f t="shared" ref="Y171:Y181" si="172">ROUND(CZ171,0)</f>
        <v>154</v>
      </c>
      <c r="AA171">
        <v>46416371</v>
      </c>
      <c r="AB171">
        <f t="shared" ref="AB171:AB181" si="173">ROUND((AC171+AD171+AF171),6)</f>
        <v>468.18799999999999</v>
      </c>
      <c r="AC171">
        <f t="shared" ref="AC171:AC181" si="174">ROUND((ES171),6)</f>
        <v>0</v>
      </c>
      <c r="AD171">
        <f>ROUND(((((ET171*1.15))-((EU171*1.15)))+AE171),6)</f>
        <v>353.34899999999999</v>
      </c>
      <c r="AE171">
        <f>ROUND(((EU171*1.15)),6)</f>
        <v>32.866999999999997</v>
      </c>
      <c r="AF171">
        <f>ROUND(((EV171*1.15)),6)</f>
        <v>114.839</v>
      </c>
      <c r="AG171">
        <f t="shared" ref="AG171:AG181" si="175">ROUND((AP171),6)</f>
        <v>0</v>
      </c>
      <c r="AH171">
        <f>((EW171*1.15))</f>
        <v>14.409499999999998</v>
      </c>
      <c r="AI171">
        <f>((EX171*1.15))</f>
        <v>3.4959999999999996</v>
      </c>
      <c r="AJ171">
        <f t="shared" ref="AJ171:AJ181" si="176">(AS171)</f>
        <v>0</v>
      </c>
      <c r="AK171">
        <v>407.12</v>
      </c>
      <c r="AL171">
        <v>0</v>
      </c>
      <c r="AM171">
        <v>307.26</v>
      </c>
      <c r="AN171">
        <v>28.58</v>
      </c>
      <c r="AO171">
        <v>99.86</v>
      </c>
      <c r="AP171">
        <v>0</v>
      </c>
      <c r="AQ171">
        <v>12.53</v>
      </c>
      <c r="AR171">
        <v>3.04</v>
      </c>
      <c r="AS171">
        <v>0</v>
      </c>
      <c r="AT171">
        <v>95</v>
      </c>
      <c r="AU171">
        <v>50</v>
      </c>
      <c r="AV171">
        <v>1</v>
      </c>
      <c r="AW171">
        <v>1</v>
      </c>
      <c r="AZ171">
        <v>1</v>
      </c>
      <c r="BA171">
        <v>34.75</v>
      </c>
      <c r="BB171">
        <v>13.36</v>
      </c>
      <c r="BC171">
        <v>8.2899999999999991</v>
      </c>
      <c r="BD171" t="s">
        <v>3</v>
      </c>
      <c r="BE171" t="s">
        <v>3</v>
      </c>
      <c r="BF171" t="s">
        <v>3</v>
      </c>
      <c r="BG171" t="s">
        <v>3</v>
      </c>
      <c r="BH171">
        <v>0</v>
      </c>
      <c r="BI171">
        <v>1</v>
      </c>
      <c r="BJ171" t="s">
        <v>128</v>
      </c>
      <c r="BM171">
        <v>1002</v>
      </c>
      <c r="BN171">
        <v>0</v>
      </c>
      <c r="BO171" t="s">
        <v>3</v>
      </c>
      <c r="BP171">
        <v>0</v>
      </c>
      <c r="BQ171">
        <v>2</v>
      </c>
      <c r="BR171">
        <v>0</v>
      </c>
      <c r="BS171">
        <v>34.75</v>
      </c>
      <c r="BT171">
        <v>1</v>
      </c>
      <c r="BU171">
        <v>1</v>
      </c>
      <c r="BV171">
        <v>1</v>
      </c>
      <c r="BW171">
        <v>1</v>
      </c>
      <c r="BX171">
        <v>1</v>
      </c>
      <c r="BY171" t="s">
        <v>3</v>
      </c>
      <c r="BZ171">
        <v>95</v>
      </c>
      <c r="CA171">
        <v>50</v>
      </c>
      <c r="CB171" t="s">
        <v>3</v>
      </c>
      <c r="CE171">
        <v>0</v>
      </c>
      <c r="CF171">
        <v>0</v>
      </c>
      <c r="CG171">
        <v>0</v>
      </c>
      <c r="CM171">
        <v>0</v>
      </c>
      <c r="CN171" t="s">
        <v>675</v>
      </c>
      <c r="CO171">
        <v>0</v>
      </c>
      <c r="CP171">
        <f t="shared" ref="CP171:CP181" si="177">(P171+Q171+S171)</f>
        <v>522</v>
      </c>
      <c r="CQ171">
        <f t="shared" ref="CQ171:CQ181" si="178">AC171*BC171</f>
        <v>0</v>
      </c>
      <c r="CR171">
        <f t="shared" ref="CR171:CR181" si="179">AD171*BB171</f>
        <v>4720.7426399999995</v>
      </c>
      <c r="CS171">
        <f t="shared" ref="CS171:CS181" si="180">AE171*BS171</f>
        <v>1142.12825</v>
      </c>
      <c r="CT171">
        <f t="shared" ref="CT171:CT181" si="181">AF171*BA171</f>
        <v>3990.6552499999998</v>
      </c>
      <c r="CU171">
        <f t="shared" ref="CU171:CU181" si="182">AG171</f>
        <v>0</v>
      </c>
      <c r="CV171">
        <f t="shared" ref="CV171:CV181" si="183">AH171</f>
        <v>14.409499999999998</v>
      </c>
      <c r="CW171">
        <f t="shared" ref="CW171:CW181" si="184">AI171</f>
        <v>3.4959999999999996</v>
      </c>
      <c r="CX171">
        <f t="shared" ref="CX171:CX181" si="185">AJ171</f>
        <v>0</v>
      </c>
      <c r="CY171">
        <f t="shared" ref="CY171:CY181" si="186">(((S171+R171)*AT171)/100)</f>
        <v>292.60000000000002</v>
      </c>
      <c r="CZ171">
        <f t="shared" ref="CZ171:CZ181" si="187">(((S171+R171)*AU171)/100)</f>
        <v>154</v>
      </c>
      <c r="DC171" t="s">
        <v>3</v>
      </c>
      <c r="DD171" t="s">
        <v>3</v>
      </c>
      <c r="DE171" t="s">
        <v>31</v>
      </c>
      <c r="DF171" t="s">
        <v>31</v>
      </c>
      <c r="DG171" t="s">
        <v>31</v>
      </c>
      <c r="DH171" t="s">
        <v>3</v>
      </c>
      <c r="DI171" t="s">
        <v>31</v>
      </c>
      <c r="DJ171" t="s">
        <v>31</v>
      </c>
      <c r="DK171" t="s">
        <v>3</v>
      </c>
      <c r="DL171" t="s">
        <v>3</v>
      </c>
      <c r="DM171" t="s">
        <v>3</v>
      </c>
      <c r="DN171">
        <v>0</v>
      </c>
      <c r="DO171">
        <v>0</v>
      </c>
      <c r="DP171">
        <v>1</v>
      </c>
      <c r="DQ171">
        <v>1</v>
      </c>
      <c r="DU171">
        <v>1013</v>
      </c>
      <c r="DV171" t="s">
        <v>127</v>
      </c>
      <c r="DW171" t="s">
        <v>127</v>
      </c>
      <c r="DX171">
        <v>1</v>
      </c>
      <c r="DZ171" t="s">
        <v>3</v>
      </c>
      <c r="EA171" t="s">
        <v>3</v>
      </c>
      <c r="EB171" t="s">
        <v>3</v>
      </c>
      <c r="EC171" t="s">
        <v>3</v>
      </c>
      <c r="EE171">
        <v>42475884</v>
      </c>
      <c r="EF171">
        <v>2</v>
      </c>
      <c r="EG171" t="s">
        <v>22</v>
      </c>
      <c r="EH171">
        <v>0</v>
      </c>
      <c r="EI171" t="s">
        <v>3</v>
      </c>
      <c r="EJ171">
        <v>1</v>
      </c>
      <c r="EK171">
        <v>1002</v>
      </c>
      <c r="EL171" t="s">
        <v>54</v>
      </c>
      <c r="EM171" t="s">
        <v>33</v>
      </c>
      <c r="EO171" t="s">
        <v>34</v>
      </c>
      <c r="EQ171">
        <v>0</v>
      </c>
      <c r="ER171">
        <v>407.12</v>
      </c>
      <c r="ES171">
        <v>0</v>
      </c>
      <c r="ET171">
        <v>307.26</v>
      </c>
      <c r="EU171">
        <v>28.58</v>
      </c>
      <c r="EV171">
        <v>99.86</v>
      </c>
      <c r="EW171">
        <v>12.53</v>
      </c>
      <c r="EX171">
        <v>3.04</v>
      </c>
      <c r="EY171">
        <v>0</v>
      </c>
      <c r="FQ171">
        <v>0</v>
      </c>
      <c r="FR171">
        <f t="shared" ref="FR171:FR181" si="188">ROUND(IF(AND(BH171=3,BI171=3),P171,0),0)</f>
        <v>0</v>
      </c>
      <c r="FS171">
        <v>0</v>
      </c>
      <c r="FX171">
        <v>95</v>
      </c>
      <c r="FY171">
        <v>50</v>
      </c>
      <c r="GA171" t="s">
        <v>3</v>
      </c>
      <c r="GD171">
        <v>1</v>
      </c>
      <c r="GF171">
        <v>-2137936402</v>
      </c>
      <c r="GG171">
        <v>2</v>
      </c>
      <c r="GH171">
        <v>1</v>
      </c>
      <c r="GI171">
        <v>4</v>
      </c>
      <c r="GJ171">
        <v>0</v>
      </c>
      <c r="GK171">
        <v>0</v>
      </c>
      <c r="GL171">
        <f t="shared" ref="GL171:GL181" si="189">ROUND(IF(AND(BH171=3,BI171=3,FS171&lt;&gt;0),P171,0),0)</f>
        <v>0</v>
      </c>
      <c r="GM171">
        <f t="shared" ref="GM171:GM181" si="190">ROUND(O171+X171+Y171,0)+GX171</f>
        <v>969</v>
      </c>
      <c r="GN171">
        <f t="shared" ref="GN171:GN181" si="191">IF(OR(BI171=0,BI171=1),ROUND(O171+X171+Y171,0),0)</f>
        <v>969</v>
      </c>
      <c r="GO171">
        <f t="shared" ref="GO171:GO181" si="192">IF(BI171=2,ROUND(O171+X171+Y171,0),0)</f>
        <v>0</v>
      </c>
      <c r="GP171">
        <f t="shared" ref="GP171:GP181" si="193">IF(BI171=4,ROUND(O171+X171+Y171,0)+GX171,0)</f>
        <v>0</v>
      </c>
      <c r="GR171">
        <v>0</v>
      </c>
      <c r="GS171">
        <v>3</v>
      </c>
      <c r="GT171">
        <v>0</v>
      </c>
      <c r="GU171" t="s">
        <v>3</v>
      </c>
      <c r="GV171">
        <f t="shared" ref="GV171:GV181" si="194">ROUND((GT171),6)</f>
        <v>0</v>
      </c>
      <c r="GW171">
        <v>1</v>
      </c>
      <c r="GX171">
        <f t="shared" ref="GX171:GX181" si="195">ROUND(HC171*I171,0)</f>
        <v>0</v>
      </c>
      <c r="HA171">
        <v>0</v>
      </c>
      <c r="HB171">
        <v>0</v>
      </c>
      <c r="HC171">
        <f t="shared" ref="HC171:HC181" si="196">GV171*GW171</f>
        <v>0</v>
      </c>
      <c r="HE171" t="s">
        <v>3</v>
      </c>
      <c r="HF171" t="s">
        <v>3</v>
      </c>
      <c r="HM171" t="s">
        <v>3</v>
      </c>
      <c r="HN171" t="s">
        <v>3</v>
      </c>
      <c r="HO171" t="s">
        <v>3</v>
      </c>
      <c r="HP171" t="s">
        <v>3</v>
      </c>
      <c r="HQ171" t="s">
        <v>3</v>
      </c>
      <c r="IK171">
        <v>0</v>
      </c>
    </row>
    <row r="172" spans="1:245" x14ac:dyDescent="0.2">
      <c r="A172">
        <v>17</v>
      </c>
      <c r="B172">
        <v>1</v>
      </c>
      <c r="C172">
        <f>ROW(SmtRes!A132)</f>
        <v>132</v>
      </c>
      <c r="D172">
        <f>ROW(EtalonRes!A123)</f>
        <v>123</v>
      </c>
      <c r="E172" t="s">
        <v>56</v>
      </c>
      <c r="F172" t="s">
        <v>129</v>
      </c>
      <c r="G172" t="s">
        <v>130</v>
      </c>
      <c r="H172" t="s">
        <v>131</v>
      </c>
      <c r="I172">
        <v>2.4</v>
      </c>
      <c r="J172">
        <v>0</v>
      </c>
      <c r="K172">
        <v>3</v>
      </c>
      <c r="O172">
        <f t="shared" si="162"/>
        <v>5383</v>
      </c>
      <c r="P172">
        <f t="shared" si="163"/>
        <v>1671</v>
      </c>
      <c r="Q172">
        <f t="shared" si="164"/>
        <v>1073</v>
      </c>
      <c r="R172">
        <f t="shared" si="165"/>
        <v>270</v>
      </c>
      <c r="S172">
        <f t="shared" si="166"/>
        <v>2639</v>
      </c>
      <c r="T172">
        <f t="shared" si="167"/>
        <v>0</v>
      </c>
      <c r="U172">
        <f t="shared" si="168"/>
        <v>9.4116</v>
      </c>
      <c r="V172">
        <f t="shared" si="169"/>
        <v>0.82799999999999996</v>
      </c>
      <c r="W172">
        <f t="shared" si="170"/>
        <v>0</v>
      </c>
      <c r="X172">
        <f t="shared" si="171"/>
        <v>3578</v>
      </c>
      <c r="Y172">
        <f t="shared" si="172"/>
        <v>2182</v>
      </c>
      <c r="AA172">
        <v>46416371</v>
      </c>
      <c r="AB172">
        <f t="shared" si="173"/>
        <v>149.10300000000001</v>
      </c>
      <c r="AC172">
        <f t="shared" si="174"/>
        <v>83.99</v>
      </c>
      <c r="AD172">
        <f>ROUND(((((ET172*1.15))-((EU172*1.15)))+AE172),6)</f>
        <v>33.465000000000003</v>
      </c>
      <c r="AE172">
        <f>ROUND(((EU172*1.15)),6)</f>
        <v>3.2429999999999999</v>
      </c>
      <c r="AF172">
        <f>ROUND(((EV172*1.15)),6)</f>
        <v>31.648</v>
      </c>
      <c r="AG172">
        <f t="shared" si="175"/>
        <v>0</v>
      </c>
      <c r="AH172">
        <f>((EW172*1.15))</f>
        <v>3.9215</v>
      </c>
      <c r="AI172">
        <f>((EX172*1.15))</f>
        <v>0.34499999999999997</v>
      </c>
      <c r="AJ172">
        <f t="shared" si="176"/>
        <v>0</v>
      </c>
      <c r="AK172">
        <v>140.61000000000001</v>
      </c>
      <c r="AL172">
        <v>83.99</v>
      </c>
      <c r="AM172">
        <v>29.1</v>
      </c>
      <c r="AN172">
        <v>2.82</v>
      </c>
      <c r="AO172">
        <v>27.52</v>
      </c>
      <c r="AP172">
        <v>0</v>
      </c>
      <c r="AQ172">
        <v>3.41</v>
      </c>
      <c r="AR172">
        <v>0.3</v>
      </c>
      <c r="AS172">
        <v>0</v>
      </c>
      <c r="AT172">
        <v>123</v>
      </c>
      <c r="AU172">
        <v>75</v>
      </c>
      <c r="AV172">
        <v>1</v>
      </c>
      <c r="AW172">
        <v>1</v>
      </c>
      <c r="AZ172">
        <v>1</v>
      </c>
      <c r="BA172">
        <v>34.75</v>
      </c>
      <c r="BB172">
        <v>13.36</v>
      </c>
      <c r="BC172">
        <v>8.2899999999999991</v>
      </c>
      <c r="BD172" t="s">
        <v>3</v>
      </c>
      <c r="BE172" t="s">
        <v>3</v>
      </c>
      <c r="BF172" t="s">
        <v>3</v>
      </c>
      <c r="BG172" t="s">
        <v>3</v>
      </c>
      <c r="BH172">
        <v>0</v>
      </c>
      <c r="BI172">
        <v>1</v>
      </c>
      <c r="BJ172" t="s">
        <v>132</v>
      </c>
      <c r="BM172">
        <v>11001</v>
      </c>
      <c r="BN172">
        <v>0</v>
      </c>
      <c r="BO172" t="s">
        <v>3</v>
      </c>
      <c r="BP172">
        <v>0</v>
      </c>
      <c r="BQ172">
        <v>2</v>
      </c>
      <c r="BR172">
        <v>0</v>
      </c>
      <c r="BS172">
        <v>34.75</v>
      </c>
      <c r="BT172">
        <v>1</v>
      </c>
      <c r="BU172">
        <v>1</v>
      </c>
      <c r="BV172">
        <v>1</v>
      </c>
      <c r="BW172">
        <v>1</v>
      </c>
      <c r="BX172">
        <v>1</v>
      </c>
      <c r="BY172" t="s">
        <v>3</v>
      </c>
      <c r="BZ172">
        <v>123</v>
      </c>
      <c r="CA172">
        <v>75</v>
      </c>
      <c r="CB172" t="s">
        <v>3</v>
      </c>
      <c r="CE172">
        <v>0</v>
      </c>
      <c r="CF172">
        <v>0</v>
      </c>
      <c r="CG172">
        <v>0</v>
      </c>
      <c r="CM172">
        <v>0</v>
      </c>
      <c r="CN172" t="s">
        <v>678</v>
      </c>
      <c r="CO172">
        <v>0</v>
      </c>
      <c r="CP172">
        <f t="shared" si="177"/>
        <v>5383</v>
      </c>
      <c r="CQ172">
        <f t="shared" si="178"/>
        <v>696.2770999999999</v>
      </c>
      <c r="CR172">
        <f t="shared" si="179"/>
        <v>447.09240000000005</v>
      </c>
      <c r="CS172">
        <f t="shared" si="180"/>
        <v>112.69425</v>
      </c>
      <c r="CT172">
        <f t="shared" si="181"/>
        <v>1099.768</v>
      </c>
      <c r="CU172">
        <f t="shared" si="182"/>
        <v>0</v>
      </c>
      <c r="CV172">
        <f t="shared" si="183"/>
        <v>3.9215</v>
      </c>
      <c r="CW172">
        <f t="shared" si="184"/>
        <v>0.34499999999999997</v>
      </c>
      <c r="CX172">
        <f t="shared" si="185"/>
        <v>0</v>
      </c>
      <c r="CY172">
        <f t="shared" si="186"/>
        <v>3578.07</v>
      </c>
      <c r="CZ172">
        <f t="shared" si="187"/>
        <v>2181.75</v>
      </c>
      <c r="DC172" t="s">
        <v>3</v>
      </c>
      <c r="DD172" t="s">
        <v>3</v>
      </c>
      <c r="DE172" t="s">
        <v>31</v>
      </c>
      <c r="DF172" t="s">
        <v>31</v>
      </c>
      <c r="DG172" t="s">
        <v>31</v>
      </c>
      <c r="DH172" t="s">
        <v>3</v>
      </c>
      <c r="DI172" t="s">
        <v>31</v>
      </c>
      <c r="DJ172" t="s">
        <v>31</v>
      </c>
      <c r="DK172" t="s">
        <v>3</v>
      </c>
      <c r="DL172" t="s">
        <v>3</v>
      </c>
      <c r="DM172" t="s">
        <v>3</v>
      </c>
      <c r="DN172">
        <v>0</v>
      </c>
      <c r="DO172">
        <v>0</v>
      </c>
      <c r="DP172">
        <v>1</v>
      </c>
      <c r="DQ172">
        <v>1</v>
      </c>
      <c r="DU172">
        <v>1013</v>
      </c>
      <c r="DV172" t="s">
        <v>131</v>
      </c>
      <c r="DW172" t="s">
        <v>131</v>
      </c>
      <c r="DX172">
        <v>1</v>
      </c>
      <c r="DZ172" t="s">
        <v>3</v>
      </c>
      <c r="EA172" t="s">
        <v>3</v>
      </c>
      <c r="EB172" t="s">
        <v>3</v>
      </c>
      <c r="EC172" t="s">
        <v>3</v>
      </c>
      <c r="EE172">
        <v>42475910</v>
      </c>
      <c r="EF172">
        <v>2</v>
      </c>
      <c r="EG172" t="s">
        <v>22</v>
      </c>
      <c r="EH172">
        <v>0</v>
      </c>
      <c r="EI172" t="s">
        <v>3</v>
      </c>
      <c r="EJ172">
        <v>1</v>
      </c>
      <c r="EK172">
        <v>11001</v>
      </c>
      <c r="EL172" t="s">
        <v>133</v>
      </c>
      <c r="EM172" t="s">
        <v>134</v>
      </c>
      <c r="EO172" t="s">
        <v>135</v>
      </c>
      <c r="EQ172">
        <v>0</v>
      </c>
      <c r="ER172">
        <v>140.61000000000001</v>
      </c>
      <c r="ES172">
        <v>83.99</v>
      </c>
      <c r="ET172">
        <v>29.1</v>
      </c>
      <c r="EU172">
        <v>2.82</v>
      </c>
      <c r="EV172">
        <v>27.52</v>
      </c>
      <c r="EW172">
        <v>3.41</v>
      </c>
      <c r="EX172">
        <v>0.3</v>
      </c>
      <c r="EY172">
        <v>0</v>
      </c>
      <c r="FQ172">
        <v>0</v>
      </c>
      <c r="FR172">
        <f t="shared" si="188"/>
        <v>0</v>
      </c>
      <c r="FS172">
        <v>0</v>
      </c>
      <c r="FX172">
        <v>123</v>
      </c>
      <c r="FY172">
        <v>75</v>
      </c>
      <c r="GA172" t="s">
        <v>3</v>
      </c>
      <c r="GD172">
        <v>1</v>
      </c>
      <c r="GF172">
        <v>-1993022624</v>
      </c>
      <c r="GG172">
        <v>2</v>
      </c>
      <c r="GH172">
        <v>1</v>
      </c>
      <c r="GI172">
        <v>4</v>
      </c>
      <c r="GJ172">
        <v>0</v>
      </c>
      <c r="GK172">
        <v>0</v>
      </c>
      <c r="GL172">
        <f t="shared" si="189"/>
        <v>0</v>
      </c>
      <c r="GM172">
        <f t="shared" si="190"/>
        <v>11143</v>
      </c>
      <c r="GN172">
        <f t="shared" si="191"/>
        <v>11143</v>
      </c>
      <c r="GO172">
        <f t="shared" si="192"/>
        <v>0</v>
      </c>
      <c r="GP172">
        <f t="shared" si="193"/>
        <v>0</v>
      </c>
      <c r="GR172">
        <v>0</v>
      </c>
      <c r="GS172">
        <v>3</v>
      </c>
      <c r="GT172">
        <v>0</v>
      </c>
      <c r="GU172" t="s">
        <v>3</v>
      </c>
      <c r="GV172">
        <f t="shared" si="194"/>
        <v>0</v>
      </c>
      <c r="GW172">
        <v>1</v>
      </c>
      <c r="GX172">
        <f t="shared" si="195"/>
        <v>0</v>
      </c>
      <c r="HA172">
        <v>0</v>
      </c>
      <c r="HB172">
        <v>0</v>
      </c>
      <c r="HC172">
        <f t="shared" si="196"/>
        <v>0</v>
      </c>
      <c r="HE172" t="s">
        <v>3</v>
      </c>
      <c r="HF172" t="s">
        <v>3</v>
      </c>
      <c r="HM172" t="s">
        <v>3</v>
      </c>
      <c r="HN172" t="s">
        <v>3</v>
      </c>
      <c r="HO172" t="s">
        <v>3</v>
      </c>
      <c r="HP172" t="s">
        <v>3</v>
      </c>
      <c r="HQ172" t="s">
        <v>3</v>
      </c>
      <c r="IK172">
        <v>0</v>
      </c>
    </row>
    <row r="173" spans="1:245" x14ac:dyDescent="0.2">
      <c r="A173">
        <v>18</v>
      </c>
      <c r="B173">
        <v>1</v>
      </c>
      <c r="C173">
        <v>130</v>
      </c>
      <c r="E173" t="s">
        <v>136</v>
      </c>
      <c r="F173" t="s">
        <v>137</v>
      </c>
      <c r="G173" t="s">
        <v>138</v>
      </c>
      <c r="H173" t="s">
        <v>139</v>
      </c>
      <c r="I173">
        <f>I172*J173</f>
        <v>-2.88</v>
      </c>
      <c r="J173">
        <v>-1.2</v>
      </c>
      <c r="K173">
        <v>-1.2</v>
      </c>
      <c r="O173">
        <f t="shared" si="162"/>
        <v>-1667</v>
      </c>
      <c r="P173">
        <f t="shared" si="163"/>
        <v>-1667</v>
      </c>
      <c r="Q173">
        <f t="shared" si="164"/>
        <v>0</v>
      </c>
      <c r="R173">
        <f t="shared" si="165"/>
        <v>0</v>
      </c>
      <c r="S173">
        <f t="shared" si="166"/>
        <v>0</v>
      </c>
      <c r="T173">
        <f t="shared" si="167"/>
        <v>0</v>
      </c>
      <c r="U173">
        <f t="shared" si="168"/>
        <v>0</v>
      </c>
      <c r="V173">
        <f t="shared" si="169"/>
        <v>0</v>
      </c>
      <c r="W173">
        <f t="shared" si="170"/>
        <v>0</v>
      </c>
      <c r="X173">
        <f t="shared" si="171"/>
        <v>0</v>
      </c>
      <c r="Y173">
        <f t="shared" si="172"/>
        <v>0</v>
      </c>
      <c r="AA173">
        <v>46416371</v>
      </c>
      <c r="AB173">
        <f t="shared" si="173"/>
        <v>69.83</v>
      </c>
      <c r="AC173">
        <f t="shared" si="174"/>
        <v>69.83</v>
      </c>
      <c r="AD173">
        <f>ROUND((((ET173)-(EU173))+AE173),6)</f>
        <v>0</v>
      </c>
      <c r="AE173">
        <f>ROUND((EU173),6)</f>
        <v>0</v>
      </c>
      <c r="AF173">
        <f>ROUND((EV173),6)</f>
        <v>0</v>
      </c>
      <c r="AG173">
        <f t="shared" si="175"/>
        <v>0</v>
      </c>
      <c r="AH173">
        <f>(EW173)</f>
        <v>0</v>
      </c>
      <c r="AI173">
        <f>(EX173)</f>
        <v>0</v>
      </c>
      <c r="AJ173">
        <f t="shared" si="176"/>
        <v>0</v>
      </c>
      <c r="AK173">
        <v>69.83</v>
      </c>
      <c r="AL173">
        <v>69.83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1</v>
      </c>
      <c r="AW173">
        <v>1</v>
      </c>
      <c r="AZ173">
        <v>1</v>
      </c>
      <c r="BA173">
        <v>1</v>
      </c>
      <c r="BB173">
        <v>1</v>
      </c>
      <c r="BC173">
        <v>8.2899999999999991</v>
      </c>
      <c r="BD173" t="s">
        <v>3</v>
      </c>
      <c r="BE173" t="s">
        <v>3</v>
      </c>
      <c r="BF173" t="s">
        <v>3</v>
      </c>
      <c r="BG173" t="s">
        <v>3</v>
      </c>
      <c r="BH173">
        <v>3</v>
      </c>
      <c r="BI173">
        <v>1</v>
      </c>
      <c r="BJ173" t="s">
        <v>140</v>
      </c>
      <c r="BM173">
        <v>500001</v>
      </c>
      <c r="BN173">
        <v>0</v>
      </c>
      <c r="BO173" t="s">
        <v>3</v>
      </c>
      <c r="BP173">
        <v>0</v>
      </c>
      <c r="BQ173">
        <v>8</v>
      </c>
      <c r="BR173">
        <v>1</v>
      </c>
      <c r="BS173">
        <v>1</v>
      </c>
      <c r="BT173">
        <v>1</v>
      </c>
      <c r="BU173">
        <v>1</v>
      </c>
      <c r="BV173">
        <v>1</v>
      </c>
      <c r="BW173">
        <v>1</v>
      </c>
      <c r="BX173">
        <v>1</v>
      </c>
      <c r="BY173" t="s">
        <v>3</v>
      </c>
      <c r="BZ173">
        <v>0</v>
      </c>
      <c r="CA173">
        <v>0</v>
      </c>
      <c r="CB173" t="s">
        <v>3</v>
      </c>
      <c r="CE173">
        <v>0</v>
      </c>
      <c r="CF173">
        <v>0</v>
      </c>
      <c r="CG173">
        <v>0</v>
      </c>
      <c r="CM173">
        <v>0</v>
      </c>
      <c r="CN173" t="s">
        <v>3</v>
      </c>
      <c r="CO173">
        <v>0</v>
      </c>
      <c r="CP173">
        <f t="shared" si="177"/>
        <v>-1667</v>
      </c>
      <c r="CQ173">
        <f t="shared" si="178"/>
        <v>578.89069999999992</v>
      </c>
      <c r="CR173">
        <f t="shared" si="179"/>
        <v>0</v>
      </c>
      <c r="CS173">
        <f t="shared" si="180"/>
        <v>0</v>
      </c>
      <c r="CT173">
        <f t="shared" si="181"/>
        <v>0</v>
      </c>
      <c r="CU173">
        <f t="shared" si="182"/>
        <v>0</v>
      </c>
      <c r="CV173">
        <f t="shared" si="183"/>
        <v>0</v>
      </c>
      <c r="CW173">
        <f t="shared" si="184"/>
        <v>0</v>
      </c>
      <c r="CX173">
        <f t="shared" si="185"/>
        <v>0</v>
      </c>
      <c r="CY173">
        <f t="shared" si="186"/>
        <v>0</v>
      </c>
      <c r="CZ173">
        <f t="shared" si="187"/>
        <v>0</v>
      </c>
      <c r="DC173" t="s">
        <v>3</v>
      </c>
      <c r="DD173" t="s">
        <v>3</v>
      </c>
      <c r="DE173" t="s">
        <v>3</v>
      </c>
      <c r="DF173" t="s">
        <v>3</v>
      </c>
      <c r="DG173" t="s">
        <v>3</v>
      </c>
      <c r="DH173" t="s">
        <v>3</v>
      </c>
      <c r="DI173" t="s">
        <v>3</v>
      </c>
      <c r="DJ173" t="s">
        <v>3</v>
      </c>
      <c r="DK173" t="s">
        <v>3</v>
      </c>
      <c r="DL173" t="s">
        <v>3</v>
      </c>
      <c r="DM173" t="s">
        <v>3</v>
      </c>
      <c r="DN173">
        <v>0</v>
      </c>
      <c r="DO173">
        <v>0</v>
      </c>
      <c r="DP173">
        <v>1</v>
      </c>
      <c r="DQ173">
        <v>1</v>
      </c>
      <c r="DU173">
        <v>1007</v>
      </c>
      <c r="DV173" t="s">
        <v>139</v>
      </c>
      <c r="DW173" t="s">
        <v>139</v>
      </c>
      <c r="DX173">
        <v>1</v>
      </c>
      <c r="DZ173" t="s">
        <v>3</v>
      </c>
      <c r="EA173" t="s">
        <v>3</v>
      </c>
      <c r="EB173" t="s">
        <v>3</v>
      </c>
      <c r="EC173" t="s">
        <v>3</v>
      </c>
      <c r="EE173">
        <v>42475842</v>
      </c>
      <c r="EF173">
        <v>8</v>
      </c>
      <c r="EG173" t="s">
        <v>141</v>
      </c>
      <c r="EH173">
        <v>0</v>
      </c>
      <c r="EI173" t="s">
        <v>3</v>
      </c>
      <c r="EJ173">
        <v>1</v>
      </c>
      <c r="EK173">
        <v>500001</v>
      </c>
      <c r="EL173" t="s">
        <v>142</v>
      </c>
      <c r="EM173" t="s">
        <v>143</v>
      </c>
      <c r="EO173" t="s">
        <v>3</v>
      </c>
      <c r="EQ173">
        <v>32768</v>
      </c>
      <c r="ER173">
        <v>69.83</v>
      </c>
      <c r="ES173">
        <v>69.83</v>
      </c>
      <c r="ET173">
        <v>0</v>
      </c>
      <c r="EU173">
        <v>0</v>
      </c>
      <c r="EV173">
        <v>0</v>
      </c>
      <c r="EW173">
        <v>0</v>
      </c>
      <c r="EX173">
        <v>0</v>
      </c>
      <c r="FQ173">
        <v>0</v>
      </c>
      <c r="FR173">
        <f t="shared" si="188"/>
        <v>0</v>
      </c>
      <c r="FS173">
        <v>0</v>
      </c>
      <c r="FX173">
        <v>0</v>
      </c>
      <c r="FY173">
        <v>0</v>
      </c>
      <c r="GA173" t="s">
        <v>3</v>
      </c>
      <c r="GD173">
        <v>1</v>
      </c>
      <c r="GF173">
        <v>894824937</v>
      </c>
      <c r="GG173">
        <v>2</v>
      </c>
      <c r="GH173">
        <v>1</v>
      </c>
      <c r="GI173">
        <v>4</v>
      </c>
      <c r="GJ173">
        <v>0</v>
      </c>
      <c r="GK173">
        <v>0</v>
      </c>
      <c r="GL173">
        <f t="shared" si="189"/>
        <v>0</v>
      </c>
      <c r="GM173">
        <f t="shared" si="190"/>
        <v>-1667</v>
      </c>
      <c r="GN173">
        <f t="shared" si="191"/>
        <v>-1667</v>
      </c>
      <c r="GO173">
        <f t="shared" si="192"/>
        <v>0</v>
      </c>
      <c r="GP173">
        <f t="shared" si="193"/>
        <v>0</v>
      </c>
      <c r="GR173">
        <v>0</v>
      </c>
      <c r="GS173">
        <v>3</v>
      </c>
      <c r="GT173">
        <v>0</v>
      </c>
      <c r="GU173" t="s">
        <v>3</v>
      </c>
      <c r="GV173">
        <f t="shared" si="194"/>
        <v>0</v>
      </c>
      <c r="GW173">
        <v>1</v>
      </c>
      <c r="GX173">
        <f t="shared" si="195"/>
        <v>0</v>
      </c>
      <c r="HA173">
        <v>0</v>
      </c>
      <c r="HB173">
        <v>0</v>
      </c>
      <c r="HC173">
        <f t="shared" si="196"/>
        <v>0</v>
      </c>
      <c r="HE173" t="s">
        <v>3</v>
      </c>
      <c r="HF173" t="s">
        <v>3</v>
      </c>
      <c r="HM173" t="s">
        <v>3</v>
      </c>
      <c r="HN173" t="s">
        <v>3</v>
      </c>
      <c r="HO173" t="s">
        <v>3</v>
      </c>
      <c r="HP173" t="s">
        <v>3</v>
      </c>
      <c r="HQ173" t="s">
        <v>3</v>
      </c>
      <c r="IK173">
        <v>0</v>
      </c>
    </row>
    <row r="174" spans="1:245" x14ac:dyDescent="0.2">
      <c r="A174">
        <v>18</v>
      </c>
      <c r="B174">
        <v>1</v>
      </c>
      <c r="C174">
        <v>132</v>
      </c>
      <c r="E174" t="s">
        <v>144</v>
      </c>
      <c r="F174" t="s">
        <v>145</v>
      </c>
      <c r="G174" t="s">
        <v>146</v>
      </c>
      <c r="H174" t="s">
        <v>139</v>
      </c>
      <c r="I174">
        <f>I172*J174</f>
        <v>2.88</v>
      </c>
      <c r="J174">
        <v>1.2</v>
      </c>
      <c r="K174">
        <v>1.2</v>
      </c>
      <c r="O174">
        <f t="shared" si="162"/>
        <v>2400</v>
      </c>
      <c r="P174">
        <f t="shared" si="163"/>
        <v>2400</v>
      </c>
      <c r="Q174">
        <f t="shared" si="164"/>
        <v>0</v>
      </c>
      <c r="R174">
        <f t="shared" si="165"/>
        <v>0</v>
      </c>
      <c r="S174">
        <f t="shared" si="166"/>
        <v>0</v>
      </c>
      <c r="T174">
        <f t="shared" si="167"/>
        <v>0</v>
      </c>
      <c r="U174">
        <f t="shared" si="168"/>
        <v>0</v>
      </c>
      <c r="V174">
        <f t="shared" si="169"/>
        <v>0</v>
      </c>
      <c r="W174">
        <f t="shared" si="170"/>
        <v>0</v>
      </c>
      <c r="X174">
        <f t="shared" si="171"/>
        <v>0</v>
      </c>
      <c r="Y174">
        <f t="shared" si="172"/>
        <v>0</v>
      </c>
      <c r="AA174">
        <v>46416371</v>
      </c>
      <c r="AB174">
        <f t="shared" si="173"/>
        <v>833.33</v>
      </c>
      <c r="AC174">
        <f t="shared" si="174"/>
        <v>833.33</v>
      </c>
      <c r="AD174">
        <f>ROUND((((ET174)-(EU174))+AE174),6)</f>
        <v>0</v>
      </c>
      <c r="AE174">
        <f>ROUND((EU174),6)</f>
        <v>0</v>
      </c>
      <c r="AF174">
        <f>ROUND((EV174),6)</f>
        <v>0</v>
      </c>
      <c r="AG174">
        <f t="shared" si="175"/>
        <v>0</v>
      </c>
      <c r="AH174">
        <f>(EW174)</f>
        <v>0</v>
      </c>
      <c r="AI174">
        <f>(EX174)</f>
        <v>0</v>
      </c>
      <c r="AJ174">
        <f t="shared" si="176"/>
        <v>0</v>
      </c>
      <c r="AK174">
        <v>833.33</v>
      </c>
      <c r="AL174">
        <v>833.33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1</v>
      </c>
      <c r="AW174">
        <v>1</v>
      </c>
      <c r="AZ174">
        <v>1</v>
      </c>
      <c r="BA174">
        <v>1</v>
      </c>
      <c r="BB174">
        <v>1</v>
      </c>
      <c r="BC174">
        <v>1</v>
      </c>
      <c r="BD174" t="s">
        <v>3</v>
      </c>
      <c r="BE174" t="s">
        <v>3</v>
      </c>
      <c r="BF174" t="s">
        <v>3</v>
      </c>
      <c r="BG174" t="s">
        <v>3</v>
      </c>
      <c r="BH174">
        <v>3</v>
      </c>
      <c r="BI174">
        <v>4</v>
      </c>
      <c r="BJ174" t="s">
        <v>3</v>
      </c>
      <c r="BM174">
        <v>0</v>
      </c>
      <c r="BN174">
        <v>0</v>
      </c>
      <c r="BO174" t="s">
        <v>3</v>
      </c>
      <c r="BP174">
        <v>0</v>
      </c>
      <c r="BQ174">
        <v>16</v>
      </c>
      <c r="BR174">
        <v>0</v>
      </c>
      <c r="BS174">
        <v>1</v>
      </c>
      <c r="BT174">
        <v>1</v>
      </c>
      <c r="BU174">
        <v>1</v>
      </c>
      <c r="BV174">
        <v>1</v>
      </c>
      <c r="BW174">
        <v>1</v>
      </c>
      <c r="BX174">
        <v>1</v>
      </c>
      <c r="BY174" t="s">
        <v>3</v>
      </c>
      <c r="BZ174">
        <v>0</v>
      </c>
      <c r="CA174">
        <v>0</v>
      </c>
      <c r="CB174" t="s">
        <v>3</v>
      </c>
      <c r="CE174">
        <v>0</v>
      </c>
      <c r="CF174">
        <v>0</v>
      </c>
      <c r="CG174">
        <v>0</v>
      </c>
      <c r="CM174">
        <v>0</v>
      </c>
      <c r="CN174" t="s">
        <v>3</v>
      </c>
      <c r="CO174">
        <v>0</v>
      </c>
      <c r="CP174">
        <f t="shared" si="177"/>
        <v>2400</v>
      </c>
      <c r="CQ174">
        <f t="shared" si="178"/>
        <v>833.33</v>
      </c>
      <c r="CR174">
        <f t="shared" si="179"/>
        <v>0</v>
      </c>
      <c r="CS174">
        <f t="shared" si="180"/>
        <v>0</v>
      </c>
      <c r="CT174">
        <f t="shared" si="181"/>
        <v>0</v>
      </c>
      <c r="CU174">
        <f t="shared" si="182"/>
        <v>0</v>
      </c>
      <c r="CV174">
        <f t="shared" si="183"/>
        <v>0</v>
      </c>
      <c r="CW174">
        <f t="shared" si="184"/>
        <v>0</v>
      </c>
      <c r="CX174">
        <f t="shared" si="185"/>
        <v>0</v>
      </c>
      <c r="CY174">
        <f t="shared" si="186"/>
        <v>0</v>
      </c>
      <c r="CZ174">
        <f t="shared" si="187"/>
        <v>0</v>
      </c>
      <c r="DC174" t="s">
        <v>3</v>
      </c>
      <c r="DD174" t="s">
        <v>3</v>
      </c>
      <c r="DE174" t="s">
        <v>3</v>
      </c>
      <c r="DF174" t="s">
        <v>3</v>
      </c>
      <c r="DG174" t="s">
        <v>3</v>
      </c>
      <c r="DH174" t="s">
        <v>3</v>
      </c>
      <c r="DI174" t="s">
        <v>3</v>
      </c>
      <c r="DJ174" t="s">
        <v>3</v>
      </c>
      <c r="DK174" t="s">
        <v>3</v>
      </c>
      <c r="DL174" t="s">
        <v>3</v>
      </c>
      <c r="DM174" t="s">
        <v>3</v>
      </c>
      <c r="DN174">
        <v>0</v>
      </c>
      <c r="DO174">
        <v>0</v>
      </c>
      <c r="DP174">
        <v>1</v>
      </c>
      <c r="DQ174">
        <v>1</v>
      </c>
      <c r="DU174">
        <v>1007</v>
      </c>
      <c r="DV174" t="s">
        <v>139</v>
      </c>
      <c r="DW174" t="s">
        <v>139</v>
      </c>
      <c r="DX174">
        <v>1</v>
      </c>
      <c r="DZ174" t="s">
        <v>3</v>
      </c>
      <c r="EA174" t="s">
        <v>3</v>
      </c>
      <c r="EB174" t="s">
        <v>3</v>
      </c>
      <c r="EC174" t="s">
        <v>3</v>
      </c>
      <c r="EE174">
        <v>42475850</v>
      </c>
      <c r="EF174">
        <v>16</v>
      </c>
      <c r="EG174" t="s">
        <v>147</v>
      </c>
      <c r="EH174">
        <v>0</v>
      </c>
      <c r="EI174" t="s">
        <v>3</v>
      </c>
      <c r="EJ174">
        <v>4</v>
      </c>
      <c r="EK174">
        <v>0</v>
      </c>
      <c r="EL174" t="s">
        <v>148</v>
      </c>
      <c r="EM174" t="s">
        <v>149</v>
      </c>
      <c r="EO174" t="s">
        <v>3</v>
      </c>
      <c r="EQ174">
        <v>0</v>
      </c>
      <c r="ER174">
        <v>833.33</v>
      </c>
      <c r="ES174">
        <v>833.33</v>
      </c>
      <c r="ET174">
        <v>0</v>
      </c>
      <c r="EU174">
        <v>0</v>
      </c>
      <c r="EV174">
        <v>0</v>
      </c>
      <c r="EW174">
        <v>0</v>
      </c>
      <c r="EX174">
        <v>0</v>
      </c>
      <c r="EZ174">
        <v>5</v>
      </c>
      <c r="FC174">
        <v>1</v>
      </c>
      <c r="FD174">
        <v>18</v>
      </c>
      <c r="FF174">
        <v>1000</v>
      </c>
      <c r="FQ174">
        <v>0</v>
      </c>
      <c r="FR174">
        <f t="shared" si="188"/>
        <v>0</v>
      </c>
      <c r="FS174">
        <v>0</v>
      </c>
      <c r="FX174">
        <v>0</v>
      </c>
      <c r="FY174">
        <v>0</v>
      </c>
      <c r="GA174" t="s">
        <v>150</v>
      </c>
      <c r="GD174">
        <v>1</v>
      </c>
      <c r="GF174">
        <v>-1718654303</v>
      </c>
      <c r="GG174">
        <v>2</v>
      </c>
      <c r="GH174">
        <v>3</v>
      </c>
      <c r="GI174">
        <v>4</v>
      </c>
      <c r="GJ174">
        <v>0</v>
      </c>
      <c r="GK174">
        <v>0</v>
      </c>
      <c r="GL174">
        <f t="shared" si="189"/>
        <v>0</v>
      </c>
      <c r="GM174">
        <f t="shared" si="190"/>
        <v>2400</v>
      </c>
      <c r="GN174">
        <f t="shared" si="191"/>
        <v>0</v>
      </c>
      <c r="GO174">
        <f t="shared" si="192"/>
        <v>0</v>
      </c>
      <c r="GP174">
        <f t="shared" si="193"/>
        <v>2400</v>
      </c>
      <c r="GR174">
        <v>1</v>
      </c>
      <c r="GS174">
        <v>1</v>
      </c>
      <c r="GT174">
        <v>0</v>
      </c>
      <c r="GU174" t="s">
        <v>3</v>
      </c>
      <c r="GV174">
        <f t="shared" si="194"/>
        <v>0</v>
      </c>
      <c r="GW174">
        <v>1</v>
      </c>
      <c r="GX174">
        <f t="shared" si="195"/>
        <v>0</v>
      </c>
      <c r="HA174">
        <v>0</v>
      </c>
      <c r="HB174">
        <v>0</v>
      </c>
      <c r="HC174">
        <f t="shared" si="196"/>
        <v>0</v>
      </c>
      <c r="HE174" t="s">
        <v>151</v>
      </c>
      <c r="HF174" t="s">
        <v>151</v>
      </c>
      <c r="HM174" t="s">
        <v>3</v>
      </c>
      <c r="HN174" t="s">
        <v>3</v>
      </c>
      <c r="HO174" t="s">
        <v>3</v>
      </c>
      <c r="HP174" t="s">
        <v>3</v>
      </c>
      <c r="HQ174" t="s">
        <v>3</v>
      </c>
      <c r="IK174">
        <v>0</v>
      </c>
    </row>
    <row r="175" spans="1:245" x14ac:dyDescent="0.2">
      <c r="A175">
        <v>17</v>
      </c>
      <c r="B175">
        <v>1</v>
      </c>
      <c r="C175">
        <f>ROW(SmtRes!A140)</f>
        <v>140</v>
      </c>
      <c r="D175">
        <f>ROW(EtalonRes!A131)</f>
        <v>131</v>
      </c>
      <c r="E175" t="s">
        <v>64</v>
      </c>
      <c r="F175" t="s">
        <v>210</v>
      </c>
      <c r="G175" t="s">
        <v>211</v>
      </c>
      <c r="H175" t="s">
        <v>212</v>
      </c>
      <c r="I175">
        <f>ROUND(24/100,9)</f>
        <v>0.24</v>
      </c>
      <c r="J175">
        <v>0</v>
      </c>
      <c r="K175">
        <f>ROUND(30/100,9)</f>
        <v>0.3</v>
      </c>
      <c r="O175">
        <f t="shared" si="162"/>
        <v>10880</v>
      </c>
      <c r="P175">
        <f t="shared" si="163"/>
        <v>8447</v>
      </c>
      <c r="Q175">
        <f t="shared" si="164"/>
        <v>666</v>
      </c>
      <c r="R175">
        <f t="shared" si="165"/>
        <v>0</v>
      </c>
      <c r="S175">
        <f t="shared" si="166"/>
        <v>1767</v>
      </c>
      <c r="T175">
        <f t="shared" si="167"/>
        <v>0</v>
      </c>
      <c r="U175">
        <f t="shared" si="168"/>
        <v>6.3797399999999982</v>
      </c>
      <c r="V175">
        <f t="shared" si="169"/>
        <v>0</v>
      </c>
      <c r="W175">
        <f t="shared" si="170"/>
        <v>0</v>
      </c>
      <c r="X175">
        <f t="shared" si="171"/>
        <v>2156</v>
      </c>
      <c r="Y175">
        <f t="shared" si="172"/>
        <v>1414</v>
      </c>
      <c r="AA175">
        <v>46416371</v>
      </c>
      <c r="AB175">
        <f t="shared" si="173"/>
        <v>4665.1795000000002</v>
      </c>
      <c r="AC175">
        <f t="shared" si="174"/>
        <v>4245.74</v>
      </c>
      <c r="AD175">
        <f>ROUND((((((ET175*1.15)*1.25))-(((EU175*1.15)*1.25)))+AE175),6)</f>
        <v>207.57499999999999</v>
      </c>
      <c r="AE175">
        <f>ROUND((((EU175*1.15)*1.25)),6)</f>
        <v>0</v>
      </c>
      <c r="AF175">
        <f>ROUND((((EV175*1.15)*1.15)),6)</f>
        <v>211.86449999999999</v>
      </c>
      <c r="AG175">
        <f t="shared" si="175"/>
        <v>0</v>
      </c>
      <c r="AH175">
        <f>(((EW175*1.15)*1.15))</f>
        <v>26.582249999999995</v>
      </c>
      <c r="AI175">
        <f>(((EX175*1.15)*1.25))</f>
        <v>0</v>
      </c>
      <c r="AJ175">
        <f t="shared" si="176"/>
        <v>0</v>
      </c>
      <c r="AK175">
        <v>4550.34</v>
      </c>
      <c r="AL175">
        <v>4245.74</v>
      </c>
      <c r="AM175">
        <v>144.4</v>
      </c>
      <c r="AN175">
        <v>0</v>
      </c>
      <c r="AO175">
        <v>160.19999999999999</v>
      </c>
      <c r="AP175">
        <v>0</v>
      </c>
      <c r="AQ175">
        <v>20.100000000000001</v>
      </c>
      <c r="AR175">
        <v>0</v>
      </c>
      <c r="AS175">
        <v>0</v>
      </c>
      <c r="AT175">
        <v>122</v>
      </c>
      <c r="AU175">
        <v>80</v>
      </c>
      <c r="AV175">
        <v>1</v>
      </c>
      <c r="AW175">
        <v>1</v>
      </c>
      <c r="AZ175">
        <v>1</v>
      </c>
      <c r="BA175">
        <v>34.75</v>
      </c>
      <c r="BB175">
        <v>13.36</v>
      </c>
      <c r="BC175">
        <v>8.2899999999999991</v>
      </c>
      <c r="BD175" t="s">
        <v>3</v>
      </c>
      <c r="BE175" t="s">
        <v>3</v>
      </c>
      <c r="BF175" t="s">
        <v>3</v>
      </c>
      <c r="BG175" t="s">
        <v>3</v>
      </c>
      <c r="BH175">
        <v>0</v>
      </c>
      <c r="BI175">
        <v>1</v>
      </c>
      <c r="BJ175" t="s">
        <v>213</v>
      </c>
      <c r="BM175">
        <v>8001</v>
      </c>
      <c r="BN175">
        <v>0</v>
      </c>
      <c r="BO175" t="s">
        <v>3</v>
      </c>
      <c r="BP175">
        <v>0</v>
      </c>
      <c r="BQ175">
        <v>2</v>
      </c>
      <c r="BR175">
        <v>0</v>
      </c>
      <c r="BS175">
        <v>34.75</v>
      </c>
      <c r="BT175">
        <v>1</v>
      </c>
      <c r="BU175">
        <v>1</v>
      </c>
      <c r="BV175">
        <v>1</v>
      </c>
      <c r="BW175">
        <v>1</v>
      </c>
      <c r="BX175">
        <v>1</v>
      </c>
      <c r="BY175" t="s">
        <v>3</v>
      </c>
      <c r="BZ175">
        <v>122</v>
      </c>
      <c r="CA175">
        <v>80</v>
      </c>
      <c r="CB175" t="s">
        <v>3</v>
      </c>
      <c r="CE175">
        <v>0</v>
      </c>
      <c r="CF175">
        <v>0</v>
      </c>
      <c r="CG175">
        <v>0</v>
      </c>
      <c r="CM175">
        <v>0</v>
      </c>
      <c r="CN175" t="s">
        <v>681</v>
      </c>
      <c r="CO175">
        <v>0</v>
      </c>
      <c r="CP175">
        <f t="shared" si="177"/>
        <v>10880</v>
      </c>
      <c r="CQ175">
        <f t="shared" si="178"/>
        <v>35197.184599999993</v>
      </c>
      <c r="CR175">
        <f t="shared" si="179"/>
        <v>2773.2019999999998</v>
      </c>
      <c r="CS175">
        <f t="shared" si="180"/>
        <v>0</v>
      </c>
      <c r="CT175">
        <f t="shared" si="181"/>
        <v>7362.2913749999998</v>
      </c>
      <c r="CU175">
        <f t="shared" si="182"/>
        <v>0</v>
      </c>
      <c r="CV175">
        <f t="shared" si="183"/>
        <v>26.582249999999995</v>
      </c>
      <c r="CW175">
        <f t="shared" si="184"/>
        <v>0</v>
      </c>
      <c r="CX175">
        <f t="shared" si="185"/>
        <v>0</v>
      </c>
      <c r="CY175">
        <f t="shared" si="186"/>
        <v>2155.7399999999998</v>
      </c>
      <c r="CZ175">
        <f t="shared" si="187"/>
        <v>1413.6</v>
      </c>
      <c r="DC175" t="s">
        <v>3</v>
      </c>
      <c r="DD175" t="s">
        <v>3</v>
      </c>
      <c r="DE175" t="s">
        <v>160</v>
      </c>
      <c r="DF175" t="s">
        <v>160</v>
      </c>
      <c r="DG175" t="s">
        <v>161</v>
      </c>
      <c r="DH175" t="s">
        <v>3</v>
      </c>
      <c r="DI175" t="s">
        <v>161</v>
      </c>
      <c r="DJ175" t="s">
        <v>160</v>
      </c>
      <c r="DK175" t="s">
        <v>3</v>
      </c>
      <c r="DL175" t="s">
        <v>3</v>
      </c>
      <c r="DM175" t="s">
        <v>3</v>
      </c>
      <c r="DN175">
        <v>0</v>
      </c>
      <c r="DO175">
        <v>0</v>
      </c>
      <c r="DP175">
        <v>1</v>
      </c>
      <c r="DQ175">
        <v>1</v>
      </c>
      <c r="DU175">
        <v>1005</v>
      </c>
      <c r="DV175" t="s">
        <v>212</v>
      </c>
      <c r="DW175" t="s">
        <v>212</v>
      </c>
      <c r="DX175">
        <v>100</v>
      </c>
      <c r="DZ175" t="s">
        <v>3</v>
      </c>
      <c r="EA175" t="s">
        <v>3</v>
      </c>
      <c r="EB175" t="s">
        <v>3</v>
      </c>
      <c r="EC175" t="s">
        <v>3</v>
      </c>
      <c r="EE175">
        <v>42475907</v>
      </c>
      <c r="EF175">
        <v>2</v>
      </c>
      <c r="EG175" t="s">
        <v>22</v>
      </c>
      <c r="EH175">
        <v>0</v>
      </c>
      <c r="EI175" t="s">
        <v>3</v>
      </c>
      <c r="EJ175">
        <v>1</v>
      </c>
      <c r="EK175">
        <v>8001</v>
      </c>
      <c r="EL175" t="s">
        <v>214</v>
      </c>
      <c r="EM175" t="s">
        <v>215</v>
      </c>
      <c r="EO175" t="s">
        <v>216</v>
      </c>
      <c r="EQ175">
        <v>0</v>
      </c>
      <c r="ER175">
        <v>4550.34</v>
      </c>
      <c r="ES175">
        <v>4245.74</v>
      </c>
      <c r="ET175">
        <v>144.4</v>
      </c>
      <c r="EU175">
        <v>0</v>
      </c>
      <c r="EV175">
        <v>160.19999999999999</v>
      </c>
      <c r="EW175">
        <v>20.100000000000001</v>
      </c>
      <c r="EX175">
        <v>0</v>
      </c>
      <c r="EY175">
        <v>0</v>
      </c>
      <c r="FQ175">
        <v>0</v>
      </c>
      <c r="FR175">
        <f t="shared" si="188"/>
        <v>0</v>
      </c>
      <c r="FS175">
        <v>0</v>
      </c>
      <c r="FX175">
        <v>122</v>
      </c>
      <c r="FY175">
        <v>80</v>
      </c>
      <c r="GA175" t="s">
        <v>3</v>
      </c>
      <c r="GD175">
        <v>1</v>
      </c>
      <c r="GF175">
        <v>-475761602</v>
      </c>
      <c r="GG175">
        <v>2</v>
      </c>
      <c r="GH175">
        <v>1</v>
      </c>
      <c r="GI175">
        <v>4</v>
      </c>
      <c r="GJ175">
        <v>0</v>
      </c>
      <c r="GK175">
        <v>0</v>
      </c>
      <c r="GL175">
        <f t="shared" si="189"/>
        <v>0</v>
      </c>
      <c r="GM175">
        <f t="shared" si="190"/>
        <v>14450</v>
      </c>
      <c r="GN175">
        <f t="shared" si="191"/>
        <v>14450</v>
      </c>
      <c r="GO175">
        <f t="shared" si="192"/>
        <v>0</v>
      </c>
      <c r="GP175">
        <f t="shared" si="193"/>
        <v>0</v>
      </c>
      <c r="GR175">
        <v>0</v>
      </c>
      <c r="GS175">
        <v>3</v>
      </c>
      <c r="GT175">
        <v>0</v>
      </c>
      <c r="GU175" t="s">
        <v>3</v>
      </c>
      <c r="GV175">
        <f t="shared" si="194"/>
        <v>0</v>
      </c>
      <c r="GW175">
        <v>1</v>
      </c>
      <c r="GX175">
        <f t="shared" si="195"/>
        <v>0</v>
      </c>
      <c r="HA175">
        <v>0</v>
      </c>
      <c r="HB175">
        <v>0</v>
      </c>
      <c r="HC175">
        <f t="shared" si="196"/>
        <v>0</v>
      </c>
      <c r="HE175" t="s">
        <v>3</v>
      </c>
      <c r="HF175" t="s">
        <v>3</v>
      </c>
      <c r="HM175" t="s">
        <v>3</v>
      </c>
      <c r="HN175" t="s">
        <v>3</v>
      </c>
      <c r="HO175" t="s">
        <v>3</v>
      </c>
      <c r="HP175" t="s">
        <v>3</v>
      </c>
      <c r="HQ175" t="s">
        <v>3</v>
      </c>
      <c r="IK175">
        <v>0</v>
      </c>
    </row>
    <row r="176" spans="1:245" x14ac:dyDescent="0.2">
      <c r="A176">
        <v>17</v>
      </c>
      <c r="B176">
        <v>1</v>
      </c>
      <c r="C176">
        <f>ROW(SmtRes!A165)</f>
        <v>165</v>
      </c>
      <c r="D176">
        <f>ROW(EtalonRes!A153)</f>
        <v>153</v>
      </c>
      <c r="E176" t="s">
        <v>155</v>
      </c>
      <c r="F176" t="s">
        <v>175</v>
      </c>
      <c r="G176" t="s">
        <v>217</v>
      </c>
      <c r="H176" t="s">
        <v>177</v>
      </c>
      <c r="I176">
        <f>ROUND(2.4/100,9)</f>
        <v>2.4E-2</v>
      </c>
      <c r="J176">
        <v>0</v>
      </c>
      <c r="K176">
        <f>ROUND(6/100,9)</f>
        <v>0.06</v>
      </c>
      <c r="O176">
        <f t="shared" si="162"/>
        <v>32380</v>
      </c>
      <c r="P176">
        <f t="shared" si="163"/>
        <v>19139</v>
      </c>
      <c r="Q176">
        <f t="shared" si="164"/>
        <v>1183</v>
      </c>
      <c r="R176">
        <f t="shared" si="165"/>
        <v>269</v>
      </c>
      <c r="S176">
        <f t="shared" si="166"/>
        <v>12058</v>
      </c>
      <c r="T176">
        <f t="shared" si="167"/>
        <v>0</v>
      </c>
      <c r="U176">
        <f t="shared" si="168"/>
        <v>44.258255999999996</v>
      </c>
      <c r="V176">
        <f t="shared" si="169"/>
        <v>0.61513499999999988</v>
      </c>
      <c r="W176">
        <f t="shared" si="170"/>
        <v>0</v>
      </c>
      <c r="X176">
        <f t="shared" si="171"/>
        <v>12943</v>
      </c>
      <c r="Y176">
        <f t="shared" si="172"/>
        <v>8013</v>
      </c>
      <c r="AA176">
        <v>46416371</v>
      </c>
      <c r="AB176">
        <f t="shared" si="173"/>
        <v>114342.965375</v>
      </c>
      <c r="AC176">
        <f t="shared" si="174"/>
        <v>96195.79</v>
      </c>
      <c r="AD176">
        <f>ROUND((((((ET176*1.25)*1.15))-(((EU176*1.25)*1.15)))+AE176),6)</f>
        <v>3689.473125</v>
      </c>
      <c r="AE176">
        <f>ROUND((((EU176*1.25)*1.15)),6)</f>
        <v>322.17250000000001</v>
      </c>
      <c r="AF176">
        <f>ROUND((((EV176*1.15)*1.15*5)),6)</f>
        <v>14457.70225</v>
      </c>
      <c r="AG176">
        <f t="shared" si="175"/>
        <v>0</v>
      </c>
      <c r="AH176">
        <f>(((EW176*1.15)*1.15*5))</f>
        <v>1844.0939999999998</v>
      </c>
      <c r="AI176">
        <f>(((EX176*1.25)*1.15))</f>
        <v>25.630624999999995</v>
      </c>
      <c r="AJ176">
        <f t="shared" si="176"/>
        <v>0</v>
      </c>
      <c r="AK176">
        <v>100948.8</v>
      </c>
      <c r="AL176">
        <v>96195.79</v>
      </c>
      <c r="AM176">
        <v>2566.59</v>
      </c>
      <c r="AN176">
        <v>224.12</v>
      </c>
      <c r="AO176">
        <v>2186.42</v>
      </c>
      <c r="AP176">
        <v>0</v>
      </c>
      <c r="AQ176">
        <v>278.88</v>
      </c>
      <c r="AR176">
        <v>17.829999999999998</v>
      </c>
      <c r="AS176">
        <v>0</v>
      </c>
      <c r="AT176">
        <v>105</v>
      </c>
      <c r="AU176">
        <v>65</v>
      </c>
      <c r="AV176">
        <v>1</v>
      </c>
      <c r="AW176">
        <v>1</v>
      </c>
      <c r="AZ176">
        <v>1</v>
      </c>
      <c r="BA176">
        <v>34.75</v>
      </c>
      <c r="BB176">
        <v>13.36</v>
      </c>
      <c r="BC176">
        <v>8.2899999999999991</v>
      </c>
      <c r="BD176" t="s">
        <v>3</v>
      </c>
      <c r="BE176" t="s">
        <v>3</v>
      </c>
      <c r="BF176" t="s">
        <v>3</v>
      </c>
      <c r="BG176" t="s">
        <v>3</v>
      </c>
      <c r="BH176">
        <v>0</v>
      </c>
      <c r="BI176">
        <v>1</v>
      </c>
      <c r="BJ176" t="s">
        <v>178</v>
      </c>
      <c r="BM176">
        <v>6001</v>
      </c>
      <c r="BN176">
        <v>0</v>
      </c>
      <c r="BO176" t="s">
        <v>3</v>
      </c>
      <c r="BP176">
        <v>0</v>
      </c>
      <c r="BQ176">
        <v>2</v>
      </c>
      <c r="BR176">
        <v>0</v>
      </c>
      <c r="BS176">
        <v>34.75</v>
      </c>
      <c r="BT176">
        <v>1</v>
      </c>
      <c r="BU176">
        <v>1</v>
      </c>
      <c r="BV176">
        <v>1</v>
      </c>
      <c r="BW176">
        <v>1</v>
      </c>
      <c r="BX176">
        <v>1</v>
      </c>
      <c r="BY176" t="s">
        <v>3</v>
      </c>
      <c r="BZ176">
        <v>105</v>
      </c>
      <c r="CA176">
        <v>65</v>
      </c>
      <c r="CB176" t="s">
        <v>3</v>
      </c>
      <c r="CE176">
        <v>0</v>
      </c>
      <c r="CF176">
        <v>0</v>
      </c>
      <c r="CG176">
        <v>0</v>
      </c>
      <c r="CM176">
        <v>0</v>
      </c>
      <c r="CN176" t="s">
        <v>680</v>
      </c>
      <c r="CO176">
        <v>0</v>
      </c>
      <c r="CP176">
        <f t="shared" si="177"/>
        <v>32380</v>
      </c>
      <c r="CQ176">
        <f t="shared" si="178"/>
        <v>797463.09909999988</v>
      </c>
      <c r="CR176">
        <f t="shared" si="179"/>
        <v>49291.360949999995</v>
      </c>
      <c r="CS176">
        <f t="shared" si="180"/>
        <v>11195.494375</v>
      </c>
      <c r="CT176">
        <f t="shared" si="181"/>
        <v>502405.15318750002</v>
      </c>
      <c r="CU176">
        <f t="shared" si="182"/>
        <v>0</v>
      </c>
      <c r="CV176">
        <f t="shared" si="183"/>
        <v>1844.0939999999998</v>
      </c>
      <c r="CW176">
        <f t="shared" si="184"/>
        <v>25.630624999999995</v>
      </c>
      <c r="CX176">
        <f t="shared" si="185"/>
        <v>0</v>
      </c>
      <c r="CY176">
        <f t="shared" si="186"/>
        <v>12943.35</v>
      </c>
      <c r="CZ176">
        <f t="shared" si="187"/>
        <v>8012.55</v>
      </c>
      <c r="DC176" t="s">
        <v>3</v>
      </c>
      <c r="DD176" t="s">
        <v>3</v>
      </c>
      <c r="DE176" t="s">
        <v>170</v>
      </c>
      <c r="DF176" t="s">
        <v>170</v>
      </c>
      <c r="DG176" t="s">
        <v>218</v>
      </c>
      <c r="DH176" t="s">
        <v>3</v>
      </c>
      <c r="DI176" t="s">
        <v>218</v>
      </c>
      <c r="DJ176" t="s">
        <v>170</v>
      </c>
      <c r="DK176" t="s">
        <v>3</v>
      </c>
      <c r="DL176" t="s">
        <v>3</v>
      </c>
      <c r="DM176" t="s">
        <v>3</v>
      </c>
      <c r="DN176">
        <v>0</v>
      </c>
      <c r="DO176">
        <v>0</v>
      </c>
      <c r="DP176">
        <v>1</v>
      </c>
      <c r="DQ176">
        <v>1</v>
      </c>
      <c r="DU176">
        <v>1013</v>
      </c>
      <c r="DV176" t="s">
        <v>177</v>
      </c>
      <c r="DW176" t="s">
        <v>177</v>
      </c>
      <c r="DX176">
        <v>1</v>
      </c>
      <c r="DZ176" t="s">
        <v>3</v>
      </c>
      <c r="EA176" t="s">
        <v>3</v>
      </c>
      <c r="EB176" t="s">
        <v>3</v>
      </c>
      <c r="EC176" t="s">
        <v>3</v>
      </c>
      <c r="EE176">
        <v>42475896</v>
      </c>
      <c r="EF176">
        <v>2</v>
      </c>
      <c r="EG176" t="s">
        <v>22</v>
      </c>
      <c r="EH176">
        <v>0</v>
      </c>
      <c r="EI176" t="s">
        <v>3</v>
      </c>
      <c r="EJ176">
        <v>1</v>
      </c>
      <c r="EK176">
        <v>6001</v>
      </c>
      <c r="EL176" t="s">
        <v>179</v>
      </c>
      <c r="EM176" t="s">
        <v>180</v>
      </c>
      <c r="EO176" t="s">
        <v>173</v>
      </c>
      <c r="EQ176">
        <v>0</v>
      </c>
      <c r="ER176">
        <v>100948.8</v>
      </c>
      <c r="ES176">
        <v>96195.79</v>
      </c>
      <c r="ET176">
        <v>2566.59</v>
      </c>
      <c r="EU176">
        <v>224.12</v>
      </c>
      <c r="EV176">
        <v>2186.42</v>
      </c>
      <c r="EW176">
        <v>278.88</v>
      </c>
      <c r="EX176">
        <v>17.829999999999998</v>
      </c>
      <c r="EY176">
        <v>0</v>
      </c>
      <c r="FQ176">
        <v>0</v>
      </c>
      <c r="FR176">
        <f t="shared" si="188"/>
        <v>0</v>
      </c>
      <c r="FS176">
        <v>0</v>
      </c>
      <c r="FX176">
        <v>105</v>
      </c>
      <c r="FY176">
        <v>65</v>
      </c>
      <c r="GA176" t="s">
        <v>3</v>
      </c>
      <c r="GD176">
        <v>1</v>
      </c>
      <c r="GF176">
        <v>1286361077</v>
      </c>
      <c r="GG176">
        <v>2</v>
      </c>
      <c r="GH176">
        <v>1</v>
      </c>
      <c r="GI176">
        <v>4</v>
      </c>
      <c r="GJ176">
        <v>0</v>
      </c>
      <c r="GK176">
        <v>0</v>
      </c>
      <c r="GL176">
        <f t="shared" si="189"/>
        <v>0</v>
      </c>
      <c r="GM176">
        <f t="shared" si="190"/>
        <v>53336</v>
      </c>
      <c r="GN176">
        <f t="shared" si="191"/>
        <v>53336</v>
      </c>
      <c r="GO176">
        <f t="shared" si="192"/>
        <v>0</v>
      </c>
      <c r="GP176">
        <f t="shared" si="193"/>
        <v>0</v>
      </c>
      <c r="GR176">
        <v>0</v>
      </c>
      <c r="GS176">
        <v>3</v>
      </c>
      <c r="GT176">
        <v>0</v>
      </c>
      <c r="GU176" t="s">
        <v>3</v>
      </c>
      <c r="GV176">
        <f t="shared" si="194"/>
        <v>0</v>
      </c>
      <c r="GW176">
        <v>1</v>
      </c>
      <c r="GX176">
        <f t="shared" si="195"/>
        <v>0</v>
      </c>
      <c r="HA176">
        <v>0</v>
      </c>
      <c r="HB176">
        <v>0</v>
      </c>
      <c r="HC176">
        <f t="shared" si="196"/>
        <v>0</v>
      </c>
      <c r="HE176" t="s">
        <v>3</v>
      </c>
      <c r="HF176" t="s">
        <v>3</v>
      </c>
      <c r="HM176" t="s">
        <v>3</v>
      </c>
      <c r="HN176" t="s">
        <v>3</v>
      </c>
      <c r="HO176" t="s">
        <v>3</v>
      </c>
      <c r="HP176" t="s">
        <v>3</v>
      </c>
      <c r="HQ176" t="s">
        <v>3</v>
      </c>
      <c r="IK176">
        <v>0</v>
      </c>
    </row>
    <row r="177" spans="1:245" x14ac:dyDescent="0.2">
      <c r="A177">
        <v>18</v>
      </c>
      <c r="B177">
        <v>1</v>
      </c>
      <c r="C177">
        <v>160</v>
      </c>
      <c r="E177" t="s">
        <v>219</v>
      </c>
      <c r="F177" t="s">
        <v>182</v>
      </c>
      <c r="G177" t="s">
        <v>183</v>
      </c>
      <c r="H177" t="s">
        <v>184</v>
      </c>
      <c r="I177">
        <f>I176*J177</f>
        <v>-7.6800000000000007E-2</v>
      </c>
      <c r="J177">
        <v>-3.2</v>
      </c>
      <c r="K177">
        <v>-3.2</v>
      </c>
      <c r="O177">
        <f t="shared" si="162"/>
        <v>-3448</v>
      </c>
      <c r="P177">
        <f t="shared" si="163"/>
        <v>-3448</v>
      </c>
      <c r="Q177">
        <f t="shared" si="164"/>
        <v>0</v>
      </c>
      <c r="R177">
        <f t="shared" si="165"/>
        <v>0</v>
      </c>
      <c r="S177">
        <f t="shared" si="166"/>
        <v>0</v>
      </c>
      <c r="T177">
        <f t="shared" si="167"/>
        <v>0</v>
      </c>
      <c r="U177">
        <f t="shared" si="168"/>
        <v>0</v>
      </c>
      <c r="V177">
        <f t="shared" si="169"/>
        <v>0</v>
      </c>
      <c r="W177">
        <f t="shared" si="170"/>
        <v>0</v>
      </c>
      <c r="X177">
        <f t="shared" si="171"/>
        <v>0</v>
      </c>
      <c r="Y177">
        <f t="shared" si="172"/>
        <v>0</v>
      </c>
      <c r="AA177">
        <v>46416371</v>
      </c>
      <c r="AB177">
        <f t="shared" si="173"/>
        <v>5416.2</v>
      </c>
      <c r="AC177">
        <f t="shared" si="174"/>
        <v>5416.2</v>
      </c>
      <c r="AD177">
        <f>ROUND((((ET177)-(EU177))+AE177),6)</f>
        <v>0</v>
      </c>
      <c r="AE177">
        <f t="shared" ref="AE177:AF181" si="197">ROUND((EU177),6)</f>
        <v>0</v>
      </c>
      <c r="AF177">
        <f t="shared" si="197"/>
        <v>0</v>
      </c>
      <c r="AG177">
        <f t="shared" si="175"/>
        <v>0</v>
      </c>
      <c r="AH177">
        <f t="shared" ref="AH177:AI181" si="198">(EW177)</f>
        <v>0</v>
      </c>
      <c r="AI177">
        <f t="shared" si="198"/>
        <v>0</v>
      </c>
      <c r="AJ177">
        <f t="shared" si="176"/>
        <v>0</v>
      </c>
      <c r="AK177">
        <v>5416.2</v>
      </c>
      <c r="AL177">
        <v>5416.2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1</v>
      </c>
      <c r="AW177">
        <v>1</v>
      </c>
      <c r="AZ177">
        <v>1</v>
      </c>
      <c r="BA177">
        <v>1</v>
      </c>
      <c r="BB177">
        <v>1</v>
      </c>
      <c r="BC177">
        <v>8.2899999999999991</v>
      </c>
      <c r="BD177" t="s">
        <v>3</v>
      </c>
      <c r="BE177" t="s">
        <v>3</v>
      </c>
      <c r="BF177" t="s">
        <v>3</v>
      </c>
      <c r="BG177" t="s">
        <v>3</v>
      </c>
      <c r="BH177">
        <v>3</v>
      </c>
      <c r="BI177">
        <v>1</v>
      </c>
      <c r="BJ177" t="s">
        <v>185</v>
      </c>
      <c r="BM177">
        <v>500001</v>
      </c>
      <c r="BN177">
        <v>0</v>
      </c>
      <c r="BO177" t="s">
        <v>3</v>
      </c>
      <c r="BP177">
        <v>0</v>
      </c>
      <c r="BQ177">
        <v>8</v>
      </c>
      <c r="BR177">
        <v>1</v>
      </c>
      <c r="BS177">
        <v>1</v>
      </c>
      <c r="BT177">
        <v>1</v>
      </c>
      <c r="BU177">
        <v>1</v>
      </c>
      <c r="BV177">
        <v>1</v>
      </c>
      <c r="BW177">
        <v>1</v>
      </c>
      <c r="BX177">
        <v>1</v>
      </c>
      <c r="BY177" t="s">
        <v>3</v>
      </c>
      <c r="BZ177">
        <v>0</v>
      </c>
      <c r="CA177">
        <v>0</v>
      </c>
      <c r="CB177" t="s">
        <v>3</v>
      </c>
      <c r="CE177">
        <v>0</v>
      </c>
      <c r="CF177">
        <v>0</v>
      </c>
      <c r="CG177">
        <v>0</v>
      </c>
      <c r="CM177">
        <v>0</v>
      </c>
      <c r="CN177" t="s">
        <v>3</v>
      </c>
      <c r="CO177">
        <v>0</v>
      </c>
      <c r="CP177">
        <f t="shared" si="177"/>
        <v>-3448</v>
      </c>
      <c r="CQ177">
        <f t="shared" si="178"/>
        <v>44900.297999999995</v>
      </c>
      <c r="CR177">
        <f t="shared" si="179"/>
        <v>0</v>
      </c>
      <c r="CS177">
        <f t="shared" si="180"/>
        <v>0</v>
      </c>
      <c r="CT177">
        <f t="shared" si="181"/>
        <v>0</v>
      </c>
      <c r="CU177">
        <f t="shared" si="182"/>
        <v>0</v>
      </c>
      <c r="CV177">
        <f t="shared" si="183"/>
        <v>0</v>
      </c>
      <c r="CW177">
        <f t="shared" si="184"/>
        <v>0</v>
      </c>
      <c r="CX177">
        <f t="shared" si="185"/>
        <v>0</v>
      </c>
      <c r="CY177">
        <f t="shared" si="186"/>
        <v>0</v>
      </c>
      <c r="CZ177">
        <f t="shared" si="187"/>
        <v>0</v>
      </c>
      <c r="DC177" t="s">
        <v>3</v>
      </c>
      <c r="DD177" t="s">
        <v>3</v>
      </c>
      <c r="DE177" t="s">
        <v>3</v>
      </c>
      <c r="DF177" t="s">
        <v>3</v>
      </c>
      <c r="DG177" t="s">
        <v>3</v>
      </c>
      <c r="DH177" t="s">
        <v>3</v>
      </c>
      <c r="DI177" t="s">
        <v>3</v>
      </c>
      <c r="DJ177" t="s">
        <v>3</v>
      </c>
      <c r="DK177" t="s">
        <v>3</v>
      </c>
      <c r="DL177" t="s">
        <v>3</v>
      </c>
      <c r="DM177" t="s">
        <v>3</v>
      </c>
      <c r="DN177">
        <v>0</v>
      </c>
      <c r="DO177">
        <v>0</v>
      </c>
      <c r="DP177">
        <v>1</v>
      </c>
      <c r="DQ177">
        <v>1</v>
      </c>
      <c r="DU177">
        <v>1009</v>
      </c>
      <c r="DV177" t="s">
        <v>184</v>
      </c>
      <c r="DW177" t="s">
        <v>184</v>
      </c>
      <c r="DX177">
        <v>1000</v>
      </c>
      <c r="DZ177" t="s">
        <v>3</v>
      </c>
      <c r="EA177" t="s">
        <v>3</v>
      </c>
      <c r="EB177" t="s">
        <v>3</v>
      </c>
      <c r="EC177" t="s">
        <v>3</v>
      </c>
      <c r="EE177">
        <v>42475842</v>
      </c>
      <c r="EF177">
        <v>8</v>
      </c>
      <c r="EG177" t="s">
        <v>141</v>
      </c>
      <c r="EH177">
        <v>0</v>
      </c>
      <c r="EI177" t="s">
        <v>3</v>
      </c>
      <c r="EJ177">
        <v>1</v>
      </c>
      <c r="EK177">
        <v>500001</v>
      </c>
      <c r="EL177" t="s">
        <v>142</v>
      </c>
      <c r="EM177" t="s">
        <v>143</v>
      </c>
      <c r="EO177" t="s">
        <v>3</v>
      </c>
      <c r="EQ177">
        <v>32768</v>
      </c>
      <c r="ER177">
        <v>5416.2</v>
      </c>
      <c r="ES177">
        <v>5416.2</v>
      </c>
      <c r="ET177">
        <v>0</v>
      </c>
      <c r="EU177">
        <v>0</v>
      </c>
      <c r="EV177">
        <v>0</v>
      </c>
      <c r="EW177">
        <v>0</v>
      </c>
      <c r="EX177">
        <v>0</v>
      </c>
      <c r="FQ177">
        <v>0</v>
      </c>
      <c r="FR177">
        <f t="shared" si="188"/>
        <v>0</v>
      </c>
      <c r="FS177">
        <v>0</v>
      </c>
      <c r="FX177">
        <v>0</v>
      </c>
      <c r="FY177">
        <v>0</v>
      </c>
      <c r="GA177" t="s">
        <v>3</v>
      </c>
      <c r="GD177">
        <v>1</v>
      </c>
      <c r="GF177">
        <v>98865574</v>
      </c>
      <c r="GG177">
        <v>2</v>
      </c>
      <c r="GH177">
        <v>1</v>
      </c>
      <c r="GI177">
        <v>4</v>
      </c>
      <c r="GJ177">
        <v>0</v>
      </c>
      <c r="GK177">
        <v>0</v>
      </c>
      <c r="GL177">
        <f t="shared" si="189"/>
        <v>0</v>
      </c>
      <c r="GM177">
        <f t="shared" si="190"/>
        <v>-3448</v>
      </c>
      <c r="GN177">
        <f t="shared" si="191"/>
        <v>-3448</v>
      </c>
      <c r="GO177">
        <f t="shared" si="192"/>
        <v>0</v>
      </c>
      <c r="GP177">
        <f t="shared" si="193"/>
        <v>0</v>
      </c>
      <c r="GR177">
        <v>0</v>
      </c>
      <c r="GS177">
        <v>3</v>
      </c>
      <c r="GT177">
        <v>0</v>
      </c>
      <c r="GU177" t="s">
        <v>3</v>
      </c>
      <c r="GV177">
        <f t="shared" si="194"/>
        <v>0</v>
      </c>
      <c r="GW177">
        <v>1</v>
      </c>
      <c r="GX177">
        <f t="shared" si="195"/>
        <v>0</v>
      </c>
      <c r="HA177">
        <v>0</v>
      </c>
      <c r="HB177">
        <v>0</v>
      </c>
      <c r="HC177">
        <f t="shared" si="196"/>
        <v>0</v>
      </c>
      <c r="HE177" t="s">
        <v>3</v>
      </c>
      <c r="HF177" t="s">
        <v>3</v>
      </c>
      <c r="HM177" t="s">
        <v>3</v>
      </c>
      <c r="HN177" t="s">
        <v>3</v>
      </c>
      <c r="HO177" t="s">
        <v>3</v>
      </c>
      <c r="HP177" t="s">
        <v>3</v>
      </c>
      <c r="HQ177" t="s">
        <v>3</v>
      </c>
      <c r="IK177">
        <v>0</v>
      </c>
    </row>
    <row r="178" spans="1:245" x14ac:dyDescent="0.2">
      <c r="A178">
        <v>18</v>
      </c>
      <c r="B178">
        <v>1</v>
      </c>
      <c r="C178">
        <v>161</v>
      </c>
      <c r="E178" t="s">
        <v>220</v>
      </c>
      <c r="F178" t="s">
        <v>187</v>
      </c>
      <c r="G178" t="s">
        <v>188</v>
      </c>
      <c r="H178" t="s">
        <v>139</v>
      </c>
      <c r="I178">
        <f>I176*J178</f>
        <v>-2.4359999999999999</v>
      </c>
      <c r="J178">
        <v>-101.5</v>
      </c>
      <c r="K178">
        <v>-101.5</v>
      </c>
      <c r="O178">
        <f t="shared" si="162"/>
        <v>-15100</v>
      </c>
      <c r="P178">
        <f t="shared" si="163"/>
        <v>-15100</v>
      </c>
      <c r="Q178">
        <f t="shared" si="164"/>
        <v>0</v>
      </c>
      <c r="R178">
        <f t="shared" si="165"/>
        <v>0</v>
      </c>
      <c r="S178">
        <f t="shared" si="166"/>
        <v>0</v>
      </c>
      <c r="T178">
        <f t="shared" si="167"/>
        <v>0</v>
      </c>
      <c r="U178">
        <f t="shared" si="168"/>
        <v>0</v>
      </c>
      <c r="V178">
        <f t="shared" si="169"/>
        <v>0</v>
      </c>
      <c r="W178">
        <f t="shared" si="170"/>
        <v>0</v>
      </c>
      <c r="X178">
        <f t="shared" si="171"/>
        <v>0</v>
      </c>
      <c r="Y178">
        <f t="shared" si="172"/>
        <v>0</v>
      </c>
      <c r="AA178">
        <v>46416371</v>
      </c>
      <c r="AB178">
        <f t="shared" si="173"/>
        <v>747.74</v>
      </c>
      <c r="AC178">
        <f t="shared" si="174"/>
        <v>747.74</v>
      </c>
      <c r="AD178">
        <f>ROUND((((ET178)-(EU178))+AE178),6)</f>
        <v>0</v>
      </c>
      <c r="AE178">
        <f t="shared" si="197"/>
        <v>0</v>
      </c>
      <c r="AF178">
        <f t="shared" si="197"/>
        <v>0</v>
      </c>
      <c r="AG178">
        <f t="shared" si="175"/>
        <v>0</v>
      </c>
      <c r="AH178">
        <f t="shared" si="198"/>
        <v>0</v>
      </c>
      <c r="AI178">
        <f t="shared" si="198"/>
        <v>0</v>
      </c>
      <c r="AJ178">
        <f t="shared" si="176"/>
        <v>0</v>
      </c>
      <c r="AK178">
        <v>747.74</v>
      </c>
      <c r="AL178">
        <v>747.74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</v>
      </c>
      <c r="AW178">
        <v>1</v>
      </c>
      <c r="AZ178">
        <v>1</v>
      </c>
      <c r="BA178">
        <v>1</v>
      </c>
      <c r="BB178">
        <v>1</v>
      </c>
      <c r="BC178">
        <v>8.2899999999999991</v>
      </c>
      <c r="BD178" t="s">
        <v>3</v>
      </c>
      <c r="BE178" t="s">
        <v>3</v>
      </c>
      <c r="BF178" t="s">
        <v>3</v>
      </c>
      <c r="BG178" t="s">
        <v>3</v>
      </c>
      <c r="BH178">
        <v>3</v>
      </c>
      <c r="BI178">
        <v>1</v>
      </c>
      <c r="BJ178" t="s">
        <v>189</v>
      </c>
      <c r="BM178">
        <v>500001</v>
      </c>
      <c r="BN178">
        <v>0</v>
      </c>
      <c r="BO178" t="s">
        <v>3</v>
      </c>
      <c r="BP178">
        <v>0</v>
      </c>
      <c r="BQ178">
        <v>8</v>
      </c>
      <c r="BR178">
        <v>1</v>
      </c>
      <c r="BS178">
        <v>1</v>
      </c>
      <c r="BT178">
        <v>1</v>
      </c>
      <c r="BU178">
        <v>1</v>
      </c>
      <c r="BV178">
        <v>1</v>
      </c>
      <c r="BW178">
        <v>1</v>
      </c>
      <c r="BX178">
        <v>1</v>
      </c>
      <c r="BY178" t="s">
        <v>3</v>
      </c>
      <c r="BZ178">
        <v>0</v>
      </c>
      <c r="CA178">
        <v>0</v>
      </c>
      <c r="CB178" t="s">
        <v>3</v>
      </c>
      <c r="CE178">
        <v>0</v>
      </c>
      <c r="CF178">
        <v>0</v>
      </c>
      <c r="CG178">
        <v>0</v>
      </c>
      <c r="CM178">
        <v>0</v>
      </c>
      <c r="CN178" t="s">
        <v>3</v>
      </c>
      <c r="CO178">
        <v>0</v>
      </c>
      <c r="CP178">
        <f t="shared" si="177"/>
        <v>-15100</v>
      </c>
      <c r="CQ178">
        <f t="shared" si="178"/>
        <v>6198.7645999999995</v>
      </c>
      <c r="CR178">
        <f t="shared" si="179"/>
        <v>0</v>
      </c>
      <c r="CS178">
        <f t="shared" si="180"/>
        <v>0</v>
      </c>
      <c r="CT178">
        <f t="shared" si="181"/>
        <v>0</v>
      </c>
      <c r="CU178">
        <f t="shared" si="182"/>
        <v>0</v>
      </c>
      <c r="CV178">
        <f t="shared" si="183"/>
        <v>0</v>
      </c>
      <c r="CW178">
        <f t="shared" si="184"/>
        <v>0</v>
      </c>
      <c r="CX178">
        <f t="shared" si="185"/>
        <v>0</v>
      </c>
      <c r="CY178">
        <f t="shared" si="186"/>
        <v>0</v>
      </c>
      <c r="CZ178">
        <f t="shared" si="187"/>
        <v>0</v>
      </c>
      <c r="DC178" t="s">
        <v>3</v>
      </c>
      <c r="DD178" t="s">
        <v>3</v>
      </c>
      <c r="DE178" t="s">
        <v>3</v>
      </c>
      <c r="DF178" t="s">
        <v>3</v>
      </c>
      <c r="DG178" t="s">
        <v>3</v>
      </c>
      <c r="DH178" t="s">
        <v>3</v>
      </c>
      <c r="DI178" t="s">
        <v>3</v>
      </c>
      <c r="DJ178" t="s">
        <v>3</v>
      </c>
      <c r="DK178" t="s">
        <v>3</v>
      </c>
      <c r="DL178" t="s">
        <v>3</v>
      </c>
      <c r="DM178" t="s">
        <v>3</v>
      </c>
      <c r="DN178">
        <v>0</v>
      </c>
      <c r="DO178">
        <v>0</v>
      </c>
      <c r="DP178">
        <v>1</v>
      </c>
      <c r="DQ178">
        <v>1</v>
      </c>
      <c r="DU178">
        <v>1007</v>
      </c>
      <c r="DV178" t="s">
        <v>139</v>
      </c>
      <c r="DW178" t="s">
        <v>139</v>
      </c>
      <c r="DX178">
        <v>1</v>
      </c>
      <c r="DZ178" t="s">
        <v>3</v>
      </c>
      <c r="EA178" t="s">
        <v>3</v>
      </c>
      <c r="EB178" t="s">
        <v>3</v>
      </c>
      <c r="EC178" t="s">
        <v>3</v>
      </c>
      <c r="EE178">
        <v>42475842</v>
      </c>
      <c r="EF178">
        <v>8</v>
      </c>
      <c r="EG178" t="s">
        <v>141</v>
      </c>
      <c r="EH178">
        <v>0</v>
      </c>
      <c r="EI178" t="s">
        <v>3</v>
      </c>
      <c r="EJ178">
        <v>1</v>
      </c>
      <c r="EK178">
        <v>500001</v>
      </c>
      <c r="EL178" t="s">
        <v>142</v>
      </c>
      <c r="EM178" t="s">
        <v>143</v>
      </c>
      <c r="EO178" t="s">
        <v>3</v>
      </c>
      <c r="EQ178">
        <v>32768</v>
      </c>
      <c r="ER178">
        <v>747.74</v>
      </c>
      <c r="ES178">
        <v>747.74</v>
      </c>
      <c r="ET178">
        <v>0</v>
      </c>
      <c r="EU178">
        <v>0</v>
      </c>
      <c r="EV178">
        <v>0</v>
      </c>
      <c r="EW178">
        <v>0</v>
      </c>
      <c r="EX178">
        <v>0</v>
      </c>
      <c r="FQ178">
        <v>0</v>
      </c>
      <c r="FR178">
        <f t="shared" si="188"/>
        <v>0</v>
      </c>
      <c r="FS178">
        <v>0</v>
      </c>
      <c r="FX178">
        <v>0</v>
      </c>
      <c r="FY178">
        <v>0</v>
      </c>
      <c r="GA178" t="s">
        <v>3</v>
      </c>
      <c r="GD178">
        <v>1</v>
      </c>
      <c r="GF178">
        <v>220986734</v>
      </c>
      <c r="GG178">
        <v>2</v>
      </c>
      <c r="GH178">
        <v>1</v>
      </c>
      <c r="GI178">
        <v>4</v>
      </c>
      <c r="GJ178">
        <v>0</v>
      </c>
      <c r="GK178">
        <v>0</v>
      </c>
      <c r="GL178">
        <f t="shared" si="189"/>
        <v>0</v>
      </c>
      <c r="GM178">
        <f t="shared" si="190"/>
        <v>-15100</v>
      </c>
      <c r="GN178">
        <f t="shared" si="191"/>
        <v>-15100</v>
      </c>
      <c r="GO178">
        <f t="shared" si="192"/>
        <v>0</v>
      </c>
      <c r="GP178">
        <f t="shared" si="193"/>
        <v>0</v>
      </c>
      <c r="GR178">
        <v>0</v>
      </c>
      <c r="GS178">
        <v>3</v>
      </c>
      <c r="GT178">
        <v>0</v>
      </c>
      <c r="GU178" t="s">
        <v>3</v>
      </c>
      <c r="GV178">
        <f t="shared" si="194"/>
        <v>0</v>
      </c>
      <c r="GW178">
        <v>1</v>
      </c>
      <c r="GX178">
        <f t="shared" si="195"/>
        <v>0</v>
      </c>
      <c r="HA178">
        <v>0</v>
      </c>
      <c r="HB178">
        <v>0</v>
      </c>
      <c r="HC178">
        <f t="shared" si="196"/>
        <v>0</v>
      </c>
      <c r="HE178" t="s">
        <v>3</v>
      </c>
      <c r="HF178" t="s">
        <v>3</v>
      </c>
      <c r="HM178" t="s">
        <v>3</v>
      </c>
      <c r="HN178" t="s">
        <v>3</v>
      </c>
      <c r="HO178" t="s">
        <v>3</v>
      </c>
      <c r="HP178" t="s">
        <v>3</v>
      </c>
      <c r="HQ178" t="s">
        <v>3</v>
      </c>
      <c r="IK178">
        <v>0</v>
      </c>
    </row>
    <row r="179" spans="1:245" x14ac:dyDescent="0.2">
      <c r="A179">
        <v>18</v>
      </c>
      <c r="B179">
        <v>1</v>
      </c>
      <c r="C179">
        <v>164</v>
      </c>
      <c r="E179" t="s">
        <v>221</v>
      </c>
      <c r="F179" t="s">
        <v>145</v>
      </c>
      <c r="G179" t="s">
        <v>222</v>
      </c>
      <c r="H179" t="s">
        <v>139</v>
      </c>
      <c r="I179">
        <f>I176*J179</f>
        <v>2.4359999999999999</v>
      </c>
      <c r="J179">
        <v>101.5</v>
      </c>
      <c r="K179">
        <v>101.5</v>
      </c>
      <c r="O179">
        <f t="shared" si="162"/>
        <v>16849</v>
      </c>
      <c r="P179">
        <f t="shared" si="163"/>
        <v>16849</v>
      </c>
      <c r="Q179">
        <f t="shared" si="164"/>
        <v>0</v>
      </c>
      <c r="R179">
        <f t="shared" si="165"/>
        <v>0</v>
      </c>
      <c r="S179">
        <f t="shared" si="166"/>
        <v>0</v>
      </c>
      <c r="T179">
        <f t="shared" si="167"/>
        <v>0</v>
      </c>
      <c r="U179">
        <f t="shared" si="168"/>
        <v>0</v>
      </c>
      <c r="V179">
        <f t="shared" si="169"/>
        <v>0</v>
      </c>
      <c r="W179">
        <f t="shared" si="170"/>
        <v>0</v>
      </c>
      <c r="X179">
        <f t="shared" si="171"/>
        <v>0</v>
      </c>
      <c r="Y179">
        <f t="shared" si="172"/>
        <v>0</v>
      </c>
      <c r="AA179">
        <v>46416371</v>
      </c>
      <c r="AB179">
        <f t="shared" si="173"/>
        <v>6916.67</v>
      </c>
      <c r="AC179">
        <f t="shared" si="174"/>
        <v>6916.67</v>
      </c>
      <c r="AD179">
        <f>ROUND((((ET179)-(EU179))+AE179),6)</f>
        <v>0</v>
      </c>
      <c r="AE179">
        <f t="shared" si="197"/>
        <v>0</v>
      </c>
      <c r="AF179">
        <f t="shared" si="197"/>
        <v>0</v>
      </c>
      <c r="AG179">
        <f t="shared" si="175"/>
        <v>0</v>
      </c>
      <c r="AH179">
        <f t="shared" si="198"/>
        <v>0</v>
      </c>
      <c r="AI179">
        <f t="shared" si="198"/>
        <v>0</v>
      </c>
      <c r="AJ179">
        <f t="shared" si="176"/>
        <v>0</v>
      </c>
      <c r="AK179">
        <v>6916.67</v>
      </c>
      <c r="AL179">
        <v>6916.67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1</v>
      </c>
      <c r="AW179">
        <v>1</v>
      </c>
      <c r="AZ179">
        <v>1</v>
      </c>
      <c r="BA179">
        <v>1</v>
      </c>
      <c r="BB179">
        <v>1</v>
      </c>
      <c r="BC179">
        <v>1</v>
      </c>
      <c r="BD179" t="s">
        <v>3</v>
      </c>
      <c r="BE179" t="s">
        <v>3</v>
      </c>
      <c r="BF179" t="s">
        <v>3</v>
      </c>
      <c r="BG179" t="s">
        <v>3</v>
      </c>
      <c r="BH179">
        <v>3</v>
      </c>
      <c r="BI179">
        <v>4</v>
      </c>
      <c r="BJ179" t="s">
        <v>3</v>
      </c>
      <c r="BM179">
        <v>0</v>
      </c>
      <c r="BN179">
        <v>0</v>
      </c>
      <c r="BO179" t="s">
        <v>3</v>
      </c>
      <c r="BP179">
        <v>0</v>
      </c>
      <c r="BQ179">
        <v>16</v>
      </c>
      <c r="BR179">
        <v>0</v>
      </c>
      <c r="BS179">
        <v>1</v>
      </c>
      <c r="BT179">
        <v>1</v>
      </c>
      <c r="BU179">
        <v>1</v>
      </c>
      <c r="BV179">
        <v>1</v>
      </c>
      <c r="BW179">
        <v>1</v>
      </c>
      <c r="BX179">
        <v>1</v>
      </c>
      <c r="BY179" t="s">
        <v>3</v>
      </c>
      <c r="BZ179">
        <v>0</v>
      </c>
      <c r="CA179">
        <v>0</v>
      </c>
      <c r="CB179" t="s">
        <v>3</v>
      </c>
      <c r="CE179">
        <v>0</v>
      </c>
      <c r="CF179">
        <v>0</v>
      </c>
      <c r="CG179">
        <v>0</v>
      </c>
      <c r="CM179">
        <v>0</v>
      </c>
      <c r="CN179" t="s">
        <v>3</v>
      </c>
      <c r="CO179">
        <v>0</v>
      </c>
      <c r="CP179">
        <f t="shared" si="177"/>
        <v>16849</v>
      </c>
      <c r="CQ179">
        <f t="shared" si="178"/>
        <v>6916.67</v>
      </c>
      <c r="CR179">
        <f t="shared" si="179"/>
        <v>0</v>
      </c>
      <c r="CS179">
        <f t="shared" si="180"/>
        <v>0</v>
      </c>
      <c r="CT179">
        <f t="shared" si="181"/>
        <v>0</v>
      </c>
      <c r="CU179">
        <f t="shared" si="182"/>
        <v>0</v>
      </c>
      <c r="CV179">
        <f t="shared" si="183"/>
        <v>0</v>
      </c>
      <c r="CW179">
        <f t="shared" si="184"/>
        <v>0</v>
      </c>
      <c r="CX179">
        <f t="shared" si="185"/>
        <v>0</v>
      </c>
      <c r="CY179">
        <f t="shared" si="186"/>
        <v>0</v>
      </c>
      <c r="CZ179">
        <f t="shared" si="187"/>
        <v>0</v>
      </c>
      <c r="DC179" t="s">
        <v>3</v>
      </c>
      <c r="DD179" t="s">
        <v>3</v>
      </c>
      <c r="DE179" t="s">
        <v>3</v>
      </c>
      <c r="DF179" t="s">
        <v>3</v>
      </c>
      <c r="DG179" t="s">
        <v>3</v>
      </c>
      <c r="DH179" t="s">
        <v>3</v>
      </c>
      <c r="DI179" t="s">
        <v>3</v>
      </c>
      <c r="DJ179" t="s">
        <v>3</v>
      </c>
      <c r="DK179" t="s">
        <v>3</v>
      </c>
      <c r="DL179" t="s">
        <v>3</v>
      </c>
      <c r="DM179" t="s">
        <v>3</v>
      </c>
      <c r="DN179">
        <v>0</v>
      </c>
      <c r="DO179">
        <v>0</v>
      </c>
      <c r="DP179">
        <v>1</v>
      </c>
      <c r="DQ179">
        <v>1</v>
      </c>
      <c r="DU179">
        <v>1007</v>
      </c>
      <c r="DV179" t="s">
        <v>139</v>
      </c>
      <c r="DW179" t="s">
        <v>139</v>
      </c>
      <c r="DX179">
        <v>1</v>
      </c>
      <c r="DZ179" t="s">
        <v>3</v>
      </c>
      <c r="EA179" t="s">
        <v>3</v>
      </c>
      <c r="EB179" t="s">
        <v>3</v>
      </c>
      <c r="EC179" t="s">
        <v>3</v>
      </c>
      <c r="EE179">
        <v>42475850</v>
      </c>
      <c r="EF179">
        <v>16</v>
      </c>
      <c r="EG179" t="s">
        <v>147</v>
      </c>
      <c r="EH179">
        <v>0</v>
      </c>
      <c r="EI179" t="s">
        <v>3</v>
      </c>
      <c r="EJ179">
        <v>4</v>
      </c>
      <c r="EK179">
        <v>0</v>
      </c>
      <c r="EL179" t="s">
        <v>148</v>
      </c>
      <c r="EM179" t="s">
        <v>149</v>
      </c>
      <c r="EO179" t="s">
        <v>3</v>
      </c>
      <c r="EQ179">
        <v>0</v>
      </c>
      <c r="ER179">
        <v>6916.67</v>
      </c>
      <c r="ES179">
        <v>6916.67</v>
      </c>
      <c r="ET179">
        <v>0</v>
      </c>
      <c r="EU179">
        <v>0</v>
      </c>
      <c r="EV179">
        <v>0</v>
      </c>
      <c r="EW179">
        <v>0</v>
      </c>
      <c r="EX179">
        <v>0</v>
      </c>
      <c r="EZ179">
        <v>5</v>
      </c>
      <c r="FC179">
        <v>1</v>
      </c>
      <c r="FD179">
        <v>18</v>
      </c>
      <c r="FF179">
        <v>8300</v>
      </c>
      <c r="FQ179">
        <v>0</v>
      </c>
      <c r="FR179">
        <f t="shared" si="188"/>
        <v>0</v>
      </c>
      <c r="FS179">
        <v>0</v>
      </c>
      <c r="FX179">
        <v>0</v>
      </c>
      <c r="FY179">
        <v>0</v>
      </c>
      <c r="GA179" t="s">
        <v>223</v>
      </c>
      <c r="GD179">
        <v>1</v>
      </c>
      <c r="GF179">
        <v>-1820838541</v>
      </c>
      <c r="GG179">
        <v>2</v>
      </c>
      <c r="GH179">
        <v>3</v>
      </c>
      <c r="GI179">
        <v>4</v>
      </c>
      <c r="GJ179">
        <v>0</v>
      </c>
      <c r="GK179">
        <v>0</v>
      </c>
      <c r="GL179">
        <f t="shared" si="189"/>
        <v>0</v>
      </c>
      <c r="GM179">
        <f t="shared" si="190"/>
        <v>16849</v>
      </c>
      <c r="GN179">
        <f t="shared" si="191"/>
        <v>0</v>
      </c>
      <c r="GO179">
        <f t="shared" si="192"/>
        <v>0</v>
      </c>
      <c r="GP179">
        <f t="shared" si="193"/>
        <v>16849</v>
      </c>
      <c r="GR179">
        <v>1</v>
      </c>
      <c r="GS179">
        <v>1</v>
      </c>
      <c r="GT179">
        <v>0</v>
      </c>
      <c r="GU179" t="s">
        <v>3</v>
      </c>
      <c r="GV179">
        <f t="shared" si="194"/>
        <v>0</v>
      </c>
      <c r="GW179">
        <v>1</v>
      </c>
      <c r="GX179">
        <f t="shared" si="195"/>
        <v>0</v>
      </c>
      <c r="HA179">
        <v>0</v>
      </c>
      <c r="HB179">
        <v>0</v>
      </c>
      <c r="HC179">
        <f t="shared" si="196"/>
        <v>0</v>
      </c>
      <c r="HE179" t="s">
        <v>151</v>
      </c>
      <c r="HF179" t="s">
        <v>151</v>
      </c>
      <c r="HM179" t="s">
        <v>3</v>
      </c>
      <c r="HN179" t="s">
        <v>3</v>
      </c>
      <c r="HO179" t="s">
        <v>3</v>
      </c>
      <c r="HP179" t="s">
        <v>3</v>
      </c>
      <c r="HQ179" t="s">
        <v>3</v>
      </c>
      <c r="IK179">
        <v>0</v>
      </c>
    </row>
    <row r="180" spans="1:245" x14ac:dyDescent="0.2">
      <c r="A180">
        <v>18</v>
      </c>
      <c r="B180">
        <v>1</v>
      </c>
      <c r="C180">
        <v>165</v>
      </c>
      <c r="E180" t="s">
        <v>224</v>
      </c>
      <c r="F180" t="s">
        <v>145</v>
      </c>
      <c r="G180" t="s">
        <v>183</v>
      </c>
      <c r="H180" t="s">
        <v>184</v>
      </c>
      <c r="I180">
        <f>I176*J180</f>
        <v>1.7599999999999998E-2</v>
      </c>
      <c r="J180">
        <v>0.73333333333333328</v>
      </c>
      <c r="K180">
        <v>0.73333300000000001</v>
      </c>
      <c r="O180">
        <f t="shared" si="162"/>
        <v>1027</v>
      </c>
      <c r="P180">
        <f t="shared" si="163"/>
        <v>1027</v>
      </c>
      <c r="Q180">
        <f t="shared" si="164"/>
        <v>0</v>
      </c>
      <c r="R180">
        <f t="shared" si="165"/>
        <v>0</v>
      </c>
      <c r="S180">
        <f t="shared" si="166"/>
        <v>0</v>
      </c>
      <c r="T180">
        <f t="shared" si="167"/>
        <v>0</v>
      </c>
      <c r="U180">
        <f t="shared" si="168"/>
        <v>0</v>
      </c>
      <c r="V180">
        <f t="shared" si="169"/>
        <v>0</v>
      </c>
      <c r="W180">
        <f t="shared" si="170"/>
        <v>0</v>
      </c>
      <c r="X180">
        <f t="shared" si="171"/>
        <v>0</v>
      </c>
      <c r="Y180">
        <f t="shared" si="172"/>
        <v>0</v>
      </c>
      <c r="AA180">
        <v>46416371</v>
      </c>
      <c r="AB180">
        <f t="shared" si="173"/>
        <v>58333.33</v>
      </c>
      <c r="AC180">
        <f t="shared" si="174"/>
        <v>58333.33</v>
      </c>
      <c r="AD180">
        <f>ROUND((((ET180)-(EU180))+AE180),6)</f>
        <v>0</v>
      </c>
      <c r="AE180">
        <f t="shared" si="197"/>
        <v>0</v>
      </c>
      <c r="AF180">
        <f t="shared" si="197"/>
        <v>0</v>
      </c>
      <c r="AG180">
        <f t="shared" si="175"/>
        <v>0</v>
      </c>
      <c r="AH180">
        <f t="shared" si="198"/>
        <v>0</v>
      </c>
      <c r="AI180">
        <f t="shared" si="198"/>
        <v>0</v>
      </c>
      <c r="AJ180">
        <f t="shared" si="176"/>
        <v>0</v>
      </c>
      <c r="AK180">
        <v>58333.33</v>
      </c>
      <c r="AL180">
        <v>58333.33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1</v>
      </c>
      <c r="AW180">
        <v>1</v>
      </c>
      <c r="AZ180">
        <v>1</v>
      </c>
      <c r="BA180">
        <v>1</v>
      </c>
      <c r="BB180">
        <v>1</v>
      </c>
      <c r="BC180">
        <v>1</v>
      </c>
      <c r="BD180" t="s">
        <v>3</v>
      </c>
      <c r="BE180" t="s">
        <v>3</v>
      </c>
      <c r="BF180" t="s">
        <v>3</v>
      </c>
      <c r="BG180" t="s">
        <v>3</v>
      </c>
      <c r="BH180">
        <v>3</v>
      </c>
      <c r="BI180">
        <v>4</v>
      </c>
      <c r="BJ180" t="s">
        <v>3</v>
      </c>
      <c r="BM180">
        <v>0</v>
      </c>
      <c r="BN180">
        <v>0</v>
      </c>
      <c r="BO180" t="s">
        <v>3</v>
      </c>
      <c r="BP180">
        <v>0</v>
      </c>
      <c r="BQ180">
        <v>16</v>
      </c>
      <c r="BR180">
        <v>0</v>
      </c>
      <c r="BS180">
        <v>1</v>
      </c>
      <c r="BT180">
        <v>1</v>
      </c>
      <c r="BU180">
        <v>1</v>
      </c>
      <c r="BV180">
        <v>1</v>
      </c>
      <c r="BW180">
        <v>1</v>
      </c>
      <c r="BX180">
        <v>1</v>
      </c>
      <c r="BY180" t="s">
        <v>3</v>
      </c>
      <c r="BZ180">
        <v>0</v>
      </c>
      <c r="CA180">
        <v>0</v>
      </c>
      <c r="CB180" t="s">
        <v>3</v>
      </c>
      <c r="CE180">
        <v>0</v>
      </c>
      <c r="CF180">
        <v>0</v>
      </c>
      <c r="CG180">
        <v>0</v>
      </c>
      <c r="CM180">
        <v>0</v>
      </c>
      <c r="CN180" t="s">
        <v>3</v>
      </c>
      <c r="CO180">
        <v>0</v>
      </c>
      <c r="CP180">
        <f t="shared" si="177"/>
        <v>1027</v>
      </c>
      <c r="CQ180">
        <f t="shared" si="178"/>
        <v>58333.33</v>
      </c>
      <c r="CR180">
        <f t="shared" si="179"/>
        <v>0</v>
      </c>
      <c r="CS180">
        <f t="shared" si="180"/>
        <v>0</v>
      </c>
      <c r="CT180">
        <f t="shared" si="181"/>
        <v>0</v>
      </c>
      <c r="CU180">
        <f t="shared" si="182"/>
        <v>0</v>
      </c>
      <c r="CV180">
        <f t="shared" si="183"/>
        <v>0</v>
      </c>
      <c r="CW180">
        <f t="shared" si="184"/>
        <v>0</v>
      </c>
      <c r="CX180">
        <f t="shared" si="185"/>
        <v>0</v>
      </c>
      <c r="CY180">
        <f t="shared" si="186"/>
        <v>0</v>
      </c>
      <c r="CZ180">
        <f t="shared" si="187"/>
        <v>0</v>
      </c>
      <c r="DC180" t="s">
        <v>3</v>
      </c>
      <c r="DD180" t="s">
        <v>3</v>
      </c>
      <c r="DE180" t="s">
        <v>3</v>
      </c>
      <c r="DF180" t="s">
        <v>3</v>
      </c>
      <c r="DG180" t="s">
        <v>3</v>
      </c>
      <c r="DH180" t="s">
        <v>3</v>
      </c>
      <c r="DI180" t="s">
        <v>3</v>
      </c>
      <c r="DJ180" t="s">
        <v>3</v>
      </c>
      <c r="DK180" t="s">
        <v>3</v>
      </c>
      <c r="DL180" t="s">
        <v>3</v>
      </c>
      <c r="DM180" t="s">
        <v>3</v>
      </c>
      <c r="DN180">
        <v>0</v>
      </c>
      <c r="DO180">
        <v>0</v>
      </c>
      <c r="DP180">
        <v>1</v>
      </c>
      <c r="DQ180">
        <v>1</v>
      </c>
      <c r="DU180">
        <v>1009</v>
      </c>
      <c r="DV180" t="s">
        <v>184</v>
      </c>
      <c r="DW180" t="s">
        <v>184</v>
      </c>
      <c r="DX180">
        <v>1000</v>
      </c>
      <c r="DZ180" t="s">
        <v>3</v>
      </c>
      <c r="EA180" t="s">
        <v>3</v>
      </c>
      <c r="EB180" t="s">
        <v>3</v>
      </c>
      <c r="EC180" t="s">
        <v>3</v>
      </c>
      <c r="EE180">
        <v>42475850</v>
      </c>
      <c r="EF180">
        <v>16</v>
      </c>
      <c r="EG180" t="s">
        <v>147</v>
      </c>
      <c r="EH180">
        <v>0</v>
      </c>
      <c r="EI180" t="s">
        <v>3</v>
      </c>
      <c r="EJ180">
        <v>4</v>
      </c>
      <c r="EK180">
        <v>0</v>
      </c>
      <c r="EL180" t="s">
        <v>148</v>
      </c>
      <c r="EM180" t="s">
        <v>149</v>
      </c>
      <c r="EO180" t="s">
        <v>3</v>
      </c>
      <c r="EQ180">
        <v>0</v>
      </c>
      <c r="ER180">
        <v>58333.33</v>
      </c>
      <c r="ES180">
        <v>58333.33</v>
      </c>
      <c r="ET180">
        <v>0</v>
      </c>
      <c r="EU180">
        <v>0</v>
      </c>
      <c r="EV180">
        <v>0</v>
      </c>
      <c r="EW180">
        <v>0</v>
      </c>
      <c r="EX180">
        <v>0</v>
      </c>
      <c r="EZ180">
        <v>5</v>
      </c>
      <c r="FC180">
        <v>1</v>
      </c>
      <c r="FD180">
        <v>18</v>
      </c>
      <c r="FF180">
        <v>70000</v>
      </c>
      <c r="FQ180">
        <v>0</v>
      </c>
      <c r="FR180">
        <f t="shared" si="188"/>
        <v>0</v>
      </c>
      <c r="FS180">
        <v>0</v>
      </c>
      <c r="FX180">
        <v>0</v>
      </c>
      <c r="FY180">
        <v>0</v>
      </c>
      <c r="GA180" t="s">
        <v>225</v>
      </c>
      <c r="GD180">
        <v>1</v>
      </c>
      <c r="GF180">
        <v>511527928</v>
      </c>
      <c r="GG180">
        <v>2</v>
      </c>
      <c r="GH180">
        <v>3</v>
      </c>
      <c r="GI180">
        <v>4</v>
      </c>
      <c r="GJ180">
        <v>0</v>
      </c>
      <c r="GK180">
        <v>0</v>
      </c>
      <c r="GL180">
        <f t="shared" si="189"/>
        <v>0</v>
      </c>
      <c r="GM180">
        <f t="shared" si="190"/>
        <v>1027</v>
      </c>
      <c r="GN180">
        <f t="shared" si="191"/>
        <v>0</v>
      </c>
      <c r="GO180">
        <f t="shared" si="192"/>
        <v>0</v>
      </c>
      <c r="GP180">
        <f t="shared" si="193"/>
        <v>1027</v>
      </c>
      <c r="GR180">
        <v>1</v>
      </c>
      <c r="GS180">
        <v>1</v>
      </c>
      <c r="GT180">
        <v>0</v>
      </c>
      <c r="GU180" t="s">
        <v>3</v>
      </c>
      <c r="GV180">
        <f t="shared" si="194"/>
        <v>0</v>
      </c>
      <c r="GW180">
        <v>1</v>
      </c>
      <c r="GX180">
        <f t="shared" si="195"/>
        <v>0</v>
      </c>
      <c r="HA180">
        <v>0</v>
      </c>
      <c r="HB180">
        <v>0</v>
      </c>
      <c r="HC180">
        <f t="shared" si="196"/>
        <v>0</v>
      </c>
      <c r="HE180" t="s">
        <v>151</v>
      </c>
      <c r="HF180" t="s">
        <v>151</v>
      </c>
      <c r="HM180" t="s">
        <v>3</v>
      </c>
      <c r="HN180" t="s">
        <v>3</v>
      </c>
      <c r="HO180" t="s">
        <v>3</v>
      </c>
      <c r="HP180" t="s">
        <v>3</v>
      </c>
      <c r="HQ180" t="s">
        <v>3</v>
      </c>
      <c r="IK180">
        <v>0</v>
      </c>
    </row>
    <row r="181" spans="1:245" x14ac:dyDescent="0.2">
      <c r="A181">
        <v>18</v>
      </c>
      <c r="B181">
        <v>1</v>
      </c>
      <c r="C181">
        <v>159</v>
      </c>
      <c r="E181" t="s">
        <v>226</v>
      </c>
      <c r="F181" t="s">
        <v>196</v>
      </c>
      <c r="G181" t="s">
        <v>197</v>
      </c>
      <c r="H181" t="s">
        <v>184</v>
      </c>
      <c r="I181">
        <f>I176*J181</f>
        <v>1.7599999999999998E-2</v>
      </c>
      <c r="J181">
        <v>0.73333333333333328</v>
      </c>
      <c r="K181">
        <v>0.73333300000000001</v>
      </c>
      <c r="O181">
        <f t="shared" si="162"/>
        <v>198</v>
      </c>
      <c r="P181">
        <f t="shared" si="163"/>
        <v>198</v>
      </c>
      <c r="Q181">
        <f t="shared" si="164"/>
        <v>0</v>
      </c>
      <c r="R181">
        <f t="shared" si="165"/>
        <v>0</v>
      </c>
      <c r="S181">
        <f t="shared" si="166"/>
        <v>0</v>
      </c>
      <c r="T181">
        <f t="shared" si="167"/>
        <v>0</v>
      </c>
      <c r="U181">
        <f t="shared" si="168"/>
        <v>0</v>
      </c>
      <c r="V181">
        <f t="shared" si="169"/>
        <v>0</v>
      </c>
      <c r="W181">
        <f t="shared" si="170"/>
        <v>0</v>
      </c>
      <c r="X181">
        <f t="shared" si="171"/>
        <v>0</v>
      </c>
      <c r="Y181">
        <f t="shared" si="172"/>
        <v>0</v>
      </c>
      <c r="AA181">
        <v>46416371</v>
      </c>
      <c r="AB181">
        <f t="shared" si="173"/>
        <v>1360.33</v>
      </c>
      <c r="AC181">
        <f t="shared" si="174"/>
        <v>1360.33</v>
      </c>
      <c r="AD181">
        <f>ROUND((((ET181)-(EU181))+AE181),6)</f>
        <v>0</v>
      </c>
      <c r="AE181">
        <f t="shared" si="197"/>
        <v>0</v>
      </c>
      <c r="AF181">
        <f t="shared" si="197"/>
        <v>0</v>
      </c>
      <c r="AG181">
        <f t="shared" si="175"/>
        <v>0</v>
      </c>
      <c r="AH181">
        <f t="shared" si="198"/>
        <v>0</v>
      </c>
      <c r="AI181">
        <f t="shared" si="198"/>
        <v>0</v>
      </c>
      <c r="AJ181">
        <f t="shared" si="176"/>
        <v>0</v>
      </c>
      <c r="AK181">
        <v>1360.33</v>
      </c>
      <c r="AL181">
        <v>1360.33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1</v>
      </c>
      <c r="AW181">
        <v>1</v>
      </c>
      <c r="AZ181">
        <v>1</v>
      </c>
      <c r="BA181">
        <v>1</v>
      </c>
      <c r="BB181">
        <v>1</v>
      </c>
      <c r="BC181">
        <v>8.2899999999999991</v>
      </c>
      <c r="BD181" t="s">
        <v>3</v>
      </c>
      <c r="BE181" t="s">
        <v>3</v>
      </c>
      <c r="BF181" t="s">
        <v>3</v>
      </c>
      <c r="BG181" t="s">
        <v>3</v>
      </c>
      <c r="BH181">
        <v>3</v>
      </c>
      <c r="BI181">
        <v>1</v>
      </c>
      <c r="BJ181" t="s">
        <v>198</v>
      </c>
      <c r="BM181">
        <v>500001</v>
      </c>
      <c r="BN181">
        <v>0</v>
      </c>
      <c r="BO181" t="s">
        <v>3</v>
      </c>
      <c r="BP181">
        <v>0</v>
      </c>
      <c r="BQ181">
        <v>8</v>
      </c>
      <c r="BR181">
        <v>0</v>
      </c>
      <c r="BS181">
        <v>1</v>
      </c>
      <c r="BT181">
        <v>1</v>
      </c>
      <c r="BU181">
        <v>1</v>
      </c>
      <c r="BV181">
        <v>1</v>
      </c>
      <c r="BW181">
        <v>1</v>
      </c>
      <c r="BX181">
        <v>1</v>
      </c>
      <c r="BY181" t="s">
        <v>3</v>
      </c>
      <c r="BZ181">
        <v>0</v>
      </c>
      <c r="CA181">
        <v>0</v>
      </c>
      <c r="CB181" t="s">
        <v>3</v>
      </c>
      <c r="CE181">
        <v>0</v>
      </c>
      <c r="CF181">
        <v>0</v>
      </c>
      <c r="CG181">
        <v>0</v>
      </c>
      <c r="CM181">
        <v>0</v>
      </c>
      <c r="CN181" t="s">
        <v>3</v>
      </c>
      <c r="CO181">
        <v>0</v>
      </c>
      <c r="CP181">
        <f t="shared" si="177"/>
        <v>198</v>
      </c>
      <c r="CQ181">
        <f t="shared" si="178"/>
        <v>11277.135699999999</v>
      </c>
      <c r="CR181">
        <f t="shared" si="179"/>
        <v>0</v>
      </c>
      <c r="CS181">
        <f t="shared" si="180"/>
        <v>0</v>
      </c>
      <c r="CT181">
        <f t="shared" si="181"/>
        <v>0</v>
      </c>
      <c r="CU181">
        <f t="shared" si="182"/>
        <v>0</v>
      </c>
      <c r="CV181">
        <f t="shared" si="183"/>
        <v>0</v>
      </c>
      <c r="CW181">
        <f t="shared" si="184"/>
        <v>0</v>
      </c>
      <c r="CX181">
        <f t="shared" si="185"/>
        <v>0</v>
      </c>
      <c r="CY181">
        <f t="shared" si="186"/>
        <v>0</v>
      </c>
      <c r="CZ181">
        <f t="shared" si="187"/>
        <v>0</v>
      </c>
      <c r="DC181" t="s">
        <v>3</v>
      </c>
      <c r="DD181" t="s">
        <v>3</v>
      </c>
      <c r="DE181" t="s">
        <v>3</v>
      </c>
      <c r="DF181" t="s">
        <v>3</v>
      </c>
      <c r="DG181" t="s">
        <v>3</v>
      </c>
      <c r="DH181" t="s">
        <v>3</v>
      </c>
      <c r="DI181" t="s">
        <v>3</v>
      </c>
      <c r="DJ181" t="s">
        <v>3</v>
      </c>
      <c r="DK181" t="s">
        <v>3</v>
      </c>
      <c r="DL181" t="s">
        <v>3</v>
      </c>
      <c r="DM181" t="s">
        <v>3</v>
      </c>
      <c r="DN181">
        <v>0</v>
      </c>
      <c r="DO181">
        <v>0</v>
      </c>
      <c r="DP181">
        <v>1</v>
      </c>
      <c r="DQ181">
        <v>1</v>
      </c>
      <c r="DU181">
        <v>1009</v>
      </c>
      <c r="DV181" t="s">
        <v>184</v>
      </c>
      <c r="DW181" t="s">
        <v>184</v>
      </c>
      <c r="DX181">
        <v>1000</v>
      </c>
      <c r="DZ181" t="s">
        <v>3</v>
      </c>
      <c r="EA181" t="s">
        <v>3</v>
      </c>
      <c r="EB181" t="s">
        <v>3</v>
      </c>
      <c r="EC181" t="s">
        <v>3</v>
      </c>
      <c r="EE181">
        <v>42475842</v>
      </c>
      <c r="EF181">
        <v>8</v>
      </c>
      <c r="EG181" t="s">
        <v>141</v>
      </c>
      <c r="EH181">
        <v>0</v>
      </c>
      <c r="EI181" t="s">
        <v>3</v>
      </c>
      <c r="EJ181">
        <v>1</v>
      </c>
      <c r="EK181">
        <v>500001</v>
      </c>
      <c r="EL181" t="s">
        <v>142</v>
      </c>
      <c r="EM181" t="s">
        <v>143</v>
      </c>
      <c r="EO181" t="s">
        <v>3</v>
      </c>
      <c r="EQ181">
        <v>2097152</v>
      </c>
      <c r="ER181">
        <v>1360.33</v>
      </c>
      <c r="ES181">
        <v>1360.33</v>
      </c>
      <c r="ET181">
        <v>0</v>
      </c>
      <c r="EU181">
        <v>0</v>
      </c>
      <c r="EV181">
        <v>0</v>
      </c>
      <c r="EW181">
        <v>0</v>
      </c>
      <c r="EX181">
        <v>0</v>
      </c>
      <c r="FQ181">
        <v>0</v>
      </c>
      <c r="FR181">
        <f t="shared" si="188"/>
        <v>0</v>
      </c>
      <c r="FS181">
        <v>0</v>
      </c>
      <c r="FX181">
        <v>0</v>
      </c>
      <c r="FY181">
        <v>0</v>
      </c>
      <c r="GA181" t="s">
        <v>3</v>
      </c>
      <c r="GD181">
        <v>1</v>
      </c>
      <c r="GF181">
        <v>-922995156</v>
      </c>
      <c r="GG181">
        <v>2</v>
      </c>
      <c r="GH181">
        <v>1</v>
      </c>
      <c r="GI181">
        <v>4</v>
      </c>
      <c r="GJ181">
        <v>0</v>
      </c>
      <c r="GK181">
        <v>0</v>
      </c>
      <c r="GL181">
        <f t="shared" si="189"/>
        <v>0</v>
      </c>
      <c r="GM181">
        <f t="shared" si="190"/>
        <v>198</v>
      </c>
      <c r="GN181">
        <f t="shared" si="191"/>
        <v>198</v>
      </c>
      <c r="GO181">
        <f t="shared" si="192"/>
        <v>0</v>
      </c>
      <c r="GP181">
        <f t="shared" si="193"/>
        <v>0</v>
      </c>
      <c r="GR181">
        <v>0</v>
      </c>
      <c r="GS181">
        <v>3</v>
      </c>
      <c r="GT181">
        <v>0</v>
      </c>
      <c r="GU181" t="s">
        <v>3</v>
      </c>
      <c r="GV181">
        <f t="shared" si="194"/>
        <v>0</v>
      </c>
      <c r="GW181">
        <v>1</v>
      </c>
      <c r="GX181">
        <f t="shared" si="195"/>
        <v>0</v>
      </c>
      <c r="HA181">
        <v>0</v>
      </c>
      <c r="HB181">
        <v>0</v>
      </c>
      <c r="HC181">
        <f t="shared" si="196"/>
        <v>0</v>
      </c>
      <c r="HE181" t="s">
        <v>3</v>
      </c>
      <c r="HF181" t="s">
        <v>3</v>
      </c>
      <c r="HM181" t="s">
        <v>3</v>
      </c>
      <c r="HN181" t="s">
        <v>3</v>
      </c>
      <c r="HO181" t="s">
        <v>3</v>
      </c>
      <c r="HP181" t="s">
        <v>3</v>
      </c>
      <c r="HQ181" t="s">
        <v>3</v>
      </c>
      <c r="IK181">
        <v>0</v>
      </c>
    </row>
    <row r="183" spans="1:245" x14ac:dyDescent="0.2">
      <c r="A183" s="2">
        <v>51</v>
      </c>
      <c r="B183" s="2">
        <f>B167</f>
        <v>1</v>
      </c>
      <c r="C183" s="2">
        <f>A167</f>
        <v>5</v>
      </c>
      <c r="D183" s="2">
        <f>ROW(A167)</f>
        <v>167</v>
      </c>
      <c r="E183" s="2"/>
      <c r="F183" s="2" t="str">
        <f>IF(F167&lt;&gt;"",F167,"")</f>
        <v>Новый подраздел</v>
      </c>
      <c r="G183" s="2" t="str">
        <f>IF(G167&lt;&gt;"",G167,"")</f>
        <v>Отмостка</v>
      </c>
      <c r="H183" s="2">
        <v>0</v>
      </c>
      <c r="I183" s="2"/>
      <c r="J183" s="2"/>
      <c r="K183" s="2"/>
      <c r="L183" s="2"/>
      <c r="M183" s="2"/>
      <c r="N183" s="2"/>
      <c r="O183" s="2">
        <f t="shared" ref="O183:T183" si="199">ROUND(AB183,0)</f>
        <v>49424</v>
      </c>
      <c r="P183" s="2">
        <f t="shared" si="199"/>
        <v>29516</v>
      </c>
      <c r="Q183" s="2">
        <f t="shared" si="199"/>
        <v>3205</v>
      </c>
      <c r="R183" s="2">
        <f t="shared" si="199"/>
        <v>608</v>
      </c>
      <c r="S183" s="2">
        <f t="shared" si="199"/>
        <v>16703</v>
      </c>
      <c r="T183" s="2">
        <f t="shared" si="199"/>
        <v>0</v>
      </c>
      <c r="U183" s="2">
        <f>AH183</f>
        <v>60.914165999999994</v>
      </c>
      <c r="V183" s="2">
        <f>AI183</f>
        <v>1.652895</v>
      </c>
      <c r="W183" s="2">
        <f>ROUND(AJ183,0)</f>
        <v>0</v>
      </c>
      <c r="X183" s="2">
        <f>ROUND(AK183,0)</f>
        <v>18970</v>
      </c>
      <c r="Y183" s="2">
        <f>ROUND(AL183,0)</f>
        <v>11763</v>
      </c>
      <c r="Z183" s="2"/>
      <c r="AA183" s="2"/>
      <c r="AB183" s="2">
        <f>ROUND(SUMIF(AA171:AA181,"=46416371",O171:O181),0)</f>
        <v>49424</v>
      </c>
      <c r="AC183" s="2">
        <f>ROUND(SUMIF(AA171:AA181,"=46416371",P171:P181),0)</f>
        <v>29516</v>
      </c>
      <c r="AD183" s="2">
        <f>ROUND(SUMIF(AA171:AA181,"=46416371",Q171:Q181),0)</f>
        <v>3205</v>
      </c>
      <c r="AE183" s="2">
        <f>ROUND(SUMIF(AA171:AA181,"=46416371",R171:R181),0)</f>
        <v>608</v>
      </c>
      <c r="AF183" s="2">
        <f>ROUND(SUMIF(AA171:AA181,"=46416371",S171:S181),0)</f>
        <v>16703</v>
      </c>
      <c r="AG183" s="2">
        <f>ROUND(SUMIF(AA171:AA181,"=46416371",T171:T181),0)</f>
        <v>0</v>
      </c>
      <c r="AH183" s="2">
        <f>SUMIF(AA171:AA181,"=46416371",U171:U181)</f>
        <v>60.914165999999994</v>
      </c>
      <c r="AI183" s="2">
        <f>SUMIF(AA171:AA181,"=46416371",V171:V181)</f>
        <v>1.652895</v>
      </c>
      <c r="AJ183" s="2">
        <f>ROUND(SUMIF(AA171:AA181,"=46416371",W171:W181),0)</f>
        <v>0</v>
      </c>
      <c r="AK183" s="2">
        <f>ROUND(SUMIF(AA171:AA181,"=46416371",X171:X181),0)</f>
        <v>18970</v>
      </c>
      <c r="AL183" s="2">
        <f>ROUND(SUMIF(AA171:AA181,"=46416371",Y171:Y181),0)</f>
        <v>11763</v>
      </c>
      <c r="AM183" s="2"/>
      <c r="AN183" s="2"/>
      <c r="AO183" s="2">
        <f t="shared" ref="AO183:BD183" si="200">ROUND(BX183,0)</f>
        <v>0</v>
      </c>
      <c r="AP183" s="2">
        <f t="shared" si="200"/>
        <v>0</v>
      </c>
      <c r="AQ183" s="2">
        <f t="shared" si="200"/>
        <v>0</v>
      </c>
      <c r="AR183" s="2">
        <f t="shared" si="200"/>
        <v>80157</v>
      </c>
      <c r="AS183" s="2">
        <f t="shared" si="200"/>
        <v>59881</v>
      </c>
      <c r="AT183" s="2">
        <f t="shared" si="200"/>
        <v>0</v>
      </c>
      <c r="AU183" s="2">
        <f t="shared" si="200"/>
        <v>20276</v>
      </c>
      <c r="AV183" s="2">
        <f t="shared" si="200"/>
        <v>29516</v>
      </c>
      <c r="AW183" s="2">
        <f t="shared" si="200"/>
        <v>29516</v>
      </c>
      <c r="AX183" s="2">
        <f t="shared" si="200"/>
        <v>0</v>
      </c>
      <c r="AY183" s="2">
        <f t="shared" si="200"/>
        <v>29516</v>
      </c>
      <c r="AZ183" s="2">
        <f t="shared" si="200"/>
        <v>0</v>
      </c>
      <c r="BA183" s="2">
        <f t="shared" si="200"/>
        <v>0</v>
      </c>
      <c r="BB183" s="2">
        <f t="shared" si="200"/>
        <v>0</v>
      </c>
      <c r="BC183" s="2">
        <f t="shared" si="200"/>
        <v>0</v>
      </c>
      <c r="BD183" s="2">
        <f t="shared" si="200"/>
        <v>0</v>
      </c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>
        <f>ROUND(SUMIF(AA171:AA181,"=46416371",FQ171:FQ181),0)</f>
        <v>0</v>
      </c>
      <c r="BY183" s="2">
        <f>ROUND(SUMIF(AA171:AA181,"=46416371",FR171:FR181),0)</f>
        <v>0</v>
      </c>
      <c r="BZ183" s="2">
        <f>ROUND(SUMIF(AA171:AA181,"=46416371",GL171:GL181),0)</f>
        <v>0</v>
      </c>
      <c r="CA183" s="2">
        <f>ROUND(SUMIF(AA171:AA181,"=46416371",GM171:GM181),0)</f>
        <v>80157</v>
      </c>
      <c r="CB183" s="2">
        <f>ROUND(SUMIF(AA171:AA181,"=46416371",GN171:GN181),0)</f>
        <v>59881</v>
      </c>
      <c r="CC183" s="2">
        <f>ROUND(SUMIF(AA171:AA181,"=46416371",GO171:GO181),0)</f>
        <v>0</v>
      </c>
      <c r="CD183" s="2">
        <f>ROUND(SUMIF(AA171:AA181,"=46416371",GP171:GP181),0)</f>
        <v>20276</v>
      </c>
      <c r="CE183" s="2">
        <f>AC183-BX183</f>
        <v>29516</v>
      </c>
      <c r="CF183" s="2">
        <f>AC183-BY183</f>
        <v>29516</v>
      </c>
      <c r="CG183" s="2">
        <f>BX183-BZ183</f>
        <v>0</v>
      </c>
      <c r="CH183" s="2">
        <f>AC183-BX183-BY183+BZ183</f>
        <v>29516</v>
      </c>
      <c r="CI183" s="2">
        <f>BY183-BZ183</f>
        <v>0</v>
      </c>
      <c r="CJ183" s="2">
        <f>ROUND(SUMIF(AA171:AA181,"=46416371",GX171:GX181),0)</f>
        <v>0</v>
      </c>
      <c r="CK183" s="2">
        <f>ROUND(SUMIF(AA171:AA181,"=46416371",GY171:GY181),0)</f>
        <v>0</v>
      </c>
      <c r="CL183" s="2">
        <f>ROUND(SUMIF(AA171:AA181,"=46416371",GZ171:GZ181),0)</f>
        <v>0</v>
      </c>
      <c r="CM183" s="2">
        <f>ROUND(SUMIF(AA171:AA181,"=46416371",HD171:HD181),0)</f>
        <v>0</v>
      </c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>
        <v>0</v>
      </c>
    </row>
    <row r="185" spans="1:245" x14ac:dyDescent="0.2">
      <c r="A185" s="4">
        <v>50</v>
      </c>
      <c r="B185" s="4">
        <v>0</v>
      </c>
      <c r="C185" s="4">
        <v>0</v>
      </c>
      <c r="D185" s="4">
        <v>1</v>
      </c>
      <c r="E185" s="4">
        <v>201</v>
      </c>
      <c r="F185" s="4">
        <f>ROUND(Source!O183,O185)</f>
        <v>49424</v>
      </c>
      <c r="G185" s="4" t="s">
        <v>68</v>
      </c>
      <c r="H185" s="4" t="s">
        <v>69</v>
      </c>
      <c r="I185" s="4"/>
      <c r="J185" s="4"/>
      <c r="K185" s="4">
        <v>201</v>
      </c>
      <c r="L185" s="4">
        <v>1</v>
      </c>
      <c r="M185" s="4">
        <v>3</v>
      </c>
      <c r="N185" s="4" t="s">
        <v>3</v>
      </c>
      <c r="O185" s="4">
        <v>0</v>
      </c>
      <c r="P185" s="4"/>
      <c r="Q185" s="4"/>
      <c r="R185" s="4"/>
      <c r="S185" s="4"/>
      <c r="T185" s="4"/>
      <c r="U185" s="4"/>
      <c r="V185" s="4"/>
      <c r="W185" s="4">
        <v>101531</v>
      </c>
      <c r="X185" s="4">
        <v>1</v>
      </c>
      <c r="Y185" s="4">
        <v>101531</v>
      </c>
      <c r="Z185" s="4"/>
      <c r="AA185" s="4"/>
      <c r="AB185" s="4"/>
    </row>
    <row r="186" spans="1:245" x14ac:dyDescent="0.2">
      <c r="A186" s="4">
        <v>50</v>
      </c>
      <c r="B186" s="4">
        <v>0</v>
      </c>
      <c r="C186" s="4">
        <v>0</v>
      </c>
      <c r="D186" s="4">
        <v>1</v>
      </c>
      <c r="E186" s="4">
        <v>202</v>
      </c>
      <c r="F186" s="4">
        <f>ROUND(Source!P183,O186)</f>
        <v>29516</v>
      </c>
      <c r="G186" s="4" t="s">
        <v>70</v>
      </c>
      <c r="H186" s="4" t="s">
        <v>71</v>
      </c>
      <c r="I186" s="4"/>
      <c r="J186" s="4"/>
      <c r="K186" s="4">
        <v>202</v>
      </c>
      <c r="L186" s="4">
        <v>2</v>
      </c>
      <c r="M186" s="4">
        <v>3</v>
      </c>
      <c r="N186" s="4" t="s">
        <v>3</v>
      </c>
      <c r="O186" s="4">
        <v>0</v>
      </c>
      <c r="P186" s="4"/>
      <c r="Q186" s="4"/>
      <c r="R186" s="4"/>
      <c r="S186" s="4"/>
      <c r="T186" s="4"/>
      <c r="U186" s="4"/>
      <c r="V186" s="4"/>
      <c r="W186" s="4">
        <v>60227</v>
      </c>
      <c r="X186" s="4">
        <v>1</v>
      </c>
      <c r="Y186" s="4">
        <v>60227</v>
      </c>
      <c r="Z186" s="4"/>
      <c r="AA186" s="4"/>
      <c r="AB186" s="4"/>
    </row>
    <row r="187" spans="1:245" x14ac:dyDescent="0.2">
      <c r="A187" s="4">
        <v>50</v>
      </c>
      <c r="B187" s="4">
        <v>0</v>
      </c>
      <c r="C187" s="4">
        <v>0</v>
      </c>
      <c r="D187" s="4">
        <v>1</v>
      </c>
      <c r="E187" s="4">
        <v>222</v>
      </c>
      <c r="F187" s="4">
        <f>ROUND(Source!AO183,O187)</f>
        <v>0</v>
      </c>
      <c r="G187" s="4" t="s">
        <v>72</v>
      </c>
      <c r="H187" s="4" t="s">
        <v>73</v>
      </c>
      <c r="I187" s="4"/>
      <c r="J187" s="4"/>
      <c r="K187" s="4">
        <v>222</v>
      </c>
      <c r="L187" s="4">
        <v>3</v>
      </c>
      <c r="M187" s="4">
        <v>3</v>
      </c>
      <c r="N187" s="4" t="s">
        <v>3</v>
      </c>
      <c r="O187" s="4">
        <v>0</v>
      </c>
      <c r="P187" s="4"/>
      <c r="Q187" s="4"/>
      <c r="R187" s="4"/>
      <c r="S187" s="4"/>
      <c r="T187" s="4"/>
      <c r="U187" s="4"/>
      <c r="V187" s="4"/>
      <c r="W187" s="4">
        <v>0</v>
      </c>
      <c r="X187" s="4">
        <v>1</v>
      </c>
      <c r="Y187" s="4">
        <v>0</v>
      </c>
      <c r="Z187" s="4"/>
      <c r="AA187" s="4"/>
      <c r="AB187" s="4"/>
    </row>
    <row r="188" spans="1:245" x14ac:dyDescent="0.2">
      <c r="A188" s="4">
        <v>50</v>
      </c>
      <c r="B188" s="4">
        <v>0</v>
      </c>
      <c r="C188" s="4">
        <v>0</v>
      </c>
      <c r="D188" s="4">
        <v>1</v>
      </c>
      <c r="E188" s="4">
        <v>225</v>
      </c>
      <c r="F188" s="4">
        <f>ROUND(Source!AV183,O188)</f>
        <v>29516</v>
      </c>
      <c r="G188" s="4" t="s">
        <v>74</v>
      </c>
      <c r="H188" s="4" t="s">
        <v>75</v>
      </c>
      <c r="I188" s="4"/>
      <c r="J188" s="4"/>
      <c r="K188" s="4">
        <v>225</v>
      </c>
      <c r="L188" s="4">
        <v>4</v>
      </c>
      <c r="M188" s="4">
        <v>3</v>
      </c>
      <c r="N188" s="4" t="s">
        <v>3</v>
      </c>
      <c r="O188" s="4">
        <v>0</v>
      </c>
      <c r="P188" s="4"/>
      <c r="Q188" s="4"/>
      <c r="R188" s="4"/>
      <c r="S188" s="4"/>
      <c r="T188" s="4"/>
      <c r="U188" s="4"/>
      <c r="V188" s="4"/>
      <c r="W188" s="4">
        <v>60227</v>
      </c>
      <c r="X188" s="4">
        <v>1</v>
      </c>
      <c r="Y188" s="4">
        <v>60227</v>
      </c>
      <c r="Z188" s="4"/>
      <c r="AA188" s="4"/>
      <c r="AB188" s="4"/>
    </row>
    <row r="189" spans="1:245" x14ac:dyDescent="0.2">
      <c r="A189" s="4">
        <v>50</v>
      </c>
      <c r="B189" s="4">
        <v>0</v>
      </c>
      <c r="C189" s="4">
        <v>0</v>
      </c>
      <c r="D189" s="4">
        <v>1</v>
      </c>
      <c r="E189" s="4">
        <v>226</v>
      </c>
      <c r="F189" s="4">
        <f>ROUND(Source!AW183,O189)</f>
        <v>29516</v>
      </c>
      <c r="G189" s="4" t="s">
        <v>76</v>
      </c>
      <c r="H189" s="4" t="s">
        <v>77</v>
      </c>
      <c r="I189" s="4"/>
      <c r="J189" s="4"/>
      <c r="K189" s="4">
        <v>226</v>
      </c>
      <c r="L189" s="4">
        <v>5</v>
      </c>
      <c r="M189" s="4">
        <v>3</v>
      </c>
      <c r="N189" s="4" t="s">
        <v>3</v>
      </c>
      <c r="O189" s="4">
        <v>0</v>
      </c>
      <c r="P189" s="4"/>
      <c r="Q189" s="4"/>
      <c r="R189" s="4"/>
      <c r="S189" s="4"/>
      <c r="T189" s="4"/>
      <c r="U189" s="4"/>
      <c r="V189" s="4"/>
      <c r="W189" s="4">
        <v>60227</v>
      </c>
      <c r="X189" s="4">
        <v>1</v>
      </c>
      <c r="Y189" s="4">
        <v>60227</v>
      </c>
      <c r="Z189" s="4"/>
      <c r="AA189" s="4"/>
      <c r="AB189" s="4"/>
    </row>
    <row r="190" spans="1:245" x14ac:dyDescent="0.2">
      <c r="A190" s="4">
        <v>50</v>
      </c>
      <c r="B190" s="4">
        <v>0</v>
      </c>
      <c r="C190" s="4">
        <v>0</v>
      </c>
      <c r="D190" s="4">
        <v>1</v>
      </c>
      <c r="E190" s="4">
        <v>227</v>
      </c>
      <c r="F190" s="4">
        <f>ROUND(Source!AX183,O190)</f>
        <v>0</v>
      </c>
      <c r="G190" s="4" t="s">
        <v>78</v>
      </c>
      <c r="H190" s="4" t="s">
        <v>79</v>
      </c>
      <c r="I190" s="4"/>
      <c r="J190" s="4"/>
      <c r="K190" s="4">
        <v>227</v>
      </c>
      <c r="L190" s="4">
        <v>6</v>
      </c>
      <c r="M190" s="4">
        <v>3</v>
      </c>
      <c r="N190" s="4" t="s">
        <v>3</v>
      </c>
      <c r="O190" s="4">
        <v>0</v>
      </c>
      <c r="P190" s="4"/>
      <c r="Q190" s="4"/>
      <c r="R190" s="4"/>
      <c r="S190" s="4"/>
      <c r="T190" s="4"/>
      <c r="U190" s="4"/>
      <c r="V190" s="4"/>
      <c r="W190" s="4">
        <v>0</v>
      </c>
      <c r="X190" s="4">
        <v>1</v>
      </c>
      <c r="Y190" s="4">
        <v>0</v>
      </c>
      <c r="Z190" s="4"/>
      <c r="AA190" s="4"/>
      <c r="AB190" s="4"/>
    </row>
    <row r="191" spans="1:245" x14ac:dyDescent="0.2">
      <c r="A191" s="4">
        <v>50</v>
      </c>
      <c r="B191" s="4">
        <v>0</v>
      </c>
      <c r="C191" s="4">
        <v>0</v>
      </c>
      <c r="D191" s="4">
        <v>1</v>
      </c>
      <c r="E191" s="4">
        <v>228</v>
      </c>
      <c r="F191" s="4">
        <f>ROUND(Source!AY183,O191)</f>
        <v>29516</v>
      </c>
      <c r="G191" s="4" t="s">
        <v>80</v>
      </c>
      <c r="H191" s="4" t="s">
        <v>81</v>
      </c>
      <c r="I191" s="4"/>
      <c r="J191" s="4"/>
      <c r="K191" s="4">
        <v>228</v>
      </c>
      <c r="L191" s="4">
        <v>7</v>
      </c>
      <c r="M191" s="4">
        <v>3</v>
      </c>
      <c r="N191" s="4" t="s">
        <v>3</v>
      </c>
      <c r="O191" s="4">
        <v>0</v>
      </c>
      <c r="P191" s="4"/>
      <c r="Q191" s="4"/>
      <c r="R191" s="4"/>
      <c r="S191" s="4"/>
      <c r="T191" s="4"/>
      <c r="U191" s="4"/>
      <c r="V191" s="4"/>
      <c r="W191" s="4">
        <v>60227</v>
      </c>
      <c r="X191" s="4">
        <v>1</v>
      </c>
      <c r="Y191" s="4">
        <v>60227</v>
      </c>
      <c r="Z191" s="4"/>
      <c r="AA191" s="4"/>
      <c r="AB191" s="4"/>
    </row>
    <row r="192" spans="1:245" x14ac:dyDescent="0.2">
      <c r="A192" s="4">
        <v>50</v>
      </c>
      <c r="B192" s="4">
        <v>0</v>
      </c>
      <c r="C192" s="4">
        <v>0</v>
      </c>
      <c r="D192" s="4">
        <v>1</v>
      </c>
      <c r="E192" s="4">
        <v>216</v>
      </c>
      <c r="F192" s="4">
        <f>ROUND(Source!AP183,O192)</f>
        <v>0</v>
      </c>
      <c r="G192" s="4" t="s">
        <v>82</v>
      </c>
      <c r="H192" s="4" t="s">
        <v>83</v>
      </c>
      <c r="I192" s="4"/>
      <c r="J192" s="4"/>
      <c r="K192" s="4">
        <v>216</v>
      </c>
      <c r="L192" s="4">
        <v>8</v>
      </c>
      <c r="M192" s="4">
        <v>3</v>
      </c>
      <c r="N192" s="4" t="s">
        <v>3</v>
      </c>
      <c r="O192" s="4">
        <v>0</v>
      </c>
      <c r="P192" s="4"/>
      <c r="Q192" s="4"/>
      <c r="R192" s="4"/>
      <c r="S192" s="4"/>
      <c r="T192" s="4"/>
      <c r="U192" s="4"/>
      <c r="V192" s="4"/>
      <c r="W192" s="4">
        <v>0</v>
      </c>
      <c r="X192" s="4">
        <v>1</v>
      </c>
      <c r="Y192" s="4">
        <v>0</v>
      </c>
      <c r="Z192" s="4"/>
      <c r="AA192" s="4"/>
      <c r="AB192" s="4"/>
    </row>
    <row r="193" spans="1:28" x14ac:dyDescent="0.2">
      <c r="A193" s="4">
        <v>50</v>
      </c>
      <c r="B193" s="4">
        <v>0</v>
      </c>
      <c r="C193" s="4">
        <v>0</v>
      </c>
      <c r="D193" s="4">
        <v>1</v>
      </c>
      <c r="E193" s="4">
        <v>223</v>
      </c>
      <c r="F193" s="4">
        <f>ROUND(Source!AQ183,O193)</f>
        <v>0</v>
      </c>
      <c r="G193" s="4" t="s">
        <v>84</v>
      </c>
      <c r="H193" s="4" t="s">
        <v>85</v>
      </c>
      <c r="I193" s="4"/>
      <c r="J193" s="4"/>
      <c r="K193" s="4">
        <v>223</v>
      </c>
      <c r="L193" s="4">
        <v>9</v>
      </c>
      <c r="M193" s="4">
        <v>3</v>
      </c>
      <c r="N193" s="4" t="s">
        <v>3</v>
      </c>
      <c r="O193" s="4">
        <v>0</v>
      </c>
      <c r="P193" s="4"/>
      <c r="Q193" s="4"/>
      <c r="R193" s="4"/>
      <c r="S193" s="4"/>
      <c r="T193" s="4"/>
      <c r="U193" s="4"/>
      <c r="V193" s="4"/>
      <c r="W193" s="4">
        <v>0</v>
      </c>
      <c r="X193" s="4">
        <v>1</v>
      </c>
      <c r="Y193" s="4">
        <v>0</v>
      </c>
      <c r="Z193" s="4"/>
      <c r="AA193" s="4"/>
      <c r="AB193" s="4"/>
    </row>
    <row r="194" spans="1:28" x14ac:dyDescent="0.2">
      <c r="A194" s="4">
        <v>50</v>
      </c>
      <c r="B194" s="4">
        <v>0</v>
      </c>
      <c r="C194" s="4">
        <v>0</v>
      </c>
      <c r="D194" s="4">
        <v>1</v>
      </c>
      <c r="E194" s="4">
        <v>229</v>
      </c>
      <c r="F194" s="4">
        <f>ROUND(Source!AZ183,O194)</f>
        <v>0</v>
      </c>
      <c r="G194" s="4" t="s">
        <v>86</v>
      </c>
      <c r="H194" s="4" t="s">
        <v>87</v>
      </c>
      <c r="I194" s="4"/>
      <c r="J194" s="4"/>
      <c r="K194" s="4">
        <v>229</v>
      </c>
      <c r="L194" s="4">
        <v>10</v>
      </c>
      <c r="M194" s="4">
        <v>3</v>
      </c>
      <c r="N194" s="4" t="s">
        <v>3</v>
      </c>
      <c r="O194" s="4">
        <v>0</v>
      </c>
      <c r="P194" s="4"/>
      <c r="Q194" s="4"/>
      <c r="R194" s="4"/>
      <c r="S194" s="4"/>
      <c r="T194" s="4"/>
      <c r="U194" s="4"/>
      <c r="V194" s="4"/>
      <c r="W194" s="4">
        <v>0</v>
      </c>
      <c r="X194" s="4">
        <v>1</v>
      </c>
      <c r="Y194" s="4">
        <v>0</v>
      </c>
      <c r="Z194" s="4"/>
      <c r="AA194" s="4"/>
      <c r="AB194" s="4"/>
    </row>
    <row r="195" spans="1:28" x14ac:dyDescent="0.2">
      <c r="A195" s="4">
        <v>50</v>
      </c>
      <c r="B195" s="4">
        <v>0</v>
      </c>
      <c r="C195" s="4">
        <v>0</v>
      </c>
      <c r="D195" s="4">
        <v>1</v>
      </c>
      <c r="E195" s="4">
        <v>203</v>
      </c>
      <c r="F195" s="4">
        <f>ROUND(Source!Q183,O195)</f>
        <v>3205</v>
      </c>
      <c r="G195" s="4" t="s">
        <v>88</v>
      </c>
      <c r="H195" s="4" t="s">
        <v>89</v>
      </c>
      <c r="I195" s="4"/>
      <c r="J195" s="4"/>
      <c r="K195" s="4">
        <v>203</v>
      </c>
      <c r="L195" s="4">
        <v>11</v>
      </c>
      <c r="M195" s="4">
        <v>3</v>
      </c>
      <c r="N195" s="4" t="s">
        <v>3</v>
      </c>
      <c r="O195" s="4">
        <v>0</v>
      </c>
      <c r="P195" s="4"/>
      <c r="Q195" s="4"/>
      <c r="R195" s="4"/>
      <c r="S195" s="4"/>
      <c r="T195" s="4"/>
      <c r="U195" s="4"/>
      <c r="V195" s="4"/>
      <c r="W195" s="4">
        <v>5413</v>
      </c>
      <c r="X195" s="4">
        <v>1</v>
      </c>
      <c r="Y195" s="4">
        <v>5413</v>
      </c>
      <c r="Z195" s="4"/>
      <c r="AA195" s="4"/>
      <c r="AB195" s="4"/>
    </row>
    <row r="196" spans="1:28" x14ac:dyDescent="0.2">
      <c r="A196" s="4">
        <v>50</v>
      </c>
      <c r="B196" s="4">
        <v>0</v>
      </c>
      <c r="C196" s="4">
        <v>0</v>
      </c>
      <c r="D196" s="4">
        <v>1</v>
      </c>
      <c r="E196" s="4">
        <v>231</v>
      </c>
      <c r="F196" s="4">
        <f>ROUND(Source!BB183,O196)</f>
        <v>0</v>
      </c>
      <c r="G196" s="4" t="s">
        <v>90</v>
      </c>
      <c r="H196" s="4" t="s">
        <v>91</v>
      </c>
      <c r="I196" s="4"/>
      <c r="J196" s="4"/>
      <c r="K196" s="4">
        <v>231</v>
      </c>
      <c r="L196" s="4">
        <v>12</v>
      </c>
      <c r="M196" s="4">
        <v>3</v>
      </c>
      <c r="N196" s="4" t="s">
        <v>3</v>
      </c>
      <c r="O196" s="4">
        <v>0</v>
      </c>
      <c r="P196" s="4"/>
      <c r="Q196" s="4"/>
      <c r="R196" s="4"/>
      <c r="S196" s="4"/>
      <c r="T196" s="4"/>
      <c r="U196" s="4"/>
      <c r="V196" s="4"/>
      <c r="W196" s="4">
        <v>0</v>
      </c>
      <c r="X196" s="4">
        <v>1</v>
      </c>
      <c r="Y196" s="4">
        <v>0</v>
      </c>
      <c r="Z196" s="4"/>
      <c r="AA196" s="4"/>
      <c r="AB196" s="4"/>
    </row>
    <row r="197" spans="1:28" x14ac:dyDescent="0.2">
      <c r="A197" s="4">
        <v>50</v>
      </c>
      <c r="B197" s="4">
        <v>0</v>
      </c>
      <c r="C197" s="4">
        <v>0</v>
      </c>
      <c r="D197" s="4">
        <v>1</v>
      </c>
      <c r="E197" s="4">
        <v>204</v>
      </c>
      <c r="F197" s="4">
        <f>ROUND(Source!R183,O197)</f>
        <v>608</v>
      </c>
      <c r="G197" s="4" t="s">
        <v>92</v>
      </c>
      <c r="H197" s="4" t="s">
        <v>93</v>
      </c>
      <c r="I197" s="4"/>
      <c r="J197" s="4"/>
      <c r="K197" s="4">
        <v>204</v>
      </c>
      <c r="L197" s="4">
        <v>13</v>
      </c>
      <c r="M197" s="4">
        <v>3</v>
      </c>
      <c r="N197" s="4" t="s">
        <v>3</v>
      </c>
      <c r="O197" s="4">
        <v>0</v>
      </c>
      <c r="P197" s="4"/>
      <c r="Q197" s="4"/>
      <c r="R197" s="4"/>
      <c r="S197" s="4"/>
      <c r="T197" s="4"/>
      <c r="U197" s="4"/>
      <c r="V197" s="4"/>
      <c r="W197" s="4">
        <v>1079</v>
      </c>
      <c r="X197" s="4">
        <v>1</v>
      </c>
      <c r="Y197" s="4">
        <v>1079</v>
      </c>
      <c r="Z197" s="4"/>
      <c r="AA197" s="4"/>
      <c r="AB197" s="4"/>
    </row>
    <row r="198" spans="1:28" x14ac:dyDescent="0.2">
      <c r="A198" s="4">
        <v>50</v>
      </c>
      <c r="B198" s="4">
        <v>0</v>
      </c>
      <c r="C198" s="4">
        <v>0</v>
      </c>
      <c r="D198" s="4">
        <v>1</v>
      </c>
      <c r="E198" s="4">
        <v>205</v>
      </c>
      <c r="F198" s="4">
        <f>ROUND(Source!S183,O198)</f>
        <v>16703</v>
      </c>
      <c r="G198" s="4" t="s">
        <v>94</v>
      </c>
      <c r="H198" s="4" t="s">
        <v>95</v>
      </c>
      <c r="I198" s="4"/>
      <c r="J198" s="4"/>
      <c r="K198" s="4">
        <v>205</v>
      </c>
      <c r="L198" s="4">
        <v>14</v>
      </c>
      <c r="M198" s="4">
        <v>3</v>
      </c>
      <c r="N198" s="4" t="s">
        <v>3</v>
      </c>
      <c r="O198" s="4">
        <v>0</v>
      </c>
      <c r="P198" s="4"/>
      <c r="Q198" s="4"/>
      <c r="R198" s="4"/>
      <c r="S198" s="4"/>
      <c r="T198" s="4"/>
      <c r="U198" s="4"/>
      <c r="V198" s="4"/>
      <c r="W198" s="4">
        <v>35891</v>
      </c>
      <c r="X198" s="4">
        <v>1</v>
      </c>
      <c r="Y198" s="4">
        <v>35891</v>
      </c>
      <c r="Z198" s="4"/>
      <c r="AA198" s="4"/>
      <c r="AB198" s="4"/>
    </row>
    <row r="199" spans="1:28" x14ac:dyDescent="0.2">
      <c r="A199" s="4">
        <v>50</v>
      </c>
      <c r="B199" s="4">
        <v>0</v>
      </c>
      <c r="C199" s="4">
        <v>0</v>
      </c>
      <c r="D199" s="4">
        <v>1</v>
      </c>
      <c r="E199" s="4">
        <v>232</v>
      </c>
      <c r="F199" s="4">
        <f>ROUND(Source!BC183,O199)</f>
        <v>0</v>
      </c>
      <c r="G199" s="4" t="s">
        <v>96</v>
      </c>
      <c r="H199" s="4" t="s">
        <v>97</v>
      </c>
      <c r="I199" s="4"/>
      <c r="J199" s="4"/>
      <c r="K199" s="4">
        <v>232</v>
      </c>
      <c r="L199" s="4">
        <v>15</v>
      </c>
      <c r="M199" s="4">
        <v>3</v>
      </c>
      <c r="N199" s="4" t="s">
        <v>3</v>
      </c>
      <c r="O199" s="4">
        <v>0</v>
      </c>
      <c r="P199" s="4"/>
      <c r="Q199" s="4"/>
      <c r="R199" s="4"/>
      <c r="S199" s="4"/>
      <c r="T199" s="4"/>
      <c r="U199" s="4"/>
      <c r="V199" s="4"/>
      <c r="W199" s="4">
        <v>0</v>
      </c>
      <c r="X199" s="4">
        <v>1</v>
      </c>
      <c r="Y199" s="4">
        <v>0</v>
      </c>
      <c r="Z199" s="4"/>
      <c r="AA199" s="4"/>
      <c r="AB199" s="4"/>
    </row>
    <row r="200" spans="1:28" x14ac:dyDescent="0.2">
      <c r="A200" s="4">
        <v>50</v>
      </c>
      <c r="B200" s="4">
        <v>0</v>
      </c>
      <c r="C200" s="4">
        <v>0</v>
      </c>
      <c r="D200" s="4">
        <v>1</v>
      </c>
      <c r="E200" s="4">
        <v>214</v>
      </c>
      <c r="F200" s="4">
        <f>ROUND(Source!AS183,O200)</f>
        <v>59881</v>
      </c>
      <c r="G200" s="4" t="s">
        <v>98</v>
      </c>
      <c r="H200" s="4" t="s">
        <v>99</v>
      </c>
      <c r="I200" s="4"/>
      <c r="J200" s="4"/>
      <c r="K200" s="4">
        <v>214</v>
      </c>
      <c r="L200" s="4">
        <v>16</v>
      </c>
      <c r="M200" s="4">
        <v>3</v>
      </c>
      <c r="N200" s="4" t="s">
        <v>3</v>
      </c>
      <c r="O200" s="4">
        <v>0</v>
      </c>
      <c r="P200" s="4"/>
      <c r="Q200" s="4"/>
      <c r="R200" s="4"/>
      <c r="S200" s="4"/>
      <c r="T200" s="4"/>
      <c r="U200" s="4"/>
      <c r="V200" s="4"/>
      <c r="W200" s="4">
        <v>118339</v>
      </c>
      <c r="X200" s="4">
        <v>1</v>
      </c>
      <c r="Y200" s="4">
        <v>118339</v>
      </c>
      <c r="Z200" s="4"/>
      <c r="AA200" s="4"/>
      <c r="AB200" s="4"/>
    </row>
    <row r="201" spans="1:28" x14ac:dyDescent="0.2">
      <c r="A201" s="4">
        <v>50</v>
      </c>
      <c r="B201" s="4">
        <v>0</v>
      </c>
      <c r="C201" s="4">
        <v>0</v>
      </c>
      <c r="D201" s="4">
        <v>1</v>
      </c>
      <c r="E201" s="4">
        <v>215</v>
      </c>
      <c r="F201" s="4">
        <f>ROUND(Source!AT183,O201)</f>
        <v>0</v>
      </c>
      <c r="G201" s="4" t="s">
        <v>100</v>
      </c>
      <c r="H201" s="4" t="s">
        <v>101</v>
      </c>
      <c r="I201" s="4"/>
      <c r="J201" s="4"/>
      <c r="K201" s="4">
        <v>215</v>
      </c>
      <c r="L201" s="4">
        <v>17</v>
      </c>
      <c r="M201" s="4">
        <v>3</v>
      </c>
      <c r="N201" s="4" t="s">
        <v>3</v>
      </c>
      <c r="O201" s="4">
        <v>0</v>
      </c>
      <c r="P201" s="4"/>
      <c r="Q201" s="4"/>
      <c r="R201" s="4"/>
      <c r="S201" s="4"/>
      <c r="T201" s="4"/>
      <c r="U201" s="4"/>
      <c r="V201" s="4"/>
      <c r="W201" s="4">
        <v>0</v>
      </c>
      <c r="X201" s="4">
        <v>1</v>
      </c>
      <c r="Y201" s="4">
        <v>0</v>
      </c>
      <c r="Z201" s="4"/>
      <c r="AA201" s="4"/>
      <c r="AB201" s="4"/>
    </row>
    <row r="202" spans="1:28" x14ac:dyDescent="0.2">
      <c r="A202" s="4">
        <v>50</v>
      </c>
      <c r="B202" s="4">
        <v>0</v>
      </c>
      <c r="C202" s="4">
        <v>0</v>
      </c>
      <c r="D202" s="4">
        <v>1</v>
      </c>
      <c r="E202" s="4">
        <v>217</v>
      </c>
      <c r="F202" s="4">
        <f>ROUND(Source!AU183,O202)</f>
        <v>20276</v>
      </c>
      <c r="G202" s="4" t="s">
        <v>102</v>
      </c>
      <c r="H202" s="4" t="s">
        <v>103</v>
      </c>
      <c r="I202" s="4"/>
      <c r="J202" s="4"/>
      <c r="K202" s="4">
        <v>217</v>
      </c>
      <c r="L202" s="4">
        <v>18</v>
      </c>
      <c r="M202" s="4">
        <v>3</v>
      </c>
      <c r="N202" s="4" t="s">
        <v>3</v>
      </c>
      <c r="O202" s="4">
        <v>0</v>
      </c>
      <c r="P202" s="4"/>
      <c r="Q202" s="4"/>
      <c r="R202" s="4"/>
      <c r="S202" s="4"/>
      <c r="T202" s="4"/>
      <c r="U202" s="4"/>
      <c r="V202" s="4"/>
      <c r="W202" s="4">
        <v>47690</v>
      </c>
      <c r="X202" s="4">
        <v>1</v>
      </c>
      <c r="Y202" s="4">
        <v>47690</v>
      </c>
      <c r="Z202" s="4"/>
      <c r="AA202" s="4"/>
      <c r="AB202" s="4"/>
    </row>
    <row r="203" spans="1:28" x14ac:dyDescent="0.2">
      <c r="A203" s="4">
        <v>50</v>
      </c>
      <c r="B203" s="4">
        <v>0</v>
      </c>
      <c r="C203" s="4">
        <v>0</v>
      </c>
      <c r="D203" s="4">
        <v>1</v>
      </c>
      <c r="E203" s="4">
        <v>230</v>
      </c>
      <c r="F203" s="4">
        <f>ROUND(Source!BA183,O203)</f>
        <v>0</v>
      </c>
      <c r="G203" s="4" t="s">
        <v>104</v>
      </c>
      <c r="H203" s="4" t="s">
        <v>105</v>
      </c>
      <c r="I203" s="4"/>
      <c r="J203" s="4"/>
      <c r="K203" s="4">
        <v>230</v>
      </c>
      <c r="L203" s="4">
        <v>19</v>
      </c>
      <c r="M203" s="4">
        <v>3</v>
      </c>
      <c r="N203" s="4" t="s">
        <v>3</v>
      </c>
      <c r="O203" s="4">
        <v>0</v>
      </c>
      <c r="P203" s="4"/>
      <c r="Q203" s="4"/>
      <c r="R203" s="4"/>
      <c r="S203" s="4"/>
      <c r="T203" s="4"/>
      <c r="U203" s="4"/>
      <c r="V203" s="4"/>
      <c r="W203" s="4">
        <v>0</v>
      </c>
      <c r="X203" s="4">
        <v>1</v>
      </c>
      <c r="Y203" s="4">
        <v>0</v>
      </c>
      <c r="Z203" s="4"/>
      <c r="AA203" s="4"/>
      <c r="AB203" s="4"/>
    </row>
    <row r="204" spans="1:28" x14ac:dyDescent="0.2">
      <c r="A204" s="4">
        <v>50</v>
      </c>
      <c r="B204" s="4">
        <v>0</v>
      </c>
      <c r="C204" s="4">
        <v>0</v>
      </c>
      <c r="D204" s="4">
        <v>1</v>
      </c>
      <c r="E204" s="4">
        <v>206</v>
      </c>
      <c r="F204" s="4">
        <f>ROUND(Source!T183,O204)</f>
        <v>0</v>
      </c>
      <c r="G204" s="4" t="s">
        <v>106</v>
      </c>
      <c r="H204" s="4" t="s">
        <v>107</v>
      </c>
      <c r="I204" s="4"/>
      <c r="J204" s="4"/>
      <c r="K204" s="4">
        <v>206</v>
      </c>
      <c r="L204" s="4">
        <v>20</v>
      </c>
      <c r="M204" s="4">
        <v>3</v>
      </c>
      <c r="N204" s="4" t="s">
        <v>3</v>
      </c>
      <c r="O204" s="4">
        <v>0</v>
      </c>
      <c r="P204" s="4"/>
      <c r="Q204" s="4"/>
      <c r="R204" s="4"/>
      <c r="S204" s="4"/>
      <c r="T204" s="4"/>
      <c r="U204" s="4"/>
      <c r="V204" s="4"/>
      <c r="W204" s="4">
        <v>0</v>
      </c>
      <c r="X204" s="4">
        <v>1</v>
      </c>
      <c r="Y204" s="4">
        <v>0</v>
      </c>
      <c r="Z204" s="4"/>
      <c r="AA204" s="4"/>
      <c r="AB204" s="4"/>
    </row>
    <row r="205" spans="1:28" x14ac:dyDescent="0.2">
      <c r="A205" s="4">
        <v>50</v>
      </c>
      <c r="B205" s="4">
        <v>0</v>
      </c>
      <c r="C205" s="4">
        <v>0</v>
      </c>
      <c r="D205" s="4">
        <v>1</v>
      </c>
      <c r="E205" s="4">
        <v>207</v>
      </c>
      <c r="F205" s="4">
        <f>Source!U183</f>
        <v>60.914165999999994</v>
      </c>
      <c r="G205" s="4" t="s">
        <v>108</v>
      </c>
      <c r="H205" s="4" t="s">
        <v>109</v>
      </c>
      <c r="I205" s="4"/>
      <c r="J205" s="4"/>
      <c r="K205" s="4">
        <v>207</v>
      </c>
      <c r="L205" s="4">
        <v>21</v>
      </c>
      <c r="M205" s="4">
        <v>3</v>
      </c>
      <c r="N205" s="4" t="s">
        <v>3</v>
      </c>
      <c r="O205" s="4">
        <v>-1</v>
      </c>
      <c r="P205" s="4"/>
      <c r="Q205" s="4"/>
      <c r="R205" s="4"/>
      <c r="S205" s="4"/>
      <c r="T205" s="4"/>
      <c r="U205" s="4"/>
      <c r="V205" s="4"/>
      <c r="W205" s="4">
        <v>131.24938499999999</v>
      </c>
      <c r="X205" s="4">
        <v>1</v>
      </c>
      <c r="Y205" s="4">
        <v>131.24938499999999</v>
      </c>
      <c r="Z205" s="4"/>
      <c r="AA205" s="4"/>
      <c r="AB205" s="4"/>
    </row>
    <row r="206" spans="1:28" x14ac:dyDescent="0.2">
      <c r="A206" s="4">
        <v>50</v>
      </c>
      <c r="B206" s="4">
        <v>0</v>
      </c>
      <c r="C206" s="4">
        <v>0</v>
      </c>
      <c r="D206" s="4">
        <v>1</v>
      </c>
      <c r="E206" s="4">
        <v>208</v>
      </c>
      <c r="F206" s="4">
        <f>Source!V183</f>
        <v>1.652895</v>
      </c>
      <c r="G206" s="4" t="s">
        <v>110</v>
      </c>
      <c r="H206" s="4" t="s">
        <v>111</v>
      </c>
      <c r="I206" s="4"/>
      <c r="J206" s="4"/>
      <c r="K206" s="4">
        <v>208</v>
      </c>
      <c r="L206" s="4">
        <v>22</v>
      </c>
      <c r="M206" s="4">
        <v>3</v>
      </c>
      <c r="N206" s="4" t="s">
        <v>3</v>
      </c>
      <c r="O206" s="4">
        <v>-1</v>
      </c>
      <c r="P206" s="4"/>
      <c r="Q206" s="4"/>
      <c r="R206" s="4"/>
      <c r="S206" s="4"/>
      <c r="T206" s="4"/>
      <c r="U206" s="4"/>
      <c r="V206" s="4"/>
      <c r="W206" s="4">
        <v>2.7825974999999996</v>
      </c>
      <c r="X206" s="4">
        <v>1</v>
      </c>
      <c r="Y206" s="4">
        <v>2.7825974999999996</v>
      </c>
      <c r="Z206" s="4"/>
      <c r="AA206" s="4"/>
      <c r="AB206" s="4"/>
    </row>
    <row r="207" spans="1:28" x14ac:dyDescent="0.2">
      <c r="A207" s="4">
        <v>50</v>
      </c>
      <c r="B207" s="4">
        <v>0</v>
      </c>
      <c r="C207" s="4">
        <v>0</v>
      </c>
      <c r="D207" s="4">
        <v>1</v>
      </c>
      <c r="E207" s="4">
        <v>209</v>
      </c>
      <c r="F207" s="4">
        <f>ROUND(Source!W183,O207)</f>
        <v>0</v>
      </c>
      <c r="G207" s="4" t="s">
        <v>112</v>
      </c>
      <c r="H207" s="4" t="s">
        <v>113</v>
      </c>
      <c r="I207" s="4"/>
      <c r="J207" s="4"/>
      <c r="K207" s="4">
        <v>209</v>
      </c>
      <c r="L207" s="4">
        <v>23</v>
      </c>
      <c r="M207" s="4">
        <v>3</v>
      </c>
      <c r="N207" s="4" t="s">
        <v>3</v>
      </c>
      <c r="O207" s="4">
        <v>0</v>
      </c>
      <c r="P207" s="4"/>
      <c r="Q207" s="4"/>
      <c r="R207" s="4"/>
      <c r="S207" s="4"/>
      <c r="T207" s="4"/>
      <c r="U207" s="4"/>
      <c r="V207" s="4"/>
      <c r="W207" s="4">
        <v>0</v>
      </c>
      <c r="X207" s="4">
        <v>1</v>
      </c>
      <c r="Y207" s="4">
        <v>0</v>
      </c>
      <c r="Z207" s="4"/>
      <c r="AA207" s="4"/>
      <c r="AB207" s="4"/>
    </row>
    <row r="208" spans="1:28" x14ac:dyDescent="0.2">
      <c r="A208" s="4">
        <v>50</v>
      </c>
      <c r="B208" s="4">
        <v>0</v>
      </c>
      <c r="C208" s="4">
        <v>0</v>
      </c>
      <c r="D208" s="4">
        <v>1</v>
      </c>
      <c r="E208" s="4">
        <v>233</v>
      </c>
      <c r="F208" s="4">
        <f>ROUND(Source!BD183,O208)</f>
        <v>0</v>
      </c>
      <c r="G208" s="4" t="s">
        <v>114</v>
      </c>
      <c r="H208" s="4" t="s">
        <v>115</v>
      </c>
      <c r="I208" s="4"/>
      <c r="J208" s="4"/>
      <c r="K208" s="4">
        <v>233</v>
      </c>
      <c r="L208" s="4">
        <v>24</v>
      </c>
      <c r="M208" s="4">
        <v>3</v>
      </c>
      <c r="N208" s="4" t="s">
        <v>3</v>
      </c>
      <c r="O208" s="4">
        <v>0</v>
      </c>
      <c r="P208" s="4"/>
      <c r="Q208" s="4"/>
      <c r="R208" s="4"/>
      <c r="S208" s="4"/>
      <c r="T208" s="4"/>
      <c r="U208" s="4"/>
      <c r="V208" s="4"/>
      <c r="W208" s="4">
        <v>0</v>
      </c>
      <c r="X208" s="4">
        <v>1</v>
      </c>
      <c r="Y208" s="4">
        <v>0</v>
      </c>
      <c r="Z208" s="4"/>
      <c r="AA208" s="4"/>
      <c r="AB208" s="4"/>
    </row>
    <row r="209" spans="1:206" x14ac:dyDescent="0.2">
      <c r="A209" s="4">
        <v>50</v>
      </c>
      <c r="B209" s="4">
        <v>0</v>
      </c>
      <c r="C209" s="4">
        <v>0</v>
      </c>
      <c r="D209" s="4">
        <v>1</v>
      </c>
      <c r="E209" s="4">
        <v>210</v>
      </c>
      <c r="F209" s="4">
        <f>ROUND(Source!X183,O209)</f>
        <v>18970</v>
      </c>
      <c r="G209" s="4" t="s">
        <v>116</v>
      </c>
      <c r="H209" s="4" t="s">
        <v>117</v>
      </c>
      <c r="I209" s="4"/>
      <c r="J209" s="4"/>
      <c r="K209" s="4">
        <v>210</v>
      </c>
      <c r="L209" s="4">
        <v>25</v>
      </c>
      <c r="M209" s="4">
        <v>3</v>
      </c>
      <c r="N209" s="4" t="s">
        <v>3</v>
      </c>
      <c r="O209" s="4">
        <v>0</v>
      </c>
      <c r="P209" s="4"/>
      <c r="Q209" s="4"/>
      <c r="R209" s="4"/>
      <c r="S209" s="4"/>
      <c r="T209" s="4"/>
      <c r="U209" s="4"/>
      <c r="V209" s="4"/>
      <c r="W209" s="4">
        <v>39819</v>
      </c>
      <c r="X209" s="4">
        <v>1</v>
      </c>
      <c r="Y209" s="4">
        <v>39819</v>
      </c>
      <c r="Z209" s="4"/>
      <c r="AA209" s="4"/>
      <c r="AB209" s="4"/>
    </row>
    <row r="210" spans="1:206" x14ac:dyDescent="0.2">
      <c r="A210" s="4">
        <v>50</v>
      </c>
      <c r="B210" s="4">
        <v>0</v>
      </c>
      <c r="C210" s="4">
        <v>0</v>
      </c>
      <c r="D210" s="4">
        <v>1</v>
      </c>
      <c r="E210" s="4">
        <v>211</v>
      </c>
      <c r="F210" s="4">
        <f>ROUND(Source!Y183,O210)</f>
        <v>11763</v>
      </c>
      <c r="G210" s="4" t="s">
        <v>118</v>
      </c>
      <c r="H210" s="4" t="s">
        <v>119</v>
      </c>
      <c r="I210" s="4"/>
      <c r="J210" s="4"/>
      <c r="K210" s="4">
        <v>211</v>
      </c>
      <c r="L210" s="4">
        <v>26</v>
      </c>
      <c r="M210" s="4">
        <v>3</v>
      </c>
      <c r="N210" s="4" t="s">
        <v>3</v>
      </c>
      <c r="O210" s="4">
        <v>0</v>
      </c>
      <c r="P210" s="4"/>
      <c r="Q210" s="4"/>
      <c r="R210" s="4"/>
      <c r="S210" s="4"/>
      <c r="T210" s="4"/>
      <c r="U210" s="4"/>
      <c r="V210" s="4"/>
      <c r="W210" s="4">
        <v>24679</v>
      </c>
      <c r="X210" s="4">
        <v>1</v>
      </c>
      <c r="Y210" s="4">
        <v>24679</v>
      </c>
      <c r="Z210" s="4"/>
      <c r="AA210" s="4"/>
      <c r="AB210" s="4"/>
    </row>
    <row r="211" spans="1:206" x14ac:dyDescent="0.2">
      <c r="A211" s="4">
        <v>50</v>
      </c>
      <c r="B211" s="4">
        <v>0</v>
      </c>
      <c r="C211" s="4">
        <v>0</v>
      </c>
      <c r="D211" s="4">
        <v>1</v>
      </c>
      <c r="E211" s="4">
        <v>224</v>
      </c>
      <c r="F211" s="4">
        <f>ROUND(Source!AR183,O211)</f>
        <v>80157</v>
      </c>
      <c r="G211" s="4" t="s">
        <v>120</v>
      </c>
      <c r="H211" s="4" t="s">
        <v>121</v>
      </c>
      <c r="I211" s="4"/>
      <c r="J211" s="4"/>
      <c r="K211" s="4">
        <v>224</v>
      </c>
      <c r="L211" s="4">
        <v>27</v>
      </c>
      <c r="M211" s="4">
        <v>3</v>
      </c>
      <c r="N211" s="4" t="s">
        <v>3</v>
      </c>
      <c r="O211" s="4">
        <v>0</v>
      </c>
      <c r="P211" s="4"/>
      <c r="Q211" s="4"/>
      <c r="R211" s="4"/>
      <c r="S211" s="4"/>
      <c r="T211" s="4"/>
      <c r="U211" s="4"/>
      <c r="V211" s="4"/>
      <c r="W211" s="4">
        <v>166029</v>
      </c>
      <c r="X211" s="4">
        <v>1</v>
      </c>
      <c r="Y211" s="4">
        <v>166029</v>
      </c>
      <c r="Z211" s="4"/>
      <c r="AA211" s="4"/>
      <c r="AB211" s="4"/>
    </row>
    <row r="213" spans="1:206" x14ac:dyDescent="0.2">
      <c r="A213" s="2">
        <v>51</v>
      </c>
      <c r="B213" s="2">
        <f>B67</f>
        <v>1</v>
      </c>
      <c r="C213" s="2">
        <f>A67</f>
        <v>4</v>
      </c>
      <c r="D213" s="2">
        <f>ROW(A67)</f>
        <v>67</v>
      </c>
      <c r="E213" s="2"/>
      <c r="F213" s="2" t="str">
        <f>IF(F67&lt;&gt;"",F67,"")</f>
        <v>Новый раздел</v>
      </c>
      <c r="G213" s="2" t="str">
        <f>IF(G67&lt;&gt;"",G67,"")</f>
        <v>Бетонные работы</v>
      </c>
      <c r="H213" s="2">
        <v>0</v>
      </c>
      <c r="I213" s="2"/>
      <c r="J213" s="2"/>
      <c r="K213" s="2"/>
      <c r="L213" s="2"/>
      <c r="M213" s="2"/>
      <c r="N213" s="2"/>
      <c r="O213" s="2">
        <f t="shared" ref="O213:T213" si="201">ROUND(O89+O137+O183+AB213,0)</f>
        <v>650206</v>
      </c>
      <c r="P213" s="2">
        <f t="shared" si="201"/>
        <v>439460</v>
      </c>
      <c r="Q213" s="2">
        <f t="shared" si="201"/>
        <v>33276</v>
      </c>
      <c r="R213" s="2">
        <f t="shared" si="201"/>
        <v>7595</v>
      </c>
      <c r="S213" s="2">
        <f t="shared" si="201"/>
        <v>177470</v>
      </c>
      <c r="T213" s="2">
        <f t="shared" si="201"/>
        <v>0</v>
      </c>
      <c r="U213" s="2">
        <f>U89+U137+U183+AH213</f>
        <v>639.5771598</v>
      </c>
      <c r="V213" s="2">
        <f>V89+V137+V183+AI213</f>
        <v>20.442213124999999</v>
      </c>
      <c r="W213" s="2">
        <f>ROUND(W89+W137+W183+AJ213,0)</f>
        <v>0</v>
      </c>
      <c r="X213" s="2">
        <f>ROUND(X89+X137+X183+AK213,0)</f>
        <v>216070</v>
      </c>
      <c r="Y213" s="2">
        <f>ROUND(Y89+Y137+Y183+AL213,0)</f>
        <v>135626</v>
      </c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>
        <f t="shared" ref="AO213:BD213" si="202">ROUND(AO89+AO137+AO183+BX213,0)</f>
        <v>0</v>
      </c>
      <c r="AP213" s="2">
        <f t="shared" si="202"/>
        <v>0</v>
      </c>
      <c r="AQ213" s="2">
        <f t="shared" si="202"/>
        <v>0</v>
      </c>
      <c r="AR213" s="2">
        <f t="shared" si="202"/>
        <v>1001902</v>
      </c>
      <c r="AS213" s="2">
        <f t="shared" si="202"/>
        <v>631083</v>
      </c>
      <c r="AT213" s="2">
        <f t="shared" si="202"/>
        <v>0</v>
      </c>
      <c r="AU213" s="2">
        <f t="shared" si="202"/>
        <v>370819</v>
      </c>
      <c r="AV213" s="2">
        <f t="shared" si="202"/>
        <v>439460</v>
      </c>
      <c r="AW213" s="2">
        <f t="shared" si="202"/>
        <v>439460</v>
      </c>
      <c r="AX213" s="2">
        <f t="shared" si="202"/>
        <v>0</v>
      </c>
      <c r="AY213" s="2">
        <f t="shared" si="202"/>
        <v>439460</v>
      </c>
      <c r="AZ213" s="2">
        <f t="shared" si="202"/>
        <v>0</v>
      </c>
      <c r="BA213" s="2">
        <f t="shared" si="202"/>
        <v>0</v>
      </c>
      <c r="BB213" s="2">
        <f t="shared" si="202"/>
        <v>0</v>
      </c>
      <c r="BC213" s="2">
        <f t="shared" si="202"/>
        <v>0</v>
      </c>
      <c r="BD213" s="2">
        <f t="shared" si="202"/>
        <v>0</v>
      </c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>
        <v>0</v>
      </c>
    </row>
    <row r="215" spans="1:206" x14ac:dyDescent="0.2">
      <c r="A215" s="4">
        <v>50</v>
      </c>
      <c r="B215" s="4">
        <v>0</v>
      </c>
      <c r="C215" s="4">
        <v>0</v>
      </c>
      <c r="D215" s="4">
        <v>1</v>
      </c>
      <c r="E215" s="4">
        <v>201</v>
      </c>
      <c r="F215" s="4">
        <f>ROUND(Source!O213,O215)</f>
        <v>650206</v>
      </c>
      <c r="G215" s="4" t="s">
        <v>68</v>
      </c>
      <c r="H215" s="4" t="s">
        <v>69</v>
      </c>
      <c r="I215" s="4"/>
      <c r="J215" s="4"/>
      <c r="K215" s="4">
        <v>201</v>
      </c>
      <c r="L215" s="4">
        <v>1</v>
      </c>
      <c r="M215" s="4">
        <v>3</v>
      </c>
      <c r="N215" s="4" t="s">
        <v>3</v>
      </c>
      <c r="O215" s="4">
        <v>0</v>
      </c>
      <c r="P215" s="4"/>
      <c r="Q215" s="4"/>
      <c r="R215" s="4"/>
      <c r="S215" s="4"/>
      <c r="T215" s="4"/>
      <c r="U215" s="4"/>
      <c r="V215" s="4"/>
      <c r="W215" s="4">
        <v>707548</v>
      </c>
      <c r="X215" s="4">
        <v>1</v>
      </c>
      <c r="Y215" s="4">
        <v>707548</v>
      </c>
      <c r="Z215" s="4"/>
      <c r="AA215" s="4"/>
      <c r="AB215" s="4"/>
    </row>
    <row r="216" spans="1:206" x14ac:dyDescent="0.2">
      <c r="A216" s="4">
        <v>50</v>
      </c>
      <c r="B216" s="4">
        <v>0</v>
      </c>
      <c r="C216" s="4">
        <v>0</v>
      </c>
      <c r="D216" s="4">
        <v>1</v>
      </c>
      <c r="E216" s="4">
        <v>202</v>
      </c>
      <c r="F216" s="4">
        <f>ROUND(Source!P213,O216)</f>
        <v>439460</v>
      </c>
      <c r="G216" s="4" t="s">
        <v>70</v>
      </c>
      <c r="H216" s="4" t="s">
        <v>71</v>
      </c>
      <c r="I216" s="4"/>
      <c r="J216" s="4"/>
      <c r="K216" s="4">
        <v>202</v>
      </c>
      <c r="L216" s="4">
        <v>2</v>
      </c>
      <c r="M216" s="4">
        <v>3</v>
      </c>
      <c r="N216" s="4" t="s">
        <v>3</v>
      </c>
      <c r="O216" s="4">
        <v>0</v>
      </c>
      <c r="P216" s="4"/>
      <c r="Q216" s="4"/>
      <c r="R216" s="4"/>
      <c r="S216" s="4"/>
      <c r="T216" s="4"/>
      <c r="U216" s="4"/>
      <c r="V216" s="4"/>
      <c r="W216" s="4">
        <v>470171</v>
      </c>
      <c r="X216" s="4">
        <v>1</v>
      </c>
      <c r="Y216" s="4">
        <v>470171</v>
      </c>
      <c r="Z216" s="4"/>
      <c r="AA216" s="4"/>
      <c r="AB216" s="4"/>
    </row>
    <row r="217" spans="1:206" x14ac:dyDescent="0.2">
      <c r="A217" s="4">
        <v>50</v>
      </c>
      <c r="B217" s="4">
        <v>0</v>
      </c>
      <c r="C217" s="4">
        <v>0</v>
      </c>
      <c r="D217" s="4">
        <v>1</v>
      </c>
      <c r="E217" s="4">
        <v>222</v>
      </c>
      <c r="F217" s="4">
        <f>ROUND(Source!AO213,O217)</f>
        <v>0</v>
      </c>
      <c r="G217" s="4" t="s">
        <v>72</v>
      </c>
      <c r="H217" s="4" t="s">
        <v>73</v>
      </c>
      <c r="I217" s="4"/>
      <c r="J217" s="4"/>
      <c r="K217" s="4">
        <v>222</v>
      </c>
      <c r="L217" s="4">
        <v>3</v>
      </c>
      <c r="M217" s="4">
        <v>3</v>
      </c>
      <c r="N217" s="4" t="s">
        <v>3</v>
      </c>
      <c r="O217" s="4">
        <v>0</v>
      </c>
      <c r="P217" s="4"/>
      <c r="Q217" s="4"/>
      <c r="R217" s="4"/>
      <c r="S217" s="4"/>
      <c r="T217" s="4"/>
      <c r="U217" s="4"/>
      <c r="V217" s="4"/>
      <c r="W217" s="4">
        <v>0</v>
      </c>
      <c r="X217" s="4">
        <v>1</v>
      </c>
      <c r="Y217" s="4">
        <v>0</v>
      </c>
      <c r="Z217" s="4"/>
      <c r="AA217" s="4"/>
      <c r="AB217" s="4"/>
    </row>
    <row r="218" spans="1:206" x14ac:dyDescent="0.2">
      <c r="A218" s="4">
        <v>50</v>
      </c>
      <c r="B218" s="4">
        <v>0</v>
      </c>
      <c r="C218" s="4">
        <v>0</v>
      </c>
      <c r="D218" s="4">
        <v>1</v>
      </c>
      <c r="E218" s="4">
        <v>225</v>
      </c>
      <c r="F218" s="4">
        <f>ROUND(Source!AV213,O218)</f>
        <v>439460</v>
      </c>
      <c r="G218" s="4" t="s">
        <v>74</v>
      </c>
      <c r="H218" s="4" t="s">
        <v>75</v>
      </c>
      <c r="I218" s="4"/>
      <c r="J218" s="4"/>
      <c r="K218" s="4">
        <v>225</v>
      </c>
      <c r="L218" s="4">
        <v>4</v>
      </c>
      <c r="M218" s="4">
        <v>3</v>
      </c>
      <c r="N218" s="4" t="s">
        <v>3</v>
      </c>
      <c r="O218" s="4">
        <v>0</v>
      </c>
      <c r="P218" s="4"/>
      <c r="Q218" s="4"/>
      <c r="R218" s="4"/>
      <c r="S218" s="4"/>
      <c r="T218" s="4"/>
      <c r="U218" s="4"/>
      <c r="V218" s="4"/>
      <c r="W218" s="4">
        <v>470171</v>
      </c>
      <c r="X218" s="4">
        <v>1</v>
      </c>
      <c r="Y218" s="4">
        <v>470171</v>
      </c>
      <c r="Z218" s="4"/>
      <c r="AA218" s="4"/>
      <c r="AB218" s="4"/>
    </row>
    <row r="219" spans="1:206" x14ac:dyDescent="0.2">
      <c r="A219" s="4">
        <v>50</v>
      </c>
      <c r="B219" s="4">
        <v>0</v>
      </c>
      <c r="C219" s="4">
        <v>0</v>
      </c>
      <c r="D219" s="4">
        <v>1</v>
      </c>
      <c r="E219" s="4">
        <v>226</v>
      </c>
      <c r="F219" s="4">
        <f>ROUND(Source!AW213,O219)</f>
        <v>439460</v>
      </c>
      <c r="G219" s="4" t="s">
        <v>76</v>
      </c>
      <c r="H219" s="4" t="s">
        <v>77</v>
      </c>
      <c r="I219" s="4"/>
      <c r="J219" s="4"/>
      <c r="K219" s="4">
        <v>226</v>
      </c>
      <c r="L219" s="4">
        <v>5</v>
      </c>
      <c r="M219" s="4">
        <v>3</v>
      </c>
      <c r="N219" s="4" t="s">
        <v>3</v>
      </c>
      <c r="O219" s="4">
        <v>0</v>
      </c>
      <c r="P219" s="4"/>
      <c r="Q219" s="4"/>
      <c r="R219" s="4"/>
      <c r="S219" s="4"/>
      <c r="T219" s="4"/>
      <c r="U219" s="4"/>
      <c r="V219" s="4"/>
      <c r="W219" s="4">
        <v>470171</v>
      </c>
      <c r="X219" s="4">
        <v>1</v>
      </c>
      <c r="Y219" s="4">
        <v>470171</v>
      </c>
      <c r="Z219" s="4"/>
      <c r="AA219" s="4"/>
      <c r="AB219" s="4"/>
    </row>
    <row r="220" spans="1:206" x14ac:dyDescent="0.2">
      <c r="A220" s="4">
        <v>50</v>
      </c>
      <c r="B220" s="4">
        <v>0</v>
      </c>
      <c r="C220" s="4">
        <v>0</v>
      </c>
      <c r="D220" s="4">
        <v>1</v>
      </c>
      <c r="E220" s="4">
        <v>227</v>
      </c>
      <c r="F220" s="4">
        <f>ROUND(Source!AX213,O220)</f>
        <v>0</v>
      </c>
      <c r="G220" s="4" t="s">
        <v>78</v>
      </c>
      <c r="H220" s="4" t="s">
        <v>79</v>
      </c>
      <c r="I220" s="4"/>
      <c r="J220" s="4"/>
      <c r="K220" s="4">
        <v>227</v>
      </c>
      <c r="L220" s="4">
        <v>6</v>
      </c>
      <c r="M220" s="4">
        <v>3</v>
      </c>
      <c r="N220" s="4" t="s">
        <v>3</v>
      </c>
      <c r="O220" s="4">
        <v>0</v>
      </c>
      <c r="P220" s="4"/>
      <c r="Q220" s="4"/>
      <c r="R220" s="4"/>
      <c r="S220" s="4"/>
      <c r="T220" s="4"/>
      <c r="U220" s="4"/>
      <c r="V220" s="4"/>
      <c r="W220" s="4">
        <v>0</v>
      </c>
      <c r="X220" s="4">
        <v>1</v>
      </c>
      <c r="Y220" s="4">
        <v>0</v>
      </c>
      <c r="Z220" s="4"/>
      <c r="AA220" s="4"/>
      <c r="AB220" s="4"/>
    </row>
    <row r="221" spans="1:206" x14ac:dyDescent="0.2">
      <c r="A221" s="4">
        <v>50</v>
      </c>
      <c r="B221" s="4">
        <v>0</v>
      </c>
      <c r="C221" s="4">
        <v>0</v>
      </c>
      <c r="D221" s="4">
        <v>1</v>
      </c>
      <c r="E221" s="4">
        <v>228</v>
      </c>
      <c r="F221" s="4">
        <f>ROUND(Source!AY213,O221)</f>
        <v>439460</v>
      </c>
      <c r="G221" s="4" t="s">
        <v>80</v>
      </c>
      <c r="H221" s="4" t="s">
        <v>81</v>
      </c>
      <c r="I221" s="4"/>
      <c r="J221" s="4"/>
      <c r="K221" s="4">
        <v>228</v>
      </c>
      <c r="L221" s="4">
        <v>7</v>
      </c>
      <c r="M221" s="4">
        <v>3</v>
      </c>
      <c r="N221" s="4" t="s">
        <v>3</v>
      </c>
      <c r="O221" s="4">
        <v>0</v>
      </c>
      <c r="P221" s="4"/>
      <c r="Q221" s="4"/>
      <c r="R221" s="4"/>
      <c r="S221" s="4"/>
      <c r="T221" s="4"/>
      <c r="U221" s="4"/>
      <c r="V221" s="4"/>
      <c r="W221" s="4">
        <v>470171</v>
      </c>
      <c r="X221" s="4">
        <v>1</v>
      </c>
      <c r="Y221" s="4">
        <v>470171</v>
      </c>
      <c r="Z221" s="4"/>
      <c r="AA221" s="4"/>
      <c r="AB221" s="4"/>
    </row>
    <row r="222" spans="1:206" x14ac:dyDescent="0.2">
      <c r="A222" s="4">
        <v>50</v>
      </c>
      <c r="B222" s="4">
        <v>0</v>
      </c>
      <c r="C222" s="4">
        <v>0</v>
      </c>
      <c r="D222" s="4">
        <v>1</v>
      </c>
      <c r="E222" s="4">
        <v>216</v>
      </c>
      <c r="F222" s="4">
        <f>ROUND(Source!AP213,O222)</f>
        <v>0</v>
      </c>
      <c r="G222" s="4" t="s">
        <v>82</v>
      </c>
      <c r="H222" s="4" t="s">
        <v>83</v>
      </c>
      <c r="I222" s="4"/>
      <c r="J222" s="4"/>
      <c r="K222" s="4">
        <v>216</v>
      </c>
      <c r="L222" s="4">
        <v>8</v>
      </c>
      <c r="M222" s="4">
        <v>3</v>
      </c>
      <c r="N222" s="4" t="s">
        <v>3</v>
      </c>
      <c r="O222" s="4">
        <v>0</v>
      </c>
      <c r="P222" s="4"/>
      <c r="Q222" s="4"/>
      <c r="R222" s="4"/>
      <c r="S222" s="4"/>
      <c r="T222" s="4"/>
      <c r="U222" s="4"/>
      <c r="V222" s="4"/>
      <c r="W222" s="4">
        <v>0</v>
      </c>
      <c r="X222" s="4">
        <v>1</v>
      </c>
      <c r="Y222" s="4">
        <v>0</v>
      </c>
      <c r="Z222" s="4"/>
      <c r="AA222" s="4"/>
      <c r="AB222" s="4"/>
    </row>
    <row r="223" spans="1:206" x14ac:dyDescent="0.2">
      <c r="A223" s="4">
        <v>50</v>
      </c>
      <c r="B223" s="4">
        <v>0</v>
      </c>
      <c r="C223" s="4">
        <v>0</v>
      </c>
      <c r="D223" s="4">
        <v>1</v>
      </c>
      <c r="E223" s="4">
        <v>223</v>
      </c>
      <c r="F223" s="4">
        <f>ROUND(Source!AQ213,O223)</f>
        <v>0</v>
      </c>
      <c r="G223" s="4" t="s">
        <v>84</v>
      </c>
      <c r="H223" s="4" t="s">
        <v>85</v>
      </c>
      <c r="I223" s="4"/>
      <c r="J223" s="4"/>
      <c r="K223" s="4">
        <v>223</v>
      </c>
      <c r="L223" s="4">
        <v>9</v>
      </c>
      <c r="M223" s="4">
        <v>3</v>
      </c>
      <c r="N223" s="4" t="s">
        <v>3</v>
      </c>
      <c r="O223" s="4">
        <v>0</v>
      </c>
      <c r="P223" s="4"/>
      <c r="Q223" s="4"/>
      <c r="R223" s="4"/>
      <c r="S223" s="4"/>
      <c r="T223" s="4"/>
      <c r="U223" s="4"/>
      <c r="V223" s="4"/>
      <c r="W223" s="4">
        <v>0</v>
      </c>
      <c r="X223" s="4">
        <v>1</v>
      </c>
      <c r="Y223" s="4">
        <v>0</v>
      </c>
      <c r="Z223" s="4"/>
      <c r="AA223" s="4"/>
      <c r="AB223" s="4"/>
    </row>
    <row r="224" spans="1:206" x14ac:dyDescent="0.2">
      <c r="A224" s="4">
        <v>50</v>
      </c>
      <c r="B224" s="4">
        <v>0</v>
      </c>
      <c r="C224" s="4">
        <v>0</v>
      </c>
      <c r="D224" s="4">
        <v>1</v>
      </c>
      <c r="E224" s="4">
        <v>229</v>
      </c>
      <c r="F224" s="4">
        <f>ROUND(Source!AZ213,O224)</f>
        <v>0</v>
      </c>
      <c r="G224" s="4" t="s">
        <v>86</v>
      </c>
      <c r="H224" s="4" t="s">
        <v>87</v>
      </c>
      <c r="I224" s="4"/>
      <c r="J224" s="4"/>
      <c r="K224" s="4">
        <v>229</v>
      </c>
      <c r="L224" s="4">
        <v>10</v>
      </c>
      <c r="M224" s="4">
        <v>3</v>
      </c>
      <c r="N224" s="4" t="s">
        <v>3</v>
      </c>
      <c r="O224" s="4">
        <v>0</v>
      </c>
      <c r="P224" s="4"/>
      <c r="Q224" s="4"/>
      <c r="R224" s="4"/>
      <c r="S224" s="4"/>
      <c r="T224" s="4"/>
      <c r="U224" s="4"/>
      <c r="V224" s="4"/>
      <c r="W224" s="4">
        <v>0</v>
      </c>
      <c r="X224" s="4">
        <v>1</v>
      </c>
      <c r="Y224" s="4">
        <v>0</v>
      </c>
      <c r="Z224" s="4"/>
      <c r="AA224" s="4"/>
      <c r="AB224" s="4"/>
    </row>
    <row r="225" spans="1:28" x14ac:dyDescent="0.2">
      <c r="A225" s="4">
        <v>50</v>
      </c>
      <c r="B225" s="4">
        <v>0</v>
      </c>
      <c r="C225" s="4">
        <v>0</v>
      </c>
      <c r="D225" s="4">
        <v>1</v>
      </c>
      <c r="E225" s="4">
        <v>203</v>
      </c>
      <c r="F225" s="4">
        <f>ROUND(Source!Q213,O225)</f>
        <v>33276</v>
      </c>
      <c r="G225" s="4" t="s">
        <v>88</v>
      </c>
      <c r="H225" s="4" t="s">
        <v>89</v>
      </c>
      <c r="I225" s="4"/>
      <c r="J225" s="4"/>
      <c r="K225" s="4">
        <v>203</v>
      </c>
      <c r="L225" s="4">
        <v>11</v>
      </c>
      <c r="M225" s="4">
        <v>3</v>
      </c>
      <c r="N225" s="4" t="s">
        <v>3</v>
      </c>
      <c r="O225" s="4">
        <v>0</v>
      </c>
      <c r="P225" s="4"/>
      <c r="Q225" s="4"/>
      <c r="R225" s="4"/>
      <c r="S225" s="4"/>
      <c r="T225" s="4"/>
      <c r="U225" s="4"/>
      <c r="V225" s="4"/>
      <c r="W225" s="4">
        <v>37972</v>
      </c>
      <c r="X225" s="4">
        <v>1</v>
      </c>
      <c r="Y225" s="4">
        <v>37972</v>
      </c>
      <c r="Z225" s="4"/>
      <c r="AA225" s="4"/>
      <c r="AB225" s="4"/>
    </row>
    <row r="226" spans="1:28" x14ac:dyDescent="0.2">
      <c r="A226" s="4">
        <v>50</v>
      </c>
      <c r="B226" s="4">
        <v>0</v>
      </c>
      <c r="C226" s="4">
        <v>0</v>
      </c>
      <c r="D226" s="4">
        <v>1</v>
      </c>
      <c r="E226" s="4">
        <v>231</v>
      </c>
      <c r="F226" s="4">
        <f>ROUND(Source!BB213,O226)</f>
        <v>0</v>
      </c>
      <c r="G226" s="4" t="s">
        <v>90</v>
      </c>
      <c r="H226" s="4" t="s">
        <v>91</v>
      </c>
      <c r="I226" s="4"/>
      <c r="J226" s="4"/>
      <c r="K226" s="4">
        <v>231</v>
      </c>
      <c r="L226" s="4">
        <v>12</v>
      </c>
      <c r="M226" s="4">
        <v>3</v>
      </c>
      <c r="N226" s="4" t="s">
        <v>3</v>
      </c>
      <c r="O226" s="4">
        <v>0</v>
      </c>
      <c r="P226" s="4"/>
      <c r="Q226" s="4"/>
      <c r="R226" s="4"/>
      <c r="S226" s="4"/>
      <c r="T226" s="4"/>
      <c r="U226" s="4"/>
      <c r="V226" s="4"/>
      <c r="W226" s="4">
        <v>0</v>
      </c>
      <c r="X226" s="4">
        <v>1</v>
      </c>
      <c r="Y226" s="4">
        <v>0</v>
      </c>
      <c r="Z226" s="4"/>
      <c r="AA226" s="4"/>
      <c r="AB226" s="4"/>
    </row>
    <row r="227" spans="1:28" x14ac:dyDescent="0.2">
      <c r="A227" s="4">
        <v>50</v>
      </c>
      <c r="B227" s="4">
        <v>0</v>
      </c>
      <c r="C227" s="4">
        <v>0</v>
      </c>
      <c r="D227" s="4">
        <v>1</v>
      </c>
      <c r="E227" s="4">
        <v>204</v>
      </c>
      <c r="F227" s="4">
        <f>ROUND(Source!R213,O227)</f>
        <v>7595</v>
      </c>
      <c r="G227" s="4" t="s">
        <v>92</v>
      </c>
      <c r="H227" s="4" t="s">
        <v>93</v>
      </c>
      <c r="I227" s="4"/>
      <c r="J227" s="4"/>
      <c r="K227" s="4">
        <v>204</v>
      </c>
      <c r="L227" s="4">
        <v>13</v>
      </c>
      <c r="M227" s="4">
        <v>3</v>
      </c>
      <c r="N227" s="4" t="s">
        <v>3</v>
      </c>
      <c r="O227" s="4">
        <v>0</v>
      </c>
      <c r="P227" s="4"/>
      <c r="Q227" s="4"/>
      <c r="R227" s="4"/>
      <c r="S227" s="4"/>
      <c r="T227" s="4"/>
      <c r="U227" s="4"/>
      <c r="V227" s="4"/>
      <c r="W227" s="4">
        <v>8668</v>
      </c>
      <c r="X227" s="4">
        <v>1</v>
      </c>
      <c r="Y227" s="4">
        <v>8668</v>
      </c>
      <c r="Z227" s="4"/>
      <c r="AA227" s="4"/>
      <c r="AB227" s="4"/>
    </row>
    <row r="228" spans="1:28" x14ac:dyDescent="0.2">
      <c r="A228" s="4">
        <v>50</v>
      </c>
      <c r="B228" s="4">
        <v>0</v>
      </c>
      <c r="C228" s="4">
        <v>0</v>
      </c>
      <c r="D228" s="4">
        <v>1</v>
      </c>
      <c r="E228" s="4">
        <v>205</v>
      </c>
      <c r="F228" s="4">
        <f>ROUND(Source!S213,O228)</f>
        <v>177470</v>
      </c>
      <c r="G228" s="4" t="s">
        <v>94</v>
      </c>
      <c r="H228" s="4" t="s">
        <v>95</v>
      </c>
      <c r="I228" s="4"/>
      <c r="J228" s="4"/>
      <c r="K228" s="4">
        <v>205</v>
      </c>
      <c r="L228" s="4">
        <v>14</v>
      </c>
      <c r="M228" s="4">
        <v>3</v>
      </c>
      <c r="N228" s="4" t="s">
        <v>3</v>
      </c>
      <c r="O228" s="4">
        <v>0</v>
      </c>
      <c r="P228" s="4"/>
      <c r="Q228" s="4"/>
      <c r="R228" s="4"/>
      <c r="S228" s="4"/>
      <c r="T228" s="4"/>
      <c r="U228" s="4"/>
      <c r="V228" s="4"/>
      <c r="W228" s="4">
        <v>199405</v>
      </c>
      <c r="X228" s="4">
        <v>1</v>
      </c>
      <c r="Y228" s="4">
        <v>199405</v>
      </c>
      <c r="Z228" s="4"/>
      <c r="AA228" s="4"/>
      <c r="AB228" s="4"/>
    </row>
    <row r="229" spans="1:28" x14ac:dyDescent="0.2">
      <c r="A229" s="4">
        <v>50</v>
      </c>
      <c r="B229" s="4">
        <v>0</v>
      </c>
      <c r="C229" s="4">
        <v>0</v>
      </c>
      <c r="D229" s="4">
        <v>1</v>
      </c>
      <c r="E229" s="4">
        <v>232</v>
      </c>
      <c r="F229" s="4">
        <f>ROUND(Source!BC213,O229)</f>
        <v>0</v>
      </c>
      <c r="G229" s="4" t="s">
        <v>96</v>
      </c>
      <c r="H229" s="4" t="s">
        <v>97</v>
      </c>
      <c r="I229" s="4"/>
      <c r="J229" s="4"/>
      <c r="K229" s="4">
        <v>232</v>
      </c>
      <c r="L229" s="4">
        <v>15</v>
      </c>
      <c r="M229" s="4">
        <v>3</v>
      </c>
      <c r="N229" s="4" t="s">
        <v>3</v>
      </c>
      <c r="O229" s="4">
        <v>0</v>
      </c>
      <c r="P229" s="4"/>
      <c r="Q229" s="4"/>
      <c r="R229" s="4"/>
      <c r="S229" s="4"/>
      <c r="T229" s="4"/>
      <c r="U229" s="4"/>
      <c r="V229" s="4"/>
      <c r="W229" s="4">
        <v>0</v>
      </c>
      <c r="X229" s="4">
        <v>1</v>
      </c>
      <c r="Y229" s="4">
        <v>0</v>
      </c>
      <c r="Z229" s="4"/>
      <c r="AA229" s="4"/>
      <c r="AB229" s="4"/>
    </row>
    <row r="230" spans="1:28" x14ac:dyDescent="0.2">
      <c r="A230" s="4">
        <v>50</v>
      </c>
      <c r="B230" s="4">
        <v>0</v>
      </c>
      <c r="C230" s="4">
        <v>0</v>
      </c>
      <c r="D230" s="4">
        <v>1</v>
      </c>
      <c r="E230" s="4">
        <v>214</v>
      </c>
      <c r="F230" s="4">
        <f>ROUND(Source!AS213,O230)</f>
        <v>631083</v>
      </c>
      <c r="G230" s="4" t="s">
        <v>98</v>
      </c>
      <c r="H230" s="4" t="s">
        <v>99</v>
      </c>
      <c r="I230" s="4"/>
      <c r="J230" s="4"/>
      <c r="K230" s="4">
        <v>214</v>
      </c>
      <c r="L230" s="4">
        <v>16</v>
      </c>
      <c r="M230" s="4">
        <v>3</v>
      </c>
      <c r="N230" s="4" t="s">
        <v>3</v>
      </c>
      <c r="O230" s="4">
        <v>0</v>
      </c>
      <c r="P230" s="4"/>
      <c r="Q230" s="4"/>
      <c r="R230" s="4"/>
      <c r="S230" s="4"/>
      <c r="T230" s="4"/>
      <c r="U230" s="4"/>
      <c r="V230" s="4"/>
      <c r="W230" s="4">
        <v>699503</v>
      </c>
      <c r="X230" s="4">
        <v>1</v>
      </c>
      <c r="Y230" s="4">
        <v>699503</v>
      </c>
      <c r="Z230" s="4"/>
      <c r="AA230" s="4"/>
      <c r="AB230" s="4"/>
    </row>
    <row r="231" spans="1:28" x14ac:dyDescent="0.2">
      <c r="A231" s="4">
        <v>50</v>
      </c>
      <c r="B231" s="4">
        <v>0</v>
      </c>
      <c r="C231" s="4">
        <v>0</v>
      </c>
      <c r="D231" s="4">
        <v>1</v>
      </c>
      <c r="E231" s="4">
        <v>215</v>
      </c>
      <c r="F231" s="4">
        <f>ROUND(Source!AT213,O231)</f>
        <v>0</v>
      </c>
      <c r="G231" s="4" t="s">
        <v>100</v>
      </c>
      <c r="H231" s="4" t="s">
        <v>101</v>
      </c>
      <c r="I231" s="4"/>
      <c r="J231" s="4"/>
      <c r="K231" s="4">
        <v>215</v>
      </c>
      <c r="L231" s="4">
        <v>17</v>
      </c>
      <c r="M231" s="4">
        <v>3</v>
      </c>
      <c r="N231" s="4" t="s">
        <v>3</v>
      </c>
      <c r="O231" s="4">
        <v>0</v>
      </c>
      <c r="P231" s="4"/>
      <c r="Q231" s="4"/>
      <c r="R231" s="4"/>
      <c r="S231" s="4"/>
      <c r="T231" s="4"/>
      <c r="U231" s="4"/>
      <c r="V231" s="4"/>
      <c r="W231" s="4">
        <v>0</v>
      </c>
      <c r="X231" s="4">
        <v>1</v>
      </c>
      <c r="Y231" s="4">
        <v>0</v>
      </c>
      <c r="Z231" s="4"/>
      <c r="AA231" s="4"/>
      <c r="AB231" s="4"/>
    </row>
    <row r="232" spans="1:28" x14ac:dyDescent="0.2">
      <c r="A232" s="4">
        <v>50</v>
      </c>
      <c r="B232" s="4">
        <v>0</v>
      </c>
      <c r="C232" s="4">
        <v>0</v>
      </c>
      <c r="D232" s="4">
        <v>1</v>
      </c>
      <c r="E232" s="4">
        <v>217</v>
      </c>
      <c r="F232" s="4">
        <f>ROUND(Source!AU213,O232)</f>
        <v>370819</v>
      </c>
      <c r="G232" s="4" t="s">
        <v>102</v>
      </c>
      <c r="H232" s="4" t="s">
        <v>103</v>
      </c>
      <c r="I232" s="4"/>
      <c r="J232" s="4"/>
      <c r="K232" s="4">
        <v>217</v>
      </c>
      <c r="L232" s="4">
        <v>18</v>
      </c>
      <c r="M232" s="4">
        <v>3</v>
      </c>
      <c r="N232" s="4" t="s">
        <v>3</v>
      </c>
      <c r="O232" s="4">
        <v>0</v>
      </c>
      <c r="P232" s="4"/>
      <c r="Q232" s="4"/>
      <c r="R232" s="4"/>
      <c r="S232" s="4"/>
      <c r="T232" s="4"/>
      <c r="U232" s="4"/>
      <c r="V232" s="4"/>
      <c r="W232" s="4">
        <v>398233</v>
      </c>
      <c r="X232" s="4">
        <v>1</v>
      </c>
      <c r="Y232" s="4">
        <v>398233</v>
      </c>
      <c r="Z232" s="4"/>
      <c r="AA232" s="4"/>
      <c r="AB232" s="4"/>
    </row>
    <row r="233" spans="1:28" x14ac:dyDescent="0.2">
      <c r="A233" s="4">
        <v>50</v>
      </c>
      <c r="B233" s="4">
        <v>0</v>
      </c>
      <c r="C233" s="4">
        <v>0</v>
      </c>
      <c r="D233" s="4">
        <v>1</v>
      </c>
      <c r="E233" s="4">
        <v>230</v>
      </c>
      <c r="F233" s="4">
        <f>ROUND(Source!BA213,O233)</f>
        <v>0</v>
      </c>
      <c r="G233" s="4" t="s">
        <v>104</v>
      </c>
      <c r="H233" s="4" t="s">
        <v>105</v>
      </c>
      <c r="I233" s="4"/>
      <c r="J233" s="4"/>
      <c r="K233" s="4">
        <v>230</v>
      </c>
      <c r="L233" s="4">
        <v>19</v>
      </c>
      <c r="M233" s="4">
        <v>3</v>
      </c>
      <c r="N233" s="4" t="s">
        <v>3</v>
      </c>
      <c r="O233" s="4">
        <v>0</v>
      </c>
      <c r="P233" s="4"/>
      <c r="Q233" s="4"/>
      <c r="R233" s="4"/>
      <c r="S233" s="4"/>
      <c r="T233" s="4"/>
      <c r="U233" s="4"/>
      <c r="V233" s="4"/>
      <c r="W233" s="4">
        <v>0</v>
      </c>
      <c r="X233" s="4">
        <v>1</v>
      </c>
      <c r="Y233" s="4">
        <v>0</v>
      </c>
      <c r="Z233" s="4"/>
      <c r="AA233" s="4"/>
      <c r="AB233" s="4"/>
    </row>
    <row r="234" spans="1:28" x14ac:dyDescent="0.2">
      <c r="A234" s="4">
        <v>50</v>
      </c>
      <c r="B234" s="4">
        <v>0</v>
      </c>
      <c r="C234" s="4">
        <v>0</v>
      </c>
      <c r="D234" s="4">
        <v>1</v>
      </c>
      <c r="E234" s="4">
        <v>206</v>
      </c>
      <c r="F234" s="4">
        <f>ROUND(Source!T213,O234)</f>
        <v>0</v>
      </c>
      <c r="G234" s="4" t="s">
        <v>106</v>
      </c>
      <c r="H234" s="4" t="s">
        <v>107</v>
      </c>
      <c r="I234" s="4"/>
      <c r="J234" s="4"/>
      <c r="K234" s="4">
        <v>206</v>
      </c>
      <c r="L234" s="4">
        <v>20</v>
      </c>
      <c r="M234" s="4">
        <v>3</v>
      </c>
      <c r="N234" s="4" t="s">
        <v>3</v>
      </c>
      <c r="O234" s="4">
        <v>0</v>
      </c>
      <c r="P234" s="4"/>
      <c r="Q234" s="4"/>
      <c r="R234" s="4"/>
      <c r="S234" s="4"/>
      <c r="T234" s="4"/>
      <c r="U234" s="4"/>
      <c r="V234" s="4"/>
      <c r="W234" s="4">
        <v>0</v>
      </c>
      <c r="X234" s="4">
        <v>1</v>
      </c>
      <c r="Y234" s="4">
        <v>0</v>
      </c>
      <c r="Z234" s="4"/>
      <c r="AA234" s="4"/>
      <c r="AB234" s="4"/>
    </row>
    <row r="235" spans="1:28" x14ac:dyDescent="0.2">
      <c r="A235" s="4">
        <v>50</v>
      </c>
      <c r="B235" s="4">
        <v>0</v>
      </c>
      <c r="C235" s="4">
        <v>0</v>
      </c>
      <c r="D235" s="4">
        <v>1</v>
      </c>
      <c r="E235" s="4">
        <v>207</v>
      </c>
      <c r="F235" s="4">
        <f>Source!U213</f>
        <v>639.5771598</v>
      </c>
      <c r="G235" s="4" t="s">
        <v>108</v>
      </c>
      <c r="H235" s="4" t="s">
        <v>109</v>
      </c>
      <c r="I235" s="4"/>
      <c r="J235" s="4"/>
      <c r="K235" s="4">
        <v>207</v>
      </c>
      <c r="L235" s="4">
        <v>21</v>
      </c>
      <c r="M235" s="4">
        <v>3</v>
      </c>
      <c r="N235" s="4" t="s">
        <v>3</v>
      </c>
      <c r="O235" s="4">
        <v>-1</v>
      </c>
      <c r="P235" s="4"/>
      <c r="Q235" s="4"/>
      <c r="R235" s="4"/>
      <c r="S235" s="4"/>
      <c r="T235" s="4"/>
      <c r="U235" s="4"/>
      <c r="V235" s="4"/>
      <c r="W235" s="4">
        <v>720.1523353</v>
      </c>
      <c r="X235" s="4">
        <v>1</v>
      </c>
      <c r="Y235" s="4">
        <v>720.1523353</v>
      </c>
      <c r="Z235" s="4"/>
      <c r="AA235" s="4"/>
      <c r="AB235" s="4"/>
    </row>
    <row r="236" spans="1:28" x14ac:dyDescent="0.2">
      <c r="A236" s="4">
        <v>50</v>
      </c>
      <c r="B236" s="4">
        <v>0</v>
      </c>
      <c r="C236" s="4">
        <v>0</v>
      </c>
      <c r="D236" s="4">
        <v>1</v>
      </c>
      <c r="E236" s="4">
        <v>208</v>
      </c>
      <c r="F236" s="4">
        <f>Source!V213</f>
        <v>20.442213124999999</v>
      </c>
      <c r="G236" s="4" t="s">
        <v>110</v>
      </c>
      <c r="H236" s="4" t="s">
        <v>111</v>
      </c>
      <c r="I236" s="4"/>
      <c r="J236" s="4"/>
      <c r="K236" s="4">
        <v>208</v>
      </c>
      <c r="L236" s="4">
        <v>22</v>
      </c>
      <c r="M236" s="4">
        <v>3</v>
      </c>
      <c r="N236" s="4" t="s">
        <v>3</v>
      </c>
      <c r="O236" s="4">
        <v>-1</v>
      </c>
      <c r="P236" s="4"/>
      <c r="Q236" s="4"/>
      <c r="R236" s="4"/>
      <c r="S236" s="4"/>
      <c r="T236" s="4"/>
      <c r="U236" s="4"/>
      <c r="V236" s="4"/>
      <c r="W236" s="4">
        <v>23.414307624999999</v>
      </c>
      <c r="X236" s="4">
        <v>1</v>
      </c>
      <c r="Y236" s="4">
        <v>23.414307624999999</v>
      </c>
      <c r="Z236" s="4"/>
      <c r="AA236" s="4"/>
      <c r="AB236" s="4"/>
    </row>
    <row r="237" spans="1:28" x14ac:dyDescent="0.2">
      <c r="A237" s="4">
        <v>50</v>
      </c>
      <c r="B237" s="4">
        <v>0</v>
      </c>
      <c r="C237" s="4">
        <v>0</v>
      </c>
      <c r="D237" s="4">
        <v>1</v>
      </c>
      <c r="E237" s="4">
        <v>209</v>
      </c>
      <c r="F237" s="4">
        <f>ROUND(Source!W213,O237)</f>
        <v>0</v>
      </c>
      <c r="G237" s="4" t="s">
        <v>112</v>
      </c>
      <c r="H237" s="4" t="s">
        <v>113</v>
      </c>
      <c r="I237" s="4"/>
      <c r="J237" s="4"/>
      <c r="K237" s="4">
        <v>209</v>
      </c>
      <c r="L237" s="4">
        <v>23</v>
      </c>
      <c r="M237" s="4">
        <v>3</v>
      </c>
      <c r="N237" s="4" t="s">
        <v>3</v>
      </c>
      <c r="O237" s="4">
        <v>0</v>
      </c>
      <c r="P237" s="4"/>
      <c r="Q237" s="4"/>
      <c r="R237" s="4"/>
      <c r="S237" s="4"/>
      <c r="T237" s="4"/>
      <c r="U237" s="4"/>
      <c r="V237" s="4"/>
      <c r="W237" s="4">
        <v>0</v>
      </c>
      <c r="X237" s="4">
        <v>1</v>
      </c>
      <c r="Y237" s="4">
        <v>0</v>
      </c>
      <c r="Z237" s="4"/>
      <c r="AA237" s="4"/>
      <c r="AB237" s="4"/>
    </row>
    <row r="238" spans="1:28" x14ac:dyDescent="0.2">
      <c r="A238" s="4">
        <v>50</v>
      </c>
      <c r="B238" s="4">
        <v>0</v>
      </c>
      <c r="C238" s="4">
        <v>0</v>
      </c>
      <c r="D238" s="4">
        <v>1</v>
      </c>
      <c r="E238" s="4">
        <v>233</v>
      </c>
      <c r="F238" s="4">
        <f>ROUND(Source!BD213,O238)</f>
        <v>0</v>
      </c>
      <c r="G238" s="4" t="s">
        <v>114</v>
      </c>
      <c r="H238" s="4" t="s">
        <v>115</v>
      </c>
      <c r="I238" s="4"/>
      <c r="J238" s="4"/>
      <c r="K238" s="4">
        <v>233</v>
      </c>
      <c r="L238" s="4">
        <v>24</v>
      </c>
      <c r="M238" s="4">
        <v>3</v>
      </c>
      <c r="N238" s="4" t="s">
        <v>3</v>
      </c>
      <c r="O238" s="4">
        <v>0</v>
      </c>
      <c r="P238" s="4"/>
      <c r="Q238" s="4"/>
      <c r="R238" s="4"/>
      <c r="S238" s="4"/>
      <c r="T238" s="4"/>
      <c r="U238" s="4"/>
      <c r="V238" s="4"/>
      <c r="W238" s="4">
        <v>0</v>
      </c>
      <c r="X238" s="4">
        <v>1</v>
      </c>
      <c r="Y238" s="4">
        <v>0</v>
      </c>
      <c r="Z238" s="4"/>
      <c r="AA238" s="4"/>
      <c r="AB238" s="4"/>
    </row>
    <row r="239" spans="1:28" x14ac:dyDescent="0.2">
      <c r="A239" s="4">
        <v>50</v>
      </c>
      <c r="B239" s="4">
        <v>0</v>
      </c>
      <c r="C239" s="4">
        <v>0</v>
      </c>
      <c r="D239" s="4">
        <v>1</v>
      </c>
      <c r="E239" s="4">
        <v>210</v>
      </c>
      <c r="F239" s="4">
        <f>ROUND(Source!X213,O239)</f>
        <v>216070</v>
      </c>
      <c r="G239" s="4" t="s">
        <v>116</v>
      </c>
      <c r="H239" s="4" t="s">
        <v>117</v>
      </c>
      <c r="I239" s="4"/>
      <c r="J239" s="4"/>
      <c r="K239" s="4">
        <v>210</v>
      </c>
      <c r="L239" s="4">
        <v>25</v>
      </c>
      <c r="M239" s="4">
        <v>3</v>
      </c>
      <c r="N239" s="4" t="s">
        <v>3</v>
      </c>
      <c r="O239" s="4">
        <v>0</v>
      </c>
      <c r="P239" s="4"/>
      <c r="Q239" s="4"/>
      <c r="R239" s="4"/>
      <c r="S239" s="4"/>
      <c r="T239" s="4"/>
      <c r="U239" s="4"/>
      <c r="V239" s="4"/>
      <c r="W239" s="4">
        <v>240003</v>
      </c>
      <c r="X239" s="4">
        <v>1</v>
      </c>
      <c r="Y239" s="4">
        <v>240003</v>
      </c>
      <c r="Z239" s="4"/>
      <c r="AA239" s="4"/>
      <c r="AB239" s="4"/>
    </row>
    <row r="240" spans="1:28" x14ac:dyDescent="0.2">
      <c r="A240" s="4">
        <v>50</v>
      </c>
      <c r="B240" s="4">
        <v>0</v>
      </c>
      <c r="C240" s="4">
        <v>0</v>
      </c>
      <c r="D240" s="4">
        <v>1</v>
      </c>
      <c r="E240" s="4">
        <v>211</v>
      </c>
      <c r="F240" s="4">
        <f>ROUND(Source!Y213,O240)</f>
        <v>135626</v>
      </c>
      <c r="G240" s="4" t="s">
        <v>118</v>
      </c>
      <c r="H240" s="4" t="s">
        <v>119</v>
      </c>
      <c r="I240" s="4"/>
      <c r="J240" s="4"/>
      <c r="K240" s="4">
        <v>211</v>
      </c>
      <c r="L240" s="4">
        <v>26</v>
      </c>
      <c r="M240" s="4">
        <v>3</v>
      </c>
      <c r="N240" s="4" t="s">
        <v>3</v>
      </c>
      <c r="O240" s="4">
        <v>0</v>
      </c>
      <c r="P240" s="4"/>
      <c r="Q240" s="4"/>
      <c r="R240" s="4"/>
      <c r="S240" s="4"/>
      <c r="T240" s="4"/>
      <c r="U240" s="4"/>
      <c r="V240" s="4"/>
      <c r="W240" s="4">
        <v>150185</v>
      </c>
      <c r="X240" s="4">
        <v>1</v>
      </c>
      <c r="Y240" s="4">
        <v>150185</v>
      </c>
      <c r="Z240" s="4"/>
      <c r="AA240" s="4"/>
      <c r="AB240" s="4"/>
    </row>
    <row r="241" spans="1:245" x14ac:dyDescent="0.2">
      <c r="A241" s="4">
        <v>50</v>
      </c>
      <c r="B241" s="4">
        <v>0</v>
      </c>
      <c r="C241" s="4">
        <v>0</v>
      </c>
      <c r="D241" s="4">
        <v>1</v>
      </c>
      <c r="E241" s="4">
        <v>224</v>
      </c>
      <c r="F241" s="4">
        <f>ROUND(Source!AR213,O241)</f>
        <v>1001902</v>
      </c>
      <c r="G241" s="4" t="s">
        <v>120</v>
      </c>
      <c r="H241" s="4" t="s">
        <v>121</v>
      </c>
      <c r="I241" s="4"/>
      <c r="J241" s="4"/>
      <c r="K241" s="4">
        <v>224</v>
      </c>
      <c r="L241" s="4">
        <v>27</v>
      </c>
      <c r="M241" s="4">
        <v>3</v>
      </c>
      <c r="N241" s="4" t="s">
        <v>3</v>
      </c>
      <c r="O241" s="4">
        <v>0</v>
      </c>
      <c r="P241" s="4"/>
      <c r="Q241" s="4"/>
      <c r="R241" s="4"/>
      <c r="S241" s="4"/>
      <c r="T241" s="4"/>
      <c r="U241" s="4"/>
      <c r="V241" s="4"/>
      <c r="W241" s="4">
        <v>1097736</v>
      </c>
      <c r="X241" s="4">
        <v>1</v>
      </c>
      <c r="Y241" s="4">
        <v>1097736</v>
      </c>
      <c r="Z241" s="4"/>
      <c r="AA241" s="4"/>
      <c r="AB241" s="4"/>
    </row>
    <row r="243" spans="1:245" x14ac:dyDescent="0.2">
      <c r="A243" s="1">
        <v>4</v>
      </c>
      <c r="B243" s="1">
        <v>1</v>
      </c>
      <c r="C243" s="1"/>
      <c r="D243" s="1">
        <f>ROW(A424)</f>
        <v>424</v>
      </c>
      <c r="E243" s="1"/>
      <c r="F243" s="1" t="s">
        <v>13</v>
      </c>
      <c r="G243" s="1" t="s">
        <v>227</v>
      </c>
      <c r="H243" s="1" t="s">
        <v>3</v>
      </c>
      <c r="I243" s="1">
        <v>0</v>
      </c>
      <c r="J243" s="1"/>
      <c r="K243" s="1">
        <v>0</v>
      </c>
      <c r="L243" s="1"/>
      <c r="M243" s="1" t="s">
        <v>3</v>
      </c>
      <c r="N243" s="1"/>
      <c r="O243" s="1"/>
      <c r="P243" s="1"/>
      <c r="Q243" s="1"/>
      <c r="R243" s="1"/>
      <c r="S243" s="1">
        <v>0</v>
      </c>
      <c r="T243" s="1"/>
      <c r="U243" s="1" t="s">
        <v>3</v>
      </c>
      <c r="V243" s="1">
        <v>0</v>
      </c>
      <c r="W243" s="1"/>
      <c r="X243" s="1"/>
      <c r="Y243" s="1"/>
      <c r="Z243" s="1"/>
      <c r="AA243" s="1"/>
      <c r="AB243" s="1" t="s">
        <v>3</v>
      </c>
      <c r="AC243" s="1" t="s">
        <v>3</v>
      </c>
      <c r="AD243" s="1" t="s">
        <v>3</v>
      </c>
      <c r="AE243" s="1" t="s">
        <v>3</v>
      </c>
      <c r="AF243" s="1" t="s">
        <v>3</v>
      </c>
      <c r="AG243" s="1" t="s">
        <v>3</v>
      </c>
      <c r="AH243" s="1"/>
      <c r="AI243" s="1"/>
      <c r="AJ243" s="1"/>
      <c r="AK243" s="1"/>
      <c r="AL243" s="1"/>
      <c r="AM243" s="1"/>
      <c r="AN243" s="1"/>
      <c r="AO243" s="1"/>
      <c r="AP243" s="1" t="s">
        <v>3</v>
      </c>
      <c r="AQ243" s="1" t="s">
        <v>3</v>
      </c>
      <c r="AR243" s="1" t="s">
        <v>3</v>
      </c>
      <c r="AS243" s="1"/>
      <c r="AT243" s="1"/>
      <c r="AU243" s="1"/>
      <c r="AV243" s="1"/>
      <c r="AW243" s="1"/>
      <c r="AX243" s="1"/>
      <c r="AY243" s="1"/>
      <c r="AZ243" s="1" t="s">
        <v>3</v>
      </c>
      <c r="BA243" s="1"/>
      <c r="BB243" s="1" t="s">
        <v>3</v>
      </c>
      <c r="BC243" s="1" t="s">
        <v>3</v>
      </c>
      <c r="BD243" s="1" t="s">
        <v>3</v>
      </c>
      <c r="BE243" s="1" t="s">
        <v>3</v>
      </c>
      <c r="BF243" s="1" t="s">
        <v>3</v>
      </c>
      <c r="BG243" s="1" t="s">
        <v>3</v>
      </c>
      <c r="BH243" s="1" t="s">
        <v>3</v>
      </c>
      <c r="BI243" s="1" t="s">
        <v>3</v>
      </c>
      <c r="BJ243" s="1" t="s">
        <v>3</v>
      </c>
      <c r="BK243" s="1" t="s">
        <v>3</v>
      </c>
      <c r="BL243" s="1" t="s">
        <v>3</v>
      </c>
      <c r="BM243" s="1" t="s">
        <v>3</v>
      </c>
      <c r="BN243" s="1" t="s">
        <v>3</v>
      </c>
      <c r="BO243" s="1" t="s">
        <v>3</v>
      </c>
      <c r="BP243" s="1" t="s">
        <v>3</v>
      </c>
      <c r="BQ243" s="1"/>
      <c r="BR243" s="1"/>
      <c r="BS243" s="1"/>
      <c r="BT243" s="1"/>
      <c r="BU243" s="1"/>
      <c r="BV243" s="1"/>
      <c r="BW243" s="1"/>
      <c r="BX243" s="1">
        <v>0</v>
      </c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>
        <v>0</v>
      </c>
    </row>
    <row r="245" spans="1:245" x14ac:dyDescent="0.2">
      <c r="A245" s="2">
        <v>52</v>
      </c>
      <c r="B245" s="2">
        <f t="shared" ref="B245:G245" si="203">B424</f>
        <v>1</v>
      </c>
      <c r="C245" s="2">
        <f t="shared" si="203"/>
        <v>4</v>
      </c>
      <c r="D245" s="2">
        <f t="shared" si="203"/>
        <v>243</v>
      </c>
      <c r="E245" s="2">
        <f t="shared" si="203"/>
        <v>0</v>
      </c>
      <c r="F245" s="2" t="str">
        <f t="shared" si="203"/>
        <v>Новый раздел</v>
      </c>
      <c r="G245" s="2" t="str">
        <f t="shared" si="203"/>
        <v>Выполнение работпо монтажу асфальтовыхпокрытий дорог , систем ливневой канализации и бордюрных камней</v>
      </c>
      <c r="H245" s="2"/>
      <c r="I245" s="2"/>
      <c r="J245" s="2"/>
      <c r="K245" s="2"/>
      <c r="L245" s="2"/>
      <c r="M245" s="2"/>
      <c r="N245" s="2"/>
      <c r="O245" s="2">
        <f t="shared" ref="O245:AT245" si="204">O424</f>
        <v>8314747</v>
      </c>
      <c r="P245" s="2">
        <f t="shared" si="204"/>
        <v>5376789</v>
      </c>
      <c r="Q245" s="2">
        <f t="shared" si="204"/>
        <v>2647204</v>
      </c>
      <c r="R245" s="2">
        <f t="shared" si="204"/>
        <v>285848</v>
      </c>
      <c r="S245" s="2">
        <f t="shared" si="204"/>
        <v>290754</v>
      </c>
      <c r="T245" s="2">
        <f t="shared" si="204"/>
        <v>0</v>
      </c>
      <c r="U245" s="2">
        <f t="shared" si="204"/>
        <v>1292.2820204</v>
      </c>
      <c r="V245" s="2">
        <f t="shared" si="204"/>
        <v>771.32011099999988</v>
      </c>
      <c r="W245" s="2">
        <f t="shared" si="204"/>
        <v>0</v>
      </c>
      <c r="X245" s="2">
        <f t="shared" si="204"/>
        <v>750763</v>
      </c>
      <c r="Y245" s="2">
        <f t="shared" si="204"/>
        <v>494921</v>
      </c>
      <c r="Z245" s="2">
        <f t="shared" si="204"/>
        <v>0</v>
      </c>
      <c r="AA245" s="2">
        <f t="shared" si="204"/>
        <v>0</v>
      </c>
      <c r="AB245" s="2">
        <f t="shared" si="204"/>
        <v>0</v>
      </c>
      <c r="AC245" s="2">
        <f t="shared" si="204"/>
        <v>0</v>
      </c>
      <c r="AD245" s="2">
        <f t="shared" si="204"/>
        <v>0</v>
      </c>
      <c r="AE245" s="2">
        <f t="shared" si="204"/>
        <v>0</v>
      </c>
      <c r="AF245" s="2">
        <f t="shared" si="204"/>
        <v>0</v>
      </c>
      <c r="AG245" s="2">
        <f t="shared" si="204"/>
        <v>0</v>
      </c>
      <c r="AH245" s="2">
        <f t="shared" si="204"/>
        <v>0</v>
      </c>
      <c r="AI245" s="2">
        <f t="shared" si="204"/>
        <v>0</v>
      </c>
      <c r="AJ245" s="2">
        <f t="shared" si="204"/>
        <v>0</v>
      </c>
      <c r="AK245" s="2">
        <f t="shared" si="204"/>
        <v>0</v>
      </c>
      <c r="AL245" s="2">
        <f t="shared" si="204"/>
        <v>0</v>
      </c>
      <c r="AM245" s="2">
        <f t="shared" si="204"/>
        <v>0</v>
      </c>
      <c r="AN245" s="2">
        <f t="shared" si="204"/>
        <v>0</v>
      </c>
      <c r="AO245" s="2">
        <f t="shared" si="204"/>
        <v>0</v>
      </c>
      <c r="AP245" s="2">
        <f t="shared" si="204"/>
        <v>0</v>
      </c>
      <c r="AQ245" s="2">
        <f t="shared" si="204"/>
        <v>0</v>
      </c>
      <c r="AR245" s="2">
        <f t="shared" si="204"/>
        <v>9560431</v>
      </c>
      <c r="AS245" s="2">
        <f t="shared" si="204"/>
        <v>4990381</v>
      </c>
      <c r="AT245" s="2">
        <f t="shared" si="204"/>
        <v>0</v>
      </c>
      <c r="AU245" s="2">
        <f t="shared" ref="AU245:BZ245" si="205">AU424</f>
        <v>4570050</v>
      </c>
      <c r="AV245" s="2">
        <f t="shared" si="205"/>
        <v>5376789</v>
      </c>
      <c r="AW245" s="2">
        <f t="shared" si="205"/>
        <v>5376789</v>
      </c>
      <c r="AX245" s="2">
        <f t="shared" si="205"/>
        <v>0</v>
      </c>
      <c r="AY245" s="2">
        <f t="shared" si="205"/>
        <v>5376789</v>
      </c>
      <c r="AZ245" s="2">
        <f t="shared" si="205"/>
        <v>0</v>
      </c>
      <c r="BA245" s="2">
        <f t="shared" si="205"/>
        <v>0</v>
      </c>
      <c r="BB245" s="2">
        <f t="shared" si="205"/>
        <v>0</v>
      </c>
      <c r="BC245" s="2">
        <f t="shared" si="205"/>
        <v>0</v>
      </c>
      <c r="BD245" s="2">
        <f t="shared" si="205"/>
        <v>131614</v>
      </c>
      <c r="BE245" s="2">
        <f t="shared" si="205"/>
        <v>0</v>
      </c>
      <c r="BF245" s="2">
        <f t="shared" si="205"/>
        <v>0</v>
      </c>
      <c r="BG245" s="2">
        <f t="shared" si="205"/>
        <v>0</v>
      </c>
      <c r="BH245" s="2">
        <f t="shared" si="205"/>
        <v>0</v>
      </c>
      <c r="BI245" s="2">
        <f t="shared" si="205"/>
        <v>0</v>
      </c>
      <c r="BJ245" s="2">
        <f t="shared" si="205"/>
        <v>0</v>
      </c>
      <c r="BK245" s="2">
        <f t="shared" si="205"/>
        <v>0</v>
      </c>
      <c r="BL245" s="2">
        <f t="shared" si="205"/>
        <v>0</v>
      </c>
      <c r="BM245" s="2">
        <f t="shared" si="205"/>
        <v>0</v>
      </c>
      <c r="BN245" s="2">
        <f t="shared" si="205"/>
        <v>0</v>
      </c>
      <c r="BO245" s="2">
        <f t="shared" si="205"/>
        <v>0</v>
      </c>
      <c r="BP245" s="2">
        <f t="shared" si="205"/>
        <v>0</v>
      </c>
      <c r="BQ245" s="2">
        <f t="shared" si="205"/>
        <v>0</v>
      </c>
      <c r="BR245" s="2">
        <f t="shared" si="205"/>
        <v>0</v>
      </c>
      <c r="BS245" s="2">
        <f t="shared" si="205"/>
        <v>0</v>
      </c>
      <c r="BT245" s="2">
        <f t="shared" si="205"/>
        <v>0</v>
      </c>
      <c r="BU245" s="2">
        <f t="shared" si="205"/>
        <v>0</v>
      </c>
      <c r="BV245" s="2">
        <f t="shared" si="205"/>
        <v>0</v>
      </c>
      <c r="BW245" s="2">
        <f t="shared" si="205"/>
        <v>0</v>
      </c>
      <c r="BX245" s="2">
        <f t="shared" si="205"/>
        <v>0</v>
      </c>
      <c r="BY245" s="2">
        <f t="shared" si="205"/>
        <v>0</v>
      </c>
      <c r="BZ245" s="2">
        <f t="shared" si="205"/>
        <v>0</v>
      </c>
      <c r="CA245" s="2">
        <f t="shared" ref="CA245:DF245" si="206">CA424</f>
        <v>0</v>
      </c>
      <c r="CB245" s="2">
        <f t="shared" si="206"/>
        <v>0</v>
      </c>
      <c r="CC245" s="2">
        <f t="shared" si="206"/>
        <v>0</v>
      </c>
      <c r="CD245" s="2">
        <f t="shared" si="206"/>
        <v>0</v>
      </c>
      <c r="CE245" s="2">
        <f t="shared" si="206"/>
        <v>0</v>
      </c>
      <c r="CF245" s="2">
        <f t="shared" si="206"/>
        <v>0</v>
      </c>
      <c r="CG245" s="2">
        <f t="shared" si="206"/>
        <v>0</v>
      </c>
      <c r="CH245" s="2">
        <f t="shared" si="206"/>
        <v>0</v>
      </c>
      <c r="CI245" s="2">
        <f t="shared" si="206"/>
        <v>0</v>
      </c>
      <c r="CJ245" s="2">
        <f t="shared" si="206"/>
        <v>0</v>
      </c>
      <c r="CK245" s="2">
        <f t="shared" si="206"/>
        <v>0</v>
      </c>
      <c r="CL245" s="2">
        <f t="shared" si="206"/>
        <v>0</v>
      </c>
      <c r="CM245" s="2">
        <f t="shared" si="206"/>
        <v>0</v>
      </c>
      <c r="CN245" s="2">
        <f t="shared" si="206"/>
        <v>0</v>
      </c>
      <c r="CO245" s="2">
        <f t="shared" si="206"/>
        <v>0</v>
      </c>
      <c r="CP245" s="2">
        <f t="shared" si="206"/>
        <v>0</v>
      </c>
      <c r="CQ245" s="2">
        <f t="shared" si="206"/>
        <v>0</v>
      </c>
      <c r="CR245" s="2">
        <f t="shared" si="206"/>
        <v>0</v>
      </c>
      <c r="CS245" s="2">
        <f t="shared" si="206"/>
        <v>0</v>
      </c>
      <c r="CT245" s="2">
        <f t="shared" si="206"/>
        <v>0</v>
      </c>
      <c r="CU245" s="2">
        <f t="shared" si="206"/>
        <v>0</v>
      </c>
      <c r="CV245" s="2">
        <f t="shared" si="206"/>
        <v>0</v>
      </c>
      <c r="CW245" s="2">
        <f t="shared" si="206"/>
        <v>0</v>
      </c>
      <c r="CX245" s="2">
        <f t="shared" si="206"/>
        <v>0</v>
      </c>
      <c r="CY245" s="2">
        <f t="shared" si="206"/>
        <v>0</v>
      </c>
      <c r="CZ245" s="2">
        <f t="shared" si="206"/>
        <v>0</v>
      </c>
      <c r="DA245" s="2">
        <f t="shared" si="206"/>
        <v>0</v>
      </c>
      <c r="DB245" s="2">
        <f t="shared" si="206"/>
        <v>0</v>
      </c>
      <c r="DC245" s="2">
        <f t="shared" si="206"/>
        <v>0</v>
      </c>
      <c r="DD245" s="2">
        <f t="shared" si="206"/>
        <v>0</v>
      </c>
      <c r="DE245" s="2">
        <f t="shared" si="206"/>
        <v>0</v>
      </c>
      <c r="DF245" s="2">
        <f t="shared" si="206"/>
        <v>0</v>
      </c>
      <c r="DG245" s="3">
        <f t="shared" ref="DG245:EL245" si="207">DG424</f>
        <v>0</v>
      </c>
      <c r="DH245" s="3">
        <f t="shared" si="207"/>
        <v>0</v>
      </c>
      <c r="DI245" s="3">
        <f t="shared" si="207"/>
        <v>0</v>
      </c>
      <c r="DJ245" s="3">
        <f t="shared" si="207"/>
        <v>0</v>
      </c>
      <c r="DK245" s="3">
        <f t="shared" si="207"/>
        <v>0</v>
      </c>
      <c r="DL245" s="3">
        <f t="shared" si="207"/>
        <v>0</v>
      </c>
      <c r="DM245" s="3">
        <f t="shared" si="207"/>
        <v>0</v>
      </c>
      <c r="DN245" s="3">
        <f t="shared" si="207"/>
        <v>0</v>
      </c>
      <c r="DO245" s="3">
        <f t="shared" si="207"/>
        <v>0</v>
      </c>
      <c r="DP245" s="3">
        <f t="shared" si="207"/>
        <v>0</v>
      </c>
      <c r="DQ245" s="3">
        <f t="shared" si="207"/>
        <v>0</v>
      </c>
      <c r="DR245" s="3">
        <f t="shared" si="207"/>
        <v>0</v>
      </c>
      <c r="DS245" s="3">
        <f t="shared" si="207"/>
        <v>0</v>
      </c>
      <c r="DT245" s="3">
        <f t="shared" si="207"/>
        <v>0</v>
      </c>
      <c r="DU245" s="3">
        <f t="shared" si="207"/>
        <v>0</v>
      </c>
      <c r="DV245" s="3">
        <f t="shared" si="207"/>
        <v>0</v>
      </c>
      <c r="DW245" s="3">
        <f t="shared" si="207"/>
        <v>0</v>
      </c>
      <c r="DX245" s="3">
        <f t="shared" si="207"/>
        <v>0</v>
      </c>
      <c r="DY245" s="3">
        <f t="shared" si="207"/>
        <v>0</v>
      </c>
      <c r="DZ245" s="3">
        <f t="shared" si="207"/>
        <v>0</v>
      </c>
      <c r="EA245" s="3">
        <f t="shared" si="207"/>
        <v>0</v>
      </c>
      <c r="EB245" s="3">
        <f t="shared" si="207"/>
        <v>0</v>
      </c>
      <c r="EC245" s="3">
        <f t="shared" si="207"/>
        <v>0</v>
      </c>
      <c r="ED245" s="3">
        <f t="shared" si="207"/>
        <v>0</v>
      </c>
      <c r="EE245" s="3">
        <f t="shared" si="207"/>
        <v>0</v>
      </c>
      <c r="EF245" s="3">
        <f t="shared" si="207"/>
        <v>0</v>
      </c>
      <c r="EG245" s="3">
        <f t="shared" si="207"/>
        <v>0</v>
      </c>
      <c r="EH245" s="3">
        <f t="shared" si="207"/>
        <v>0</v>
      </c>
      <c r="EI245" s="3">
        <f t="shared" si="207"/>
        <v>0</v>
      </c>
      <c r="EJ245" s="3">
        <f t="shared" si="207"/>
        <v>0</v>
      </c>
      <c r="EK245" s="3">
        <f t="shared" si="207"/>
        <v>0</v>
      </c>
      <c r="EL245" s="3">
        <f t="shared" si="207"/>
        <v>0</v>
      </c>
      <c r="EM245" s="3">
        <f t="shared" ref="EM245:FR245" si="208">EM424</f>
        <v>0</v>
      </c>
      <c r="EN245" s="3">
        <f t="shared" si="208"/>
        <v>0</v>
      </c>
      <c r="EO245" s="3">
        <f t="shared" si="208"/>
        <v>0</v>
      </c>
      <c r="EP245" s="3">
        <f t="shared" si="208"/>
        <v>0</v>
      </c>
      <c r="EQ245" s="3">
        <f t="shared" si="208"/>
        <v>0</v>
      </c>
      <c r="ER245" s="3">
        <f t="shared" si="208"/>
        <v>0</v>
      </c>
      <c r="ES245" s="3">
        <f t="shared" si="208"/>
        <v>0</v>
      </c>
      <c r="ET245" s="3">
        <f t="shared" si="208"/>
        <v>0</v>
      </c>
      <c r="EU245" s="3">
        <f t="shared" si="208"/>
        <v>0</v>
      </c>
      <c r="EV245" s="3">
        <f t="shared" si="208"/>
        <v>0</v>
      </c>
      <c r="EW245" s="3">
        <f t="shared" si="208"/>
        <v>0</v>
      </c>
      <c r="EX245" s="3">
        <f t="shared" si="208"/>
        <v>0</v>
      </c>
      <c r="EY245" s="3">
        <f t="shared" si="208"/>
        <v>0</v>
      </c>
      <c r="EZ245" s="3">
        <f t="shared" si="208"/>
        <v>0</v>
      </c>
      <c r="FA245" s="3">
        <f t="shared" si="208"/>
        <v>0</v>
      </c>
      <c r="FB245" s="3">
        <f t="shared" si="208"/>
        <v>0</v>
      </c>
      <c r="FC245" s="3">
        <f t="shared" si="208"/>
        <v>0</v>
      </c>
      <c r="FD245" s="3">
        <f t="shared" si="208"/>
        <v>0</v>
      </c>
      <c r="FE245" s="3">
        <f t="shared" si="208"/>
        <v>0</v>
      </c>
      <c r="FF245" s="3">
        <f t="shared" si="208"/>
        <v>0</v>
      </c>
      <c r="FG245" s="3">
        <f t="shared" si="208"/>
        <v>0</v>
      </c>
      <c r="FH245" s="3">
        <f t="shared" si="208"/>
        <v>0</v>
      </c>
      <c r="FI245" s="3">
        <f t="shared" si="208"/>
        <v>0</v>
      </c>
      <c r="FJ245" s="3">
        <f t="shared" si="208"/>
        <v>0</v>
      </c>
      <c r="FK245" s="3">
        <f t="shared" si="208"/>
        <v>0</v>
      </c>
      <c r="FL245" s="3">
        <f t="shared" si="208"/>
        <v>0</v>
      </c>
      <c r="FM245" s="3">
        <f t="shared" si="208"/>
        <v>0</v>
      </c>
      <c r="FN245" s="3">
        <f t="shared" si="208"/>
        <v>0</v>
      </c>
      <c r="FO245" s="3">
        <f t="shared" si="208"/>
        <v>0</v>
      </c>
      <c r="FP245" s="3">
        <f t="shared" si="208"/>
        <v>0</v>
      </c>
      <c r="FQ245" s="3">
        <f t="shared" si="208"/>
        <v>0</v>
      </c>
      <c r="FR245" s="3">
        <f t="shared" si="208"/>
        <v>0</v>
      </c>
      <c r="FS245" s="3">
        <f t="shared" ref="FS245:GX245" si="209">FS424</f>
        <v>0</v>
      </c>
      <c r="FT245" s="3">
        <f t="shared" si="209"/>
        <v>0</v>
      </c>
      <c r="FU245" s="3">
        <f t="shared" si="209"/>
        <v>0</v>
      </c>
      <c r="FV245" s="3">
        <f t="shared" si="209"/>
        <v>0</v>
      </c>
      <c r="FW245" s="3">
        <f t="shared" si="209"/>
        <v>0</v>
      </c>
      <c r="FX245" s="3">
        <f t="shared" si="209"/>
        <v>0</v>
      </c>
      <c r="FY245" s="3">
        <f t="shared" si="209"/>
        <v>0</v>
      </c>
      <c r="FZ245" s="3">
        <f t="shared" si="209"/>
        <v>0</v>
      </c>
      <c r="GA245" s="3">
        <f t="shared" si="209"/>
        <v>0</v>
      </c>
      <c r="GB245" s="3">
        <f t="shared" si="209"/>
        <v>0</v>
      </c>
      <c r="GC245" s="3">
        <f t="shared" si="209"/>
        <v>0</v>
      </c>
      <c r="GD245" s="3">
        <f t="shared" si="209"/>
        <v>0</v>
      </c>
      <c r="GE245" s="3">
        <f t="shared" si="209"/>
        <v>0</v>
      </c>
      <c r="GF245" s="3">
        <f t="shared" si="209"/>
        <v>0</v>
      </c>
      <c r="GG245" s="3">
        <f t="shared" si="209"/>
        <v>0</v>
      </c>
      <c r="GH245" s="3">
        <f t="shared" si="209"/>
        <v>0</v>
      </c>
      <c r="GI245" s="3">
        <f t="shared" si="209"/>
        <v>0</v>
      </c>
      <c r="GJ245" s="3">
        <f t="shared" si="209"/>
        <v>0</v>
      </c>
      <c r="GK245" s="3">
        <f t="shared" si="209"/>
        <v>0</v>
      </c>
      <c r="GL245" s="3">
        <f t="shared" si="209"/>
        <v>0</v>
      </c>
      <c r="GM245" s="3">
        <f t="shared" si="209"/>
        <v>0</v>
      </c>
      <c r="GN245" s="3">
        <f t="shared" si="209"/>
        <v>0</v>
      </c>
      <c r="GO245" s="3">
        <f t="shared" si="209"/>
        <v>0</v>
      </c>
      <c r="GP245" s="3">
        <f t="shared" si="209"/>
        <v>0</v>
      </c>
      <c r="GQ245" s="3">
        <f t="shared" si="209"/>
        <v>0</v>
      </c>
      <c r="GR245" s="3">
        <f t="shared" si="209"/>
        <v>0</v>
      </c>
      <c r="GS245" s="3">
        <f t="shared" si="209"/>
        <v>0</v>
      </c>
      <c r="GT245" s="3">
        <f t="shared" si="209"/>
        <v>0</v>
      </c>
      <c r="GU245" s="3">
        <f t="shared" si="209"/>
        <v>0</v>
      </c>
      <c r="GV245" s="3">
        <f t="shared" si="209"/>
        <v>0</v>
      </c>
      <c r="GW245" s="3">
        <f t="shared" si="209"/>
        <v>0</v>
      </c>
      <c r="GX245" s="3">
        <f t="shared" si="209"/>
        <v>0</v>
      </c>
    </row>
    <row r="247" spans="1:245" x14ac:dyDescent="0.2">
      <c r="A247" s="1">
        <v>5</v>
      </c>
      <c r="B247" s="1">
        <v>1</v>
      </c>
      <c r="C247" s="1"/>
      <c r="D247" s="1">
        <f>ROW(A258)</f>
        <v>258</v>
      </c>
      <c r="E247" s="1"/>
      <c r="F247" s="1" t="s">
        <v>123</v>
      </c>
      <c r="G247" s="1" t="s">
        <v>14</v>
      </c>
      <c r="H247" s="1" t="s">
        <v>3</v>
      </c>
      <c r="I247" s="1">
        <v>0</v>
      </c>
      <c r="J247" s="1"/>
      <c r="K247" s="1">
        <v>0</v>
      </c>
      <c r="L247" s="1"/>
      <c r="M247" s="1" t="s">
        <v>3</v>
      </c>
      <c r="N247" s="1"/>
      <c r="O247" s="1"/>
      <c r="P247" s="1"/>
      <c r="Q247" s="1"/>
      <c r="R247" s="1"/>
      <c r="S247" s="1">
        <v>0</v>
      </c>
      <c r="T247" s="1"/>
      <c r="U247" s="1" t="s">
        <v>3</v>
      </c>
      <c r="V247" s="1">
        <v>0</v>
      </c>
      <c r="W247" s="1"/>
      <c r="X247" s="1"/>
      <c r="Y247" s="1"/>
      <c r="Z247" s="1"/>
      <c r="AA247" s="1"/>
      <c r="AB247" s="1" t="s">
        <v>3</v>
      </c>
      <c r="AC247" s="1" t="s">
        <v>3</v>
      </c>
      <c r="AD247" s="1" t="s">
        <v>3</v>
      </c>
      <c r="AE247" s="1" t="s">
        <v>3</v>
      </c>
      <c r="AF247" s="1" t="s">
        <v>3</v>
      </c>
      <c r="AG247" s="1" t="s">
        <v>3</v>
      </c>
      <c r="AH247" s="1"/>
      <c r="AI247" s="1"/>
      <c r="AJ247" s="1"/>
      <c r="AK247" s="1"/>
      <c r="AL247" s="1"/>
      <c r="AM247" s="1"/>
      <c r="AN247" s="1"/>
      <c r="AO247" s="1"/>
      <c r="AP247" s="1" t="s">
        <v>3</v>
      </c>
      <c r="AQ247" s="1" t="s">
        <v>3</v>
      </c>
      <c r="AR247" s="1" t="s">
        <v>3</v>
      </c>
      <c r="AS247" s="1"/>
      <c r="AT247" s="1"/>
      <c r="AU247" s="1"/>
      <c r="AV247" s="1"/>
      <c r="AW247" s="1"/>
      <c r="AX247" s="1"/>
      <c r="AY247" s="1"/>
      <c r="AZ247" s="1" t="s">
        <v>3</v>
      </c>
      <c r="BA247" s="1"/>
      <c r="BB247" s="1" t="s">
        <v>3</v>
      </c>
      <c r="BC247" s="1" t="s">
        <v>3</v>
      </c>
      <c r="BD247" s="1" t="s">
        <v>3</v>
      </c>
      <c r="BE247" s="1" t="s">
        <v>3</v>
      </c>
      <c r="BF247" s="1" t="s">
        <v>3</v>
      </c>
      <c r="BG247" s="1" t="s">
        <v>3</v>
      </c>
      <c r="BH247" s="1" t="s">
        <v>3</v>
      </c>
      <c r="BI247" s="1" t="s">
        <v>3</v>
      </c>
      <c r="BJ247" s="1" t="s">
        <v>3</v>
      </c>
      <c r="BK247" s="1" t="s">
        <v>3</v>
      </c>
      <c r="BL247" s="1" t="s">
        <v>3</v>
      </c>
      <c r="BM247" s="1" t="s">
        <v>3</v>
      </c>
      <c r="BN247" s="1" t="s">
        <v>3</v>
      </c>
      <c r="BO247" s="1" t="s">
        <v>3</v>
      </c>
      <c r="BP247" s="1" t="s">
        <v>3</v>
      </c>
      <c r="BQ247" s="1"/>
      <c r="BR247" s="1"/>
      <c r="BS247" s="1"/>
      <c r="BT247" s="1"/>
      <c r="BU247" s="1"/>
      <c r="BV247" s="1"/>
      <c r="BW247" s="1"/>
      <c r="BX247" s="1">
        <v>0</v>
      </c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>
        <v>0</v>
      </c>
    </row>
    <row r="249" spans="1:245" x14ac:dyDescent="0.2">
      <c r="A249" s="2">
        <v>52</v>
      </c>
      <c r="B249" s="2">
        <f t="shared" ref="B249:G249" si="210">B258</f>
        <v>1</v>
      </c>
      <c r="C249" s="2">
        <f t="shared" si="210"/>
        <v>5</v>
      </c>
      <c r="D249" s="2">
        <f t="shared" si="210"/>
        <v>247</v>
      </c>
      <c r="E249" s="2">
        <f t="shared" si="210"/>
        <v>0</v>
      </c>
      <c r="F249" s="2" t="str">
        <f t="shared" si="210"/>
        <v>Новый подраздел</v>
      </c>
      <c r="G249" s="2" t="str">
        <f t="shared" si="210"/>
        <v>Подготовительные работы</v>
      </c>
      <c r="H249" s="2"/>
      <c r="I249" s="2"/>
      <c r="J249" s="2"/>
      <c r="K249" s="2"/>
      <c r="L249" s="2"/>
      <c r="M249" s="2"/>
      <c r="N249" s="2"/>
      <c r="O249" s="2">
        <f t="shared" ref="O249:AT249" si="211">O258</f>
        <v>238932</v>
      </c>
      <c r="P249" s="2">
        <f t="shared" si="211"/>
        <v>16</v>
      </c>
      <c r="Q249" s="2">
        <f t="shared" si="211"/>
        <v>163759</v>
      </c>
      <c r="R249" s="2">
        <f t="shared" si="211"/>
        <v>32149</v>
      </c>
      <c r="S249" s="2">
        <f t="shared" si="211"/>
        <v>75157</v>
      </c>
      <c r="T249" s="2">
        <f t="shared" si="211"/>
        <v>0</v>
      </c>
      <c r="U249" s="2">
        <f t="shared" si="211"/>
        <v>284.69487399999997</v>
      </c>
      <c r="V249" s="2">
        <f t="shared" si="211"/>
        <v>87.33631299999999</v>
      </c>
      <c r="W249" s="2">
        <f t="shared" si="211"/>
        <v>0</v>
      </c>
      <c r="X249" s="2">
        <f t="shared" si="211"/>
        <v>106844</v>
      </c>
      <c r="Y249" s="2">
        <f t="shared" si="211"/>
        <v>60765</v>
      </c>
      <c r="Z249" s="2">
        <f t="shared" si="211"/>
        <v>0</v>
      </c>
      <c r="AA249" s="2">
        <f t="shared" si="211"/>
        <v>0</v>
      </c>
      <c r="AB249" s="2">
        <f t="shared" si="211"/>
        <v>238932</v>
      </c>
      <c r="AC249" s="2">
        <f t="shared" si="211"/>
        <v>16</v>
      </c>
      <c r="AD249" s="2">
        <f t="shared" si="211"/>
        <v>163759</v>
      </c>
      <c r="AE249" s="2">
        <f t="shared" si="211"/>
        <v>32149</v>
      </c>
      <c r="AF249" s="2">
        <f t="shared" si="211"/>
        <v>75157</v>
      </c>
      <c r="AG249" s="2">
        <f t="shared" si="211"/>
        <v>0</v>
      </c>
      <c r="AH249" s="2">
        <f t="shared" si="211"/>
        <v>284.69487399999997</v>
      </c>
      <c r="AI249" s="2">
        <f t="shared" si="211"/>
        <v>87.33631299999999</v>
      </c>
      <c r="AJ249" s="2">
        <f t="shared" si="211"/>
        <v>0</v>
      </c>
      <c r="AK249" s="2">
        <f t="shared" si="211"/>
        <v>106844</v>
      </c>
      <c r="AL249" s="2">
        <f t="shared" si="211"/>
        <v>60765</v>
      </c>
      <c r="AM249" s="2">
        <f t="shared" si="211"/>
        <v>0</v>
      </c>
      <c r="AN249" s="2">
        <f t="shared" si="211"/>
        <v>0</v>
      </c>
      <c r="AO249" s="2">
        <f t="shared" si="211"/>
        <v>0</v>
      </c>
      <c r="AP249" s="2">
        <f t="shared" si="211"/>
        <v>0</v>
      </c>
      <c r="AQ249" s="2">
        <f t="shared" si="211"/>
        <v>0</v>
      </c>
      <c r="AR249" s="2">
        <f t="shared" si="211"/>
        <v>406541</v>
      </c>
      <c r="AS249" s="2">
        <f t="shared" si="211"/>
        <v>406541</v>
      </c>
      <c r="AT249" s="2">
        <f t="shared" si="211"/>
        <v>0</v>
      </c>
      <c r="AU249" s="2">
        <f t="shared" ref="AU249:BZ249" si="212">AU258</f>
        <v>0</v>
      </c>
      <c r="AV249" s="2">
        <f t="shared" si="212"/>
        <v>16</v>
      </c>
      <c r="AW249" s="2">
        <f t="shared" si="212"/>
        <v>16</v>
      </c>
      <c r="AX249" s="2">
        <f t="shared" si="212"/>
        <v>0</v>
      </c>
      <c r="AY249" s="2">
        <f t="shared" si="212"/>
        <v>16</v>
      </c>
      <c r="AZ249" s="2">
        <f t="shared" si="212"/>
        <v>0</v>
      </c>
      <c r="BA249" s="2">
        <f t="shared" si="212"/>
        <v>0</v>
      </c>
      <c r="BB249" s="2">
        <f t="shared" si="212"/>
        <v>0</v>
      </c>
      <c r="BC249" s="2">
        <f t="shared" si="212"/>
        <v>0</v>
      </c>
      <c r="BD249" s="2">
        <f t="shared" si="212"/>
        <v>71892</v>
      </c>
      <c r="BE249" s="2">
        <f t="shared" si="212"/>
        <v>0</v>
      </c>
      <c r="BF249" s="2">
        <f t="shared" si="212"/>
        <v>0</v>
      </c>
      <c r="BG249" s="2">
        <f t="shared" si="212"/>
        <v>0</v>
      </c>
      <c r="BH249" s="2">
        <f t="shared" si="212"/>
        <v>0</v>
      </c>
      <c r="BI249" s="2">
        <f t="shared" si="212"/>
        <v>0</v>
      </c>
      <c r="BJ249" s="2">
        <f t="shared" si="212"/>
        <v>0</v>
      </c>
      <c r="BK249" s="2">
        <f t="shared" si="212"/>
        <v>0</v>
      </c>
      <c r="BL249" s="2">
        <f t="shared" si="212"/>
        <v>0</v>
      </c>
      <c r="BM249" s="2">
        <f t="shared" si="212"/>
        <v>0</v>
      </c>
      <c r="BN249" s="2">
        <f t="shared" si="212"/>
        <v>0</v>
      </c>
      <c r="BO249" s="2">
        <f t="shared" si="212"/>
        <v>0</v>
      </c>
      <c r="BP249" s="2">
        <f t="shared" si="212"/>
        <v>0</v>
      </c>
      <c r="BQ249" s="2">
        <f t="shared" si="212"/>
        <v>0</v>
      </c>
      <c r="BR249" s="2">
        <f t="shared" si="212"/>
        <v>0</v>
      </c>
      <c r="BS249" s="2">
        <f t="shared" si="212"/>
        <v>0</v>
      </c>
      <c r="BT249" s="2">
        <f t="shared" si="212"/>
        <v>0</v>
      </c>
      <c r="BU249" s="2">
        <f t="shared" si="212"/>
        <v>0</v>
      </c>
      <c r="BV249" s="2">
        <f t="shared" si="212"/>
        <v>0</v>
      </c>
      <c r="BW249" s="2">
        <f t="shared" si="212"/>
        <v>0</v>
      </c>
      <c r="BX249" s="2">
        <f t="shared" si="212"/>
        <v>0</v>
      </c>
      <c r="BY249" s="2">
        <f t="shared" si="212"/>
        <v>0</v>
      </c>
      <c r="BZ249" s="2">
        <f t="shared" si="212"/>
        <v>0</v>
      </c>
      <c r="CA249" s="2">
        <f t="shared" ref="CA249:DF249" si="213">CA258</f>
        <v>406541</v>
      </c>
      <c r="CB249" s="2">
        <f t="shared" si="213"/>
        <v>406541</v>
      </c>
      <c r="CC249" s="2">
        <f t="shared" si="213"/>
        <v>0</v>
      </c>
      <c r="CD249" s="2">
        <f t="shared" si="213"/>
        <v>0</v>
      </c>
      <c r="CE249" s="2">
        <f t="shared" si="213"/>
        <v>16</v>
      </c>
      <c r="CF249" s="2">
        <f t="shared" si="213"/>
        <v>16</v>
      </c>
      <c r="CG249" s="2">
        <f t="shared" si="213"/>
        <v>0</v>
      </c>
      <c r="CH249" s="2">
        <f t="shared" si="213"/>
        <v>16</v>
      </c>
      <c r="CI249" s="2">
        <f t="shared" si="213"/>
        <v>0</v>
      </c>
      <c r="CJ249" s="2">
        <f t="shared" si="213"/>
        <v>0</v>
      </c>
      <c r="CK249" s="2">
        <f t="shared" si="213"/>
        <v>0</v>
      </c>
      <c r="CL249" s="2">
        <f t="shared" si="213"/>
        <v>0</v>
      </c>
      <c r="CM249" s="2">
        <f t="shared" si="213"/>
        <v>71892</v>
      </c>
      <c r="CN249" s="2">
        <f t="shared" si="213"/>
        <v>0</v>
      </c>
      <c r="CO249" s="2">
        <f t="shared" si="213"/>
        <v>0</v>
      </c>
      <c r="CP249" s="2">
        <f t="shared" si="213"/>
        <v>0</v>
      </c>
      <c r="CQ249" s="2">
        <f t="shared" si="213"/>
        <v>0</v>
      </c>
      <c r="CR249" s="2">
        <f t="shared" si="213"/>
        <v>0</v>
      </c>
      <c r="CS249" s="2">
        <f t="shared" si="213"/>
        <v>0</v>
      </c>
      <c r="CT249" s="2">
        <f t="shared" si="213"/>
        <v>0</v>
      </c>
      <c r="CU249" s="2">
        <f t="shared" si="213"/>
        <v>0</v>
      </c>
      <c r="CV249" s="2">
        <f t="shared" si="213"/>
        <v>0</v>
      </c>
      <c r="CW249" s="2">
        <f t="shared" si="213"/>
        <v>0</v>
      </c>
      <c r="CX249" s="2">
        <f t="shared" si="213"/>
        <v>0</v>
      </c>
      <c r="CY249" s="2">
        <f t="shared" si="213"/>
        <v>0</v>
      </c>
      <c r="CZ249" s="2">
        <f t="shared" si="213"/>
        <v>0</v>
      </c>
      <c r="DA249" s="2">
        <f t="shared" si="213"/>
        <v>0</v>
      </c>
      <c r="DB249" s="2">
        <f t="shared" si="213"/>
        <v>0</v>
      </c>
      <c r="DC249" s="2">
        <f t="shared" si="213"/>
        <v>0</v>
      </c>
      <c r="DD249" s="2">
        <f t="shared" si="213"/>
        <v>0</v>
      </c>
      <c r="DE249" s="2">
        <f t="shared" si="213"/>
        <v>0</v>
      </c>
      <c r="DF249" s="2">
        <f t="shared" si="213"/>
        <v>0</v>
      </c>
      <c r="DG249" s="3">
        <f t="shared" ref="DG249:EL249" si="214">DG258</f>
        <v>0</v>
      </c>
      <c r="DH249" s="3">
        <f t="shared" si="214"/>
        <v>0</v>
      </c>
      <c r="DI249" s="3">
        <f t="shared" si="214"/>
        <v>0</v>
      </c>
      <c r="DJ249" s="3">
        <f t="shared" si="214"/>
        <v>0</v>
      </c>
      <c r="DK249" s="3">
        <f t="shared" si="214"/>
        <v>0</v>
      </c>
      <c r="DL249" s="3">
        <f t="shared" si="214"/>
        <v>0</v>
      </c>
      <c r="DM249" s="3">
        <f t="shared" si="214"/>
        <v>0</v>
      </c>
      <c r="DN249" s="3">
        <f t="shared" si="214"/>
        <v>0</v>
      </c>
      <c r="DO249" s="3">
        <f t="shared" si="214"/>
        <v>0</v>
      </c>
      <c r="DP249" s="3">
        <f t="shared" si="214"/>
        <v>0</v>
      </c>
      <c r="DQ249" s="3">
        <f t="shared" si="214"/>
        <v>0</v>
      </c>
      <c r="DR249" s="3">
        <f t="shared" si="214"/>
        <v>0</v>
      </c>
      <c r="DS249" s="3">
        <f t="shared" si="214"/>
        <v>0</v>
      </c>
      <c r="DT249" s="3">
        <f t="shared" si="214"/>
        <v>0</v>
      </c>
      <c r="DU249" s="3">
        <f t="shared" si="214"/>
        <v>0</v>
      </c>
      <c r="DV249" s="3">
        <f t="shared" si="214"/>
        <v>0</v>
      </c>
      <c r="DW249" s="3">
        <f t="shared" si="214"/>
        <v>0</v>
      </c>
      <c r="DX249" s="3">
        <f t="shared" si="214"/>
        <v>0</v>
      </c>
      <c r="DY249" s="3">
        <f t="shared" si="214"/>
        <v>0</v>
      </c>
      <c r="DZ249" s="3">
        <f t="shared" si="214"/>
        <v>0</v>
      </c>
      <c r="EA249" s="3">
        <f t="shared" si="214"/>
        <v>0</v>
      </c>
      <c r="EB249" s="3">
        <f t="shared" si="214"/>
        <v>0</v>
      </c>
      <c r="EC249" s="3">
        <f t="shared" si="214"/>
        <v>0</v>
      </c>
      <c r="ED249" s="3">
        <f t="shared" si="214"/>
        <v>0</v>
      </c>
      <c r="EE249" s="3">
        <f t="shared" si="214"/>
        <v>0</v>
      </c>
      <c r="EF249" s="3">
        <f t="shared" si="214"/>
        <v>0</v>
      </c>
      <c r="EG249" s="3">
        <f t="shared" si="214"/>
        <v>0</v>
      </c>
      <c r="EH249" s="3">
        <f t="shared" si="214"/>
        <v>0</v>
      </c>
      <c r="EI249" s="3">
        <f t="shared" si="214"/>
        <v>0</v>
      </c>
      <c r="EJ249" s="3">
        <f t="shared" si="214"/>
        <v>0</v>
      </c>
      <c r="EK249" s="3">
        <f t="shared" si="214"/>
        <v>0</v>
      </c>
      <c r="EL249" s="3">
        <f t="shared" si="214"/>
        <v>0</v>
      </c>
      <c r="EM249" s="3">
        <f t="shared" ref="EM249:FR249" si="215">EM258</f>
        <v>0</v>
      </c>
      <c r="EN249" s="3">
        <f t="shared" si="215"/>
        <v>0</v>
      </c>
      <c r="EO249" s="3">
        <f t="shared" si="215"/>
        <v>0</v>
      </c>
      <c r="EP249" s="3">
        <f t="shared" si="215"/>
        <v>0</v>
      </c>
      <c r="EQ249" s="3">
        <f t="shared" si="215"/>
        <v>0</v>
      </c>
      <c r="ER249" s="3">
        <f t="shared" si="215"/>
        <v>0</v>
      </c>
      <c r="ES249" s="3">
        <f t="shared" si="215"/>
        <v>0</v>
      </c>
      <c r="ET249" s="3">
        <f t="shared" si="215"/>
        <v>0</v>
      </c>
      <c r="EU249" s="3">
        <f t="shared" si="215"/>
        <v>0</v>
      </c>
      <c r="EV249" s="3">
        <f t="shared" si="215"/>
        <v>0</v>
      </c>
      <c r="EW249" s="3">
        <f t="shared" si="215"/>
        <v>0</v>
      </c>
      <c r="EX249" s="3">
        <f t="shared" si="215"/>
        <v>0</v>
      </c>
      <c r="EY249" s="3">
        <f t="shared" si="215"/>
        <v>0</v>
      </c>
      <c r="EZ249" s="3">
        <f t="shared" si="215"/>
        <v>0</v>
      </c>
      <c r="FA249" s="3">
        <f t="shared" si="215"/>
        <v>0</v>
      </c>
      <c r="FB249" s="3">
        <f t="shared" si="215"/>
        <v>0</v>
      </c>
      <c r="FC249" s="3">
        <f t="shared" si="215"/>
        <v>0</v>
      </c>
      <c r="FD249" s="3">
        <f t="shared" si="215"/>
        <v>0</v>
      </c>
      <c r="FE249" s="3">
        <f t="shared" si="215"/>
        <v>0</v>
      </c>
      <c r="FF249" s="3">
        <f t="shared" si="215"/>
        <v>0</v>
      </c>
      <c r="FG249" s="3">
        <f t="shared" si="215"/>
        <v>0</v>
      </c>
      <c r="FH249" s="3">
        <f t="shared" si="215"/>
        <v>0</v>
      </c>
      <c r="FI249" s="3">
        <f t="shared" si="215"/>
        <v>0</v>
      </c>
      <c r="FJ249" s="3">
        <f t="shared" si="215"/>
        <v>0</v>
      </c>
      <c r="FK249" s="3">
        <f t="shared" si="215"/>
        <v>0</v>
      </c>
      <c r="FL249" s="3">
        <f t="shared" si="215"/>
        <v>0</v>
      </c>
      <c r="FM249" s="3">
        <f t="shared" si="215"/>
        <v>0</v>
      </c>
      <c r="FN249" s="3">
        <f t="shared" si="215"/>
        <v>0</v>
      </c>
      <c r="FO249" s="3">
        <f t="shared" si="215"/>
        <v>0</v>
      </c>
      <c r="FP249" s="3">
        <f t="shared" si="215"/>
        <v>0</v>
      </c>
      <c r="FQ249" s="3">
        <f t="shared" si="215"/>
        <v>0</v>
      </c>
      <c r="FR249" s="3">
        <f t="shared" si="215"/>
        <v>0</v>
      </c>
      <c r="FS249" s="3">
        <f t="shared" ref="FS249:GX249" si="216">FS258</f>
        <v>0</v>
      </c>
      <c r="FT249" s="3">
        <f t="shared" si="216"/>
        <v>0</v>
      </c>
      <c r="FU249" s="3">
        <f t="shared" si="216"/>
        <v>0</v>
      </c>
      <c r="FV249" s="3">
        <f t="shared" si="216"/>
        <v>0</v>
      </c>
      <c r="FW249" s="3">
        <f t="shared" si="216"/>
        <v>0</v>
      </c>
      <c r="FX249" s="3">
        <f t="shared" si="216"/>
        <v>0</v>
      </c>
      <c r="FY249" s="3">
        <f t="shared" si="216"/>
        <v>0</v>
      </c>
      <c r="FZ249" s="3">
        <f t="shared" si="216"/>
        <v>0</v>
      </c>
      <c r="GA249" s="3">
        <f t="shared" si="216"/>
        <v>0</v>
      </c>
      <c r="GB249" s="3">
        <f t="shared" si="216"/>
        <v>0</v>
      </c>
      <c r="GC249" s="3">
        <f t="shared" si="216"/>
        <v>0</v>
      </c>
      <c r="GD249" s="3">
        <f t="shared" si="216"/>
        <v>0</v>
      </c>
      <c r="GE249" s="3">
        <f t="shared" si="216"/>
        <v>0</v>
      </c>
      <c r="GF249" s="3">
        <f t="shared" si="216"/>
        <v>0</v>
      </c>
      <c r="GG249" s="3">
        <f t="shared" si="216"/>
        <v>0</v>
      </c>
      <c r="GH249" s="3">
        <f t="shared" si="216"/>
        <v>0</v>
      </c>
      <c r="GI249" s="3">
        <f t="shared" si="216"/>
        <v>0</v>
      </c>
      <c r="GJ249" s="3">
        <f t="shared" si="216"/>
        <v>0</v>
      </c>
      <c r="GK249" s="3">
        <f t="shared" si="216"/>
        <v>0</v>
      </c>
      <c r="GL249" s="3">
        <f t="shared" si="216"/>
        <v>0</v>
      </c>
      <c r="GM249" s="3">
        <f t="shared" si="216"/>
        <v>0</v>
      </c>
      <c r="GN249" s="3">
        <f t="shared" si="216"/>
        <v>0</v>
      </c>
      <c r="GO249" s="3">
        <f t="shared" si="216"/>
        <v>0</v>
      </c>
      <c r="GP249" s="3">
        <f t="shared" si="216"/>
        <v>0</v>
      </c>
      <c r="GQ249" s="3">
        <f t="shared" si="216"/>
        <v>0</v>
      </c>
      <c r="GR249" s="3">
        <f t="shared" si="216"/>
        <v>0</v>
      </c>
      <c r="GS249" s="3">
        <f t="shared" si="216"/>
        <v>0</v>
      </c>
      <c r="GT249" s="3">
        <f t="shared" si="216"/>
        <v>0</v>
      </c>
      <c r="GU249" s="3">
        <f t="shared" si="216"/>
        <v>0</v>
      </c>
      <c r="GV249" s="3">
        <f t="shared" si="216"/>
        <v>0</v>
      </c>
      <c r="GW249" s="3">
        <f t="shared" si="216"/>
        <v>0</v>
      </c>
      <c r="GX249" s="3">
        <f t="shared" si="216"/>
        <v>0</v>
      </c>
    </row>
    <row r="251" spans="1:245" x14ac:dyDescent="0.2">
      <c r="A251">
        <v>17</v>
      </c>
      <c r="B251">
        <v>1</v>
      </c>
      <c r="C251">
        <f>ROW(SmtRes!A171)</f>
        <v>171</v>
      </c>
      <c r="D251">
        <f>ROW(EtalonRes!A159)</f>
        <v>159</v>
      </c>
      <c r="E251" t="s">
        <v>15</v>
      </c>
      <c r="F251" t="s">
        <v>228</v>
      </c>
      <c r="G251" t="s">
        <v>229</v>
      </c>
      <c r="H251" t="s">
        <v>230</v>
      </c>
      <c r="I251">
        <f>ROUND(60/100,9)</f>
        <v>0.6</v>
      </c>
      <c r="J251">
        <v>0</v>
      </c>
      <c r="K251">
        <f>ROUND(60/100,9)</f>
        <v>0.6</v>
      </c>
      <c r="O251">
        <f t="shared" ref="O251:O256" si="217">ROUND(CP251,0)</f>
        <v>85362</v>
      </c>
      <c r="P251">
        <f t="shared" ref="P251:P256" si="218">ROUND(CQ251*I251,0)</f>
        <v>0</v>
      </c>
      <c r="Q251">
        <f t="shared" ref="Q251:Q256" si="219">ROUND(CR251*I251,0)</f>
        <v>40025</v>
      </c>
      <c r="R251">
        <f t="shared" ref="R251:R256" si="220">ROUND(CS251*I251,0)</f>
        <v>9497</v>
      </c>
      <c r="S251">
        <f t="shared" ref="S251:S256" si="221">ROUND(CT251*I251,0)</f>
        <v>45337</v>
      </c>
      <c r="T251">
        <f t="shared" ref="T251:T256" si="222">ROUND(CU251*I251,0)</f>
        <v>0</v>
      </c>
      <c r="U251">
        <f t="shared" ref="U251:U256" si="223">CV251*I251</f>
        <v>167.91149999999996</v>
      </c>
      <c r="V251">
        <f t="shared" ref="V251:V256" si="224">CW251*I251</f>
        <v>28.559099999999997</v>
      </c>
      <c r="W251">
        <f t="shared" ref="W251:W256" si="225">ROUND(CX251*I251,0)</f>
        <v>0</v>
      </c>
      <c r="X251">
        <f t="shared" ref="X251:Y256" si="226">ROUND(CY251,0)</f>
        <v>57027</v>
      </c>
      <c r="Y251">
        <f t="shared" si="226"/>
        <v>32900</v>
      </c>
      <c r="AA251">
        <v>46416371</v>
      </c>
      <c r="AB251">
        <f t="shared" ref="AB251:AB256" si="227">ROUND((AC251+AD251+AF251),6)</f>
        <v>7167.5360000000001</v>
      </c>
      <c r="AC251">
        <f t="shared" ref="AC251:AC256" si="228">ROUND((ES251),6)</f>
        <v>0</v>
      </c>
      <c r="AD251">
        <f>ROUND(((((ET251*1.15))-((EU251*1.15)))+AE251),6)</f>
        <v>4993.0815000000002</v>
      </c>
      <c r="AE251">
        <f t="shared" ref="AE251:AF255" si="229">ROUND(((EU251*1.15)),6)</f>
        <v>455.51499999999999</v>
      </c>
      <c r="AF251">
        <f t="shared" si="229"/>
        <v>2174.4544999999998</v>
      </c>
      <c r="AG251">
        <f t="shared" ref="AG251:AG256" si="230">ROUND((AP251),6)</f>
        <v>0</v>
      </c>
      <c r="AH251">
        <f t="shared" ref="AH251:AI255" si="231">((EW251*1.15))</f>
        <v>279.85249999999996</v>
      </c>
      <c r="AI251">
        <f t="shared" si="231"/>
        <v>47.598499999999994</v>
      </c>
      <c r="AJ251">
        <f t="shared" ref="AJ251:AJ256" si="232">(AS251)</f>
        <v>0</v>
      </c>
      <c r="AK251">
        <v>6232.64</v>
      </c>
      <c r="AL251">
        <v>0</v>
      </c>
      <c r="AM251">
        <v>4341.8100000000004</v>
      </c>
      <c r="AN251">
        <v>396.1</v>
      </c>
      <c r="AO251">
        <v>1890.83</v>
      </c>
      <c r="AP251">
        <v>0</v>
      </c>
      <c r="AQ251">
        <v>243.35</v>
      </c>
      <c r="AR251">
        <v>41.39</v>
      </c>
      <c r="AS251">
        <v>0</v>
      </c>
      <c r="AT251">
        <v>104</v>
      </c>
      <c r="AU251">
        <v>60</v>
      </c>
      <c r="AV251">
        <v>1</v>
      </c>
      <c r="AW251">
        <v>1</v>
      </c>
      <c r="AZ251">
        <v>1</v>
      </c>
      <c r="BA251">
        <v>34.75</v>
      </c>
      <c r="BB251">
        <v>13.36</v>
      </c>
      <c r="BC251">
        <v>8.2899999999999991</v>
      </c>
      <c r="BD251" t="s">
        <v>3</v>
      </c>
      <c r="BE251" t="s">
        <v>3</v>
      </c>
      <c r="BF251" t="s">
        <v>3</v>
      </c>
      <c r="BG251" t="s">
        <v>3</v>
      </c>
      <c r="BH251">
        <v>0</v>
      </c>
      <c r="BI251">
        <v>1</v>
      </c>
      <c r="BJ251" t="s">
        <v>231</v>
      </c>
      <c r="BM251">
        <v>68001</v>
      </c>
      <c r="BN251">
        <v>0</v>
      </c>
      <c r="BO251" t="s">
        <v>3</v>
      </c>
      <c r="BP251">
        <v>0</v>
      </c>
      <c r="BQ251">
        <v>6</v>
      </c>
      <c r="BR251">
        <v>0</v>
      </c>
      <c r="BS251">
        <v>34.75</v>
      </c>
      <c r="BT251">
        <v>1</v>
      </c>
      <c r="BU251">
        <v>1</v>
      </c>
      <c r="BV251">
        <v>1</v>
      </c>
      <c r="BW251">
        <v>1</v>
      </c>
      <c r="BX251">
        <v>1</v>
      </c>
      <c r="BY251" t="s">
        <v>3</v>
      </c>
      <c r="BZ251">
        <v>104</v>
      </c>
      <c r="CA251">
        <v>60</v>
      </c>
      <c r="CB251" t="s">
        <v>3</v>
      </c>
      <c r="CE251">
        <v>0</v>
      </c>
      <c r="CF251">
        <v>0</v>
      </c>
      <c r="CG251">
        <v>0</v>
      </c>
      <c r="CM251">
        <v>0</v>
      </c>
      <c r="CN251" t="s">
        <v>682</v>
      </c>
      <c r="CO251">
        <v>0</v>
      </c>
      <c r="CP251">
        <f t="shared" ref="CP251:CP256" si="233">(P251+Q251+S251)</f>
        <v>85362</v>
      </c>
      <c r="CQ251">
        <f t="shared" ref="CQ251:CQ256" si="234">AC251*BC251</f>
        <v>0</v>
      </c>
      <c r="CR251">
        <f t="shared" ref="CR251:CR256" si="235">AD251*BB251</f>
        <v>66707.568840000007</v>
      </c>
      <c r="CS251">
        <f t="shared" ref="CS251:CS256" si="236">AE251*BS251</f>
        <v>15829.14625</v>
      </c>
      <c r="CT251">
        <f t="shared" ref="CT251:CT256" si="237">AF251*BA251</f>
        <v>75562.293874999988</v>
      </c>
      <c r="CU251">
        <f t="shared" ref="CU251:CX256" si="238">AG251</f>
        <v>0</v>
      </c>
      <c r="CV251">
        <f t="shared" si="238"/>
        <v>279.85249999999996</v>
      </c>
      <c r="CW251">
        <f t="shared" si="238"/>
        <v>47.598499999999994</v>
      </c>
      <c r="CX251">
        <f t="shared" si="238"/>
        <v>0</v>
      </c>
      <c r="CY251">
        <f t="shared" ref="CY251:CY256" si="239">(((S251+R251)*AT251)/100)</f>
        <v>57027.360000000001</v>
      </c>
      <c r="CZ251">
        <f t="shared" ref="CZ251:CZ256" si="240">(((S251+R251)*AU251)/100)</f>
        <v>32900.400000000001</v>
      </c>
      <c r="DC251" t="s">
        <v>3</v>
      </c>
      <c r="DD251" t="s">
        <v>3</v>
      </c>
      <c r="DE251" t="s">
        <v>31</v>
      </c>
      <c r="DF251" t="s">
        <v>31</v>
      </c>
      <c r="DG251" t="s">
        <v>31</v>
      </c>
      <c r="DH251" t="s">
        <v>3</v>
      </c>
      <c r="DI251" t="s">
        <v>31</v>
      </c>
      <c r="DJ251" t="s">
        <v>31</v>
      </c>
      <c r="DK251" t="s">
        <v>3</v>
      </c>
      <c r="DL251" t="s">
        <v>3</v>
      </c>
      <c r="DM251" t="s">
        <v>3</v>
      </c>
      <c r="DN251">
        <v>0</v>
      </c>
      <c r="DO251">
        <v>0</v>
      </c>
      <c r="DP251">
        <v>1</v>
      </c>
      <c r="DQ251">
        <v>1</v>
      </c>
      <c r="DU251">
        <v>1007</v>
      </c>
      <c r="DV251" t="s">
        <v>230</v>
      </c>
      <c r="DW251" t="s">
        <v>230</v>
      </c>
      <c r="DX251">
        <v>100</v>
      </c>
      <c r="DZ251" t="s">
        <v>3</v>
      </c>
      <c r="EA251" t="s">
        <v>3</v>
      </c>
      <c r="EB251" t="s">
        <v>3</v>
      </c>
      <c r="EC251" t="s">
        <v>3</v>
      </c>
      <c r="EE251">
        <v>42476035</v>
      </c>
      <c r="EF251">
        <v>6</v>
      </c>
      <c r="EG251" t="s">
        <v>40</v>
      </c>
      <c r="EH251">
        <v>0</v>
      </c>
      <c r="EI251" t="s">
        <v>3</v>
      </c>
      <c r="EJ251">
        <v>1</v>
      </c>
      <c r="EK251">
        <v>68001</v>
      </c>
      <c r="EL251" t="s">
        <v>232</v>
      </c>
      <c r="EM251" t="s">
        <v>233</v>
      </c>
      <c r="EO251" t="s">
        <v>234</v>
      </c>
      <c r="EQ251">
        <v>2097152</v>
      </c>
      <c r="ER251">
        <v>6232.64</v>
      </c>
      <c r="ES251">
        <v>0</v>
      </c>
      <c r="ET251">
        <v>4341.8100000000004</v>
      </c>
      <c r="EU251">
        <v>396.1</v>
      </c>
      <c r="EV251">
        <v>1890.83</v>
      </c>
      <c r="EW251">
        <v>243.35</v>
      </c>
      <c r="EX251">
        <v>41.39</v>
      </c>
      <c r="EY251">
        <v>0</v>
      </c>
      <c r="FQ251">
        <v>0</v>
      </c>
      <c r="FR251">
        <f t="shared" ref="FR251:FR256" si="241">ROUND(IF(AND(BH251=3,BI251=3),P251,0),0)</f>
        <v>0</v>
      </c>
      <c r="FS251">
        <v>0</v>
      </c>
      <c r="FX251">
        <v>104</v>
      </c>
      <c r="FY251">
        <v>60</v>
      </c>
      <c r="GA251" t="s">
        <v>3</v>
      </c>
      <c r="GD251">
        <v>1</v>
      </c>
      <c r="GF251">
        <v>-1832170938</v>
      </c>
      <c r="GG251">
        <v>2</v>
      </c>
      <c r="GH251">
        <v>1</v>
      </c>
      <c r="GI251">
        <v>4</v>
      </c>
      <c r="GJ251">
        <v>0</v>
      </c>
      <c r="GK251">
        <v>0</v>
      </c>
      <c r="GL251">
        <f t="shared" ref="GL251:GL256" si="242">ROUND(IF(AND(BH251=3,BI251=3,FS251&lt;&gt;0),P251,0),0)</f>
        <v>0</v>
      </c>
      <c r="GM251">
        <f t="shared" ref="GM251:GM256" si="243">ROUND(O251+X251+Y251,0)+GX251</f>
        <v>175289</v>
      </c>
      <c r="GN251">
        <f t="shared" ref="GN251:GN256" si="244">IF(OR(BI251=0,BI251=1),ROUND(O251+X251+Y251,0),0)</f>
        <v>175289</v>
      </c>
      <c r="GO251">
        <f t="shared" ref="GO251:GO256" si="245">IF(BI251=2,ROUND(O251+X251+Y251,0),0)</f>
        <v>0</v>
      </c>
      <c r="GP251">
        <f t="shared" ref="GP251:GP256" si="246">IF(BI251=4,ROUND(O251+X251+Y251,0)+GX251,0)</f>
        <v>0</v>
      </c>
      <c r="GR251">
        <v>0</v>
      </c>
      <c r="GS251">
        <v>3</v>
      </c>
      <c r="GT251">
        <v>0</v>
      </c>
      <c r="GU251" t="s">
        <v>3</v>
      </c>
      <c r="GV251">
        <f t="shared" ref="GV251:GV256" si="247">ROUND((GT251),6)</f>
        <v>0</v>
      </c>
      <c r="GW251">
        <v>1</v>
      </c>
      <c r="GX251">
        <f t="shared" ref="GX251:GX256" si="248">ROUND(HC251*I251,0)</f>
        <v>0</v>
      </c>
      <c r="HA251">
        <v>0</v>
      </c>
      <c r="HB251">
        <v>0</v>
      </c>
      <c r="HC251">
        <f t="shared" ref="HC251:HC256" si="249">GV251*GW251</f>
        <v>0</v>
      </c>
      <c r="HE251" t="s">
        <v>3</v>
      </c>
      <c r="HF251" t="s">
        <v>3</v>
      </c>
      <c r="HM251" t="s">
        <v>3</v>
      </c>
      <c r="HN251" t="s">
        <v>3</v>
      </c>
      <c r="HO251" t="s">
        <v>3</v>
      </c>
      <c r="HP251" t="s">
        <v>3</v>
      </c>
      <c r="HQ251" t="s">
        <v>3</v>
      </c>
      <c r="IK251">
        <v>0</v>
      </c>
    </row>
    <row r="252" spans="1:245" x14ac:dyDescent="0.2">
      <c r="A252">
        <v>17</v>
      </c>
      <c r="B252">
        <v>1</v>
      </c>
      <c r="C252">
        <f>ROW(SmtRes!A176)</f>
        <v>176</v>
      </c>
      <c r="D252">
        <f>ROW(EtalonRes!A164)</f>
        <v>164</v>
      </c>
      <c r="E252" t="s">
        <v>26</v>
      </c>
      <c r="F252" t="s">
        <v>44</v>
      </c>
      <c r="G252" t="s">
        <v>235</v>
      </c>
      <c r="H252" t="s">
        <v>37</v>
      </c>
      <c r="I252">
        <f>ROUND(10/100,9)</f>
        <v>0.1</v>
      </c>
      <c r="J252">
        <v>0</v>
      </c>
      <c r="K252">
        <f>ROUND(10/100,9)</f>
        <v>0.1</v>
      </c>
      <c r="O252">
        <f t="shared" si="217"/>
        <v>6714</v>
      </c>
      <c r="P252">
        <f t="shared" si="218"/>
        <v>0</v>
      </c>
      <c r="Q252">
        <f t="shared" si="219"/>
        <v>1577</v>
      </c>
      <c r="R252">
        <f t="shared" si="220"/>
        <v>388</v>
      </c>
      <c r="S252">
        <f t="shared" si="221"/>
        <v>5137</v>
      </c>
      <c r="T252">
        <f t="shared" si="222"/>
        <v>0</v>
      </c>
      <c r="U252">
        <f t="shared" si="223"/>
        <v>19.895</v>
      </c>
      <c r="V252">
        <f t="shared" si="224"/>
        <v>1.0327</v>
      </c>
      <c r="W252">
        <f t="shared" si="225"/>
        <v>0</v>
      </c>
      <c r="X252">
        <f t="shared" si="226"/>
        <v>4310</v>
      </c>
      <c r="Y252">
        <f t="shared" si="226"/>
        <v>2652</v>
      </c>
      <c r="AA252">
        <v>46416371</v>
      </c>
      <c r="AB252">
        <f t="shared" si="227"/>
        <v>2658.8</v>
      </c>
      <c r="AC252">
        <f t="shared" si="228"/>
        <v>0</v>
      </c>
      <c r="AD252">
        <f>ROUND(((((ET252*1.15))-((EU252*1.15)))+AE252),6)</f>
        <v>1180.6015</v>
      </c>
      <c r="AE252">
        <f t="shared" si="229"/>
        <v>111.527</v>
      </c>
      <c r="AF252">
        <f t="shared" si="229"/>
        <v>1478.1985</v>
      </c>
      <c r="AG252">
        <f t="shared" si="230"/>
        <v>0</v>
      </c>
      <c r="AH252">
        <f t="shared" si="231"/>
        <v>198.95</v>
      </c>
      <c r="AI252">
        <f t="shared" si="231"/>
        <v>10.327</v>
      </c>
      <c r="AJ252">
        <f t="shared" si="232"/>
        <v>0</v>
      </c>
      <c r="AK252">
        <v>2312</v>
      </c>
      <c r="AL252">
        <v>0</v>
      </c>
      <c r="AM252">
        <v>1026.6099999999999</v>
      </c>
      <c r="AN252">
        <v>96.98</v>
      </c>
      <c r="AO252">
        <v>1285.3900000000001</v>
      </c>
      <c r="AP252">
        <v>0</v>
      </c>
      <c r="AQ252">
        <v>173</v>
      </c>
      <c r="AR252">
        <v>8.98</v>
      </c>
      <c r="AS252">
        <v>0</v>
      </c>
      <c r="AT252">
        <v>78</v>
      </c>
      <c r="AU252">
        <v>48</v>
      </c>
      <c r="AV252">
        <v>1</v>
      </c>
      <c r="AW252">
        <v>1</v>
      </c>
      <c r="AZ252">
        <v>1</v>
      </c>
      <c r="BA252">
        <v>34.75</v>
      </c>
      <c r="BB252">
        <v>13.36</v>
      </c>
      <c r="BC252">
        <v>8.2899999999999991</v>
      </c>
      <c r="BD252" t="s">
        <v>3</v>
      </c>
      <c r="BE252" t="s">
        <v>3</v>
      </c>
      <c r="BF252" t="s">
        <v>3</v>
      </c>
      <c r="BG252" t="s">
        <v>3</v>
      </c>
      <c r="BH252">
        <v>0</v>
      </c>
      <c r="BI252">
        <v>1</v>
      </c>
      <c r="BJ252" t="s">
        <v>46</v>
      </c>
      <c r="BM252">
        <v>51001</v>
      </c>
      <c r="BN252">
        <v>0</v>
      </c>
      <c r="BO252" t="s">
        <v>3</v>
      </c>
      <c r="BP252">
        <v>0</v>
      </c>
      <c r="BQ252">
        <v>6</v>
      </c>
      <c r="BR252">
        <v>0</v>
      </c>
      <c r="BS252">
        <v>34.75</v>
      </c>
      <c r="BT252">
        <v>1</v>
      </c>
      <c r="BU252">
        <v>1</v>
      </c>
      <c r="BV252">
        <v>1</v>
      </c>
      <c r="BW252">
        <v>1</v>
      </c>
      <c r="BX252">
        <v>1</v>
      </c>
      <c r="BY252" t="s">
        <v>3</v>
      </c>
      <c r="BZ252">
        <v>78</v>
      </c>
      <c r="CA252">
        <v>48</v>
      </c>
      <c r="CB252" t="s">
        <v>3</v>
      </c>
      <c r="CE252">
        <v>0</v>
      </c>
      <c r="CF252">
        <v>0</v>
      </c>
      <c r="CG252">
        <v>0</v>
      </c>
      <c r="CM252">
        <v>0</v>
      </c>
      <c r="CN252" t="s">
        <v>676</v>
      </c>
      <c r="CO252">
        <v>0</v>
      </c>
      <c r="CP252">
        <f t="shared" si="233"/>
        <v>6714</v>
      </c>
      <c r="CQ252">
        <f t="shared" si="234"/>
        <v>0</v>
      </c>
      <c r="CR252">
        <f t="shared" si="235"/>
        <v>15772.836039999998</v>
      </c>
      <c r="CS252">
        <f t="shared" si="236"/>
        <v>3875.5632500000002</v>
      </c>
      <c r="CT252">
        <f t="shared" si="237"/>
        <v>51367.397875000002</v>
      </c>
      <c r="CU252">
        <f t="shared" si="238"/>
        <v>0</v>
      </c>
      <c r="CV252">
        <f t="shared" si="238"/>
        <v>198.95</v>
      </c>
      <c r="CW252">
        <f t="shared" si="238"/>
        <v>10.327</v>
      </c>
      <c r="CX252">
        <f t="shared" si="238"/>
        <v>0</v>
      </c>
      <c r="CY252">
        <f t="shared" si="239"/>
        <v>4309.5</v>
      </c>
      <c r="CZ252">
        <f t="shared" si="240"/>
        <v>2652</v>
      </c>
      <c r="DC252" t="s">
        <v>3</v>
      </c>
      <c r="DD252" t="s">
        <v>3</v>
      </c>
      <c r="DE252" t="s">
        <v>47</v>
      </c>
      <c r="DF252" t="s">
        <v>47</v>
      </c>
      <c r="DG252" t="s">
        <v>31</v>
      </c>
      <c r="DH252" t="s">
        <v>3</v>
      </c>
      <c r="DI252" t="s">
        <v>31</v>
      </c>
      <c r="DJ252" t="s">
        <v>47</v>
      </c>
      <c r="DK252" t="s">
        <v>3</v>
      </c>
      <c r="DL252" t="s">
        <v>3</v>
      </c>
      <c r="DM252" t="s">
        <v>3</v>
      </c>
      <c r="DN252">
        <v>0</v>
      </c>
      <c r="DO252">
        <v>0</v>
      </c>
      <c r="DP252">
        <v>1</v>
      </c>
      <c r="DQ252">
        <v>1</v>
      </c>
      <c r="DU252">
        <v>1013</v>
      </c>
      <c r="DV252" t="s">
        <v>37</v>
      </c>
      <c r="DW252" t="s">
        <v>37</v>
      </c>
      <c r="DX252">
        <v>1</v>
      </c>
      <c r="DZ252" t="s">
        <v>3</v>
      </c>
      <c r="EA252" t="s">
        <v>3</v>
      </c>
      <c r="EB252" t="s">
        <v>3</v>
      </c>
      <c r="EC252" t="s">
        <v>3</v>
      </c>
      <c r="EE252">
        <v>42475981</v>
      </c>
      <c r="EF252">
        <v>6</v>
      </c>
      <c r="EG252" t="s">
        <v>40</v>
      </c>
      <c r="EH252">
        <v>0</v>
      </c>
      <c r="EI252" t="s">
        <v>3</v>
      </c>
      <c r="EJ252">
        <v>1</v>
      </c>
      <c r="EK252">
        <v>51001</v>
      </c>
      <c r="EL252" t="s">
        <v>41</v>
      </c>
      <c r="EM252" t="s">
        <v>42</v>
      </c>
      <c r="EO252" t="s">
        <v>48</v>
      </c>
      <c r="EQ252">
        <v>0</v>
      </c>
      <c r="ER252">
        <v>2312</v>
      </c>
      <c r="ES252">
        <v>0</v>
      </c>
      <c r="ET252">
        <v>1026.6099999999999</v>
      </c>
      <c r="EU252">
        <v>96.98</v>
      </c>
      <c r="EV252">
        <v>1285.3900000000001</v>
      </c>
      <c r="EW252">
        <v>173</v>
      </c>
      <c r="EX252">
        <v>8.98</v>
      </c>
      <c r="EY252">
        <v>0</v>
      </c>
      <c r="FQ252">
        <v>0</v>
      </c>
      <c r="FR252">
        <f t="shared" si="241"/>
        <v>0</v>
      </c>
      <c r="FS252">
        <v>0</v>
      </c>
      <c r="FX252">
        <v>78</v>
      </c>
      <c r="FY252">
        <v>48</v>
      </c>
      <c r="GA252" t="s">
        <v>3</v>
      </c>
      <c r="GD252">
        <v>1</v>
      </c>
      <c r="GF252">
        <v>-1733866483</v>
      </c>
      <c r="GG252">
        <v>2</v>
      </c>
      <c r="GH252">
        <v>1</v>
      </c>
      <c r="GI252">
        <v>4</v>
      </c>
      <c r="GJ252">
        <v>0</v>
      </c>
      <c r="GK252">
        <v>0</v>
      </c>
      <c r="GL252">
        <f t="shared" si="242"/>
        <v>0</v>
      </c>
      <c r="GM252">
        <f t="shared" si="243"/>
        <v>13676</v>
      </c>
      <c r="GN252">
        <f t="shared" si="244"/>
        <v>13676</v>
      </c>
      <c r="GO252">
        <f t="shared" si="245"/>
        <v>0</v>
      </c>
      <c r="GP252">
        <f t="shared" si="246"/>
        <v>0</v>
      </c>
      <c r="GR252">
        <v>0</v>
      </c>
      <c r="GS252">
        <v>3</v>
      </c>
      <c r="GT252">
        <v>0</v>
      </c>
      <c r="GU252" t="s">
        <v>3</v>
      </c>
      <c r="GV252">
        <f t="shared" si="247"/>
        <v>0</v>
      </c>
      <c r="GW252">
        <v>1</v>
      </c>
      <c r="GX252">
        <f t="shared" si="248"/>
        <v>0</v>
      </c>
      <c r="HA252">
        <v>0</v>
      </c>
      <c r="HB252">
        <v>0</v>
      </c>
      <c r="HC252">
        <f t="shared" si="249"/>
        <v>0</v>
      </c>
      <c r="HE252" t="s">
        <v>3</v>
      </c>
      <c r="HF252" t="s">
        <v>3</v>
      </c>
      <c r="HM252" t="s">
        <v>3</v>
      </c>
      <c r="HN252" t="s">
        <v>3</v>
      </c>
      <c r="HO252" t="s">
        <v>3</v>
      </c>
      <c r="HP252" t="s">
        <v>3</v>
      </c>
      <c r="HQ252" t="s">
        <v>3</v>
      </c>
      <c r="IK252">
        <v>0</v>
      </c>
    </row>
    <row r="253" spans="1:245" x14ac:dyDescent="0.2">
      <c r="A253">
        <v>17</v>
      </c>
      <c r="B253">
        <v>1</v>
      </c>
      <c r="C253">
        <f>ROW(SmtRes!A180)</f>
        <v>180</v>
      </c>
      <c r="D253">
        <f>ROW(EtalonRes!A168)</f>
        <v>168</v>
      </c>
      <c r="E253" t="s">
        <v>56</v>
      </c>
      <c r="F253" t="s">
        <v>236</v>
      </c>
      <c r="G253" t="s">
        <v>237</v>
      </c>
      <c r="H253" t="s">
        <v>230</v>
      </c>
      <c r="I253">
        <f>ROUND(270/100,9)</f>
        <v>2.7</v>
      </c>
      <c r="J253">
        <v>0</v>
      </c>
      <c r="K253">
        <f>ROUND(270/100,9)</f>
        <v>2.7</v>
      </c>
      <c r="O253">
        <f t="shared" si="217"/>
        <v>33239</v>
      </c>
      <c r="P253">
        <f t="shared" si="218"/>
        <v>0</v>
      </c>
      <c r="Q253">
        <f t="shared" si="219"/>
        <v>18651</v>
      </c>
      <c r="R253">
        <f t="shared" si="220"/>
        <v>5951</v>
      </c>
      <c r="S253">
        <f t="shared" si="221"/>
        <v>14588</v>
      </c>
      <c r="T253">
        <f t="shared" si="222"/>
        <v>0</v>
      </c>
      <c r="U253">
        <f t="shared" si="223"/>
        <v>57.038850000000004</v>
      </c>
      <c r="V253">
        <f t="shared" si="224"/>
        <v>14.438250000000002</v>
      </c>
      <c r="W253">
        <f t="shared" si="225"/>
        <v>0</v>
      </c>
      <c r="X253">
        <f t="shared" si="226"/>
        <v>21361</v>
      </c>
      <c r="Y253">
        <f t="shared" si="226"/>
        <v>12323</v>
      </c>
      <c r="AA253">
        <v>46416371</v>
      </c>
      <c r="AB253">
        <f t="shared" si="227"/>
        <v>672.52</v>
      </c>
      <c r="AC253">
        <f t="shared" si="228"/>
        <v>0</v>
      </c>
      <c r="AD253">
        <f>ROUND(((((ET253*1.15))-((EU253*1.15)))+AE253),6)</f>
        <v>517.04</v>
      </c>
      <c r="AE253">
        <f t="shared" si="229"/>
        <v>63.422499999999999</v>
      </c>
      <c r="AF253">
        <f t="shared" si="229"/>
        <v>155.47999999999999</v>
      </c>
      <c r="AG253">
        <f t="shared" si="230"/>
        <v>0</v>
      </c>
      <c r="AH253">
        <f t="shared" si="231"/>
        <v>21.125499999999999</v>
      </c>
      <c r="AI253">
        <f t="shared" si="231"/>
        <v>5.3475000000000001</v>
      </c>
      <c r="AJ253">
        <f t="shared" si="232"/>
        <v>0</v>
      </c>
      <c r="AK253">
        <v>584.79999999999995</v>
      </c>
      <c r="AL253">
        <v>0</v>
      </c>
      <c r="AM253">
        <v>449.6</v>
      </c>
      <c r="AN253">
        <v>55.15</v>
      </c>
      <c r="AO253">
        <v>135.19999999999999</v>
      </c>
      <c r="AP253">
        <v>0</v>
      </c>
      <c r="AQ253">
        <v>18.37</v>
      </c>
      <c r="AR253">
        <v>4.6500000000000004</v>
      </c>
      <c r="AS253">
        <v>0</v>
      </c>
      <c r="AT253">
        <v>104</v>
      </c>
      <c r="AU253">
        <v>60</v>
      </c>
      <c r="AV253">
        <v>1</v>
      </c>
      <c r="AW253">
        <v>1</v>
      </c>
      <c r="AZ253">
        <v>1</v>
      </c>
      <c r="BA253">
        <v>34.75</v>
      </c>
      <c r="BB253">
        <v>13.36</v>
      </c>
      <c r="BC253">
        <v>8.2899999999999991</v>
      </c>
      <c r="BD253" t="s">
        <v>3</v>
      </c>
      <c r="BE253" t="s">
        <v>3</v>
      </c>
      <c r="BF253" t="s">
        <v>3</v>
      </c>
      <c r="BG253" t="s">
        <v>3</v>
      </c>
      <c r="BH253">
        <v>0</v>
      </c>
      <c r="BI253">
        <v>1</v>
      </c>
      <c r="BJ253" t="s">
        <v>238</v>
      </c>
      <c r="BM253">
        <v>68001</v>
      </c>
      <c r="BN253">
        <v>0</v>
      </c>
      <c r="BO253" t="s">
        <v>3</v>
      </c>
      <c r="BP253">
        <v>0</v>
      </c>
      <c r="BQ253">
        <v>6</v>
      </c>
      <c r="BR253">
        <v>0</v>
      </c>
      <c r="BS253">
        <v>34.75</v>
      </c>
      <c r="BT253">
        <v>1</v>
      </c>
      <c r="BU253">
        <v>1</v>
      </c>
      <c r="BV253">
        <v>1</v>
      </c>
      <c r="BW253">
        <v>1</v>
      </c>
      <c r="BX253">
        <v>1</v>
      </c>
      <c r="BY253" t="s">
        <v>3</v>
      </c>
      <c r="BZ253">
        <v>104</v>
      </c>
      <c r="CA253">
        <v>60</v>
      </c>
      <c r="CB253" t="s">
        <v>3</v>
      </c>
      <c r="CE253">
        <v>0</v>
      </c>
      <c r="CF253">
        <v>0</v>
      </c>
      <c r="CG253">
        <v>0</v>
      </c>
      <c r="CM253">
        <v>0</v>
      </c>
      <c r="CN253" t="s">
        <v>682</v>
      </c>
      <c r="CO253">
        <v>0</v>
      </c>
      <c r="CP253">
        <f t="shared" si="233"/>
        <v>33239</v>
      </c>
      <c r="CQ253">
        <f t="shared" si="234"/>
        <v>0</v>
      </c>
      <c r="CR253">
        <f t="shared" si="235"/>
        <v>6907.6543999999994</v>
      </c>
      <c r="CS253">
        <f t="shared" si="236"/>
        <v>2203.9318749999998</v>
      </c>
      <c r="CT253">
        <f t="shared" si="237"/>
        <v>5402.9299999999994</v>
      </c>
      <c r="CU253">
        <f t="shared" si="238"/>
        <v>0</v>
      </c>
      <c r="CV253">
        <f t="shared" si="238"/>
        <v>21.125499999999999</v>
      </c>
      <c r="CW253">
        <f t="shared" si="238"/>
        <v>5.3475000000000001</v>
      </c>
      <c r="CX253">
        <f t="shared" si="238"/>
        <v>0</v>
      </c>
      <c r="CY253">
        <f t="shared" si="239"/>
        <v>21360.560000000001</v>
      </c>
      <c r="CZ253">
        <f t="shared" si="240"/>
        <v>12323.4</v>
      </c>
      <c r="DC253" t="s">
        <v>3</v>
      </c>
      <c r="DD253" t="s">
        <v>3</v>
      </c>
      <c r="DE253" t="s">
        <v>31</v>
      </c>
      <c r="DF253" t="s">
        <v>31</v>
      </c>
      <c r="DG253" t="s">
        <v>31</v>
      </c>
      <c r="DH253" t="s">
        <v>3</v>
      </c>
      <c r="DI253" t="s">
        <v>31</v>
      </c>
      <c r="DJ253" t="s">
        <v>31</v>
      </c>
      <c r="DK253" t="s">
        <v>3</v>
      </c>
      <c r="DL253" t="s">
        <v>3</v>
      </c>
      <c r="DM253" t="s">
        <v>3</v>
      </c>
      <c r="DN253">
        <v>0</v>
      </c>
      <c r="DO253">
        <v>0</v>
      </c>
      <c r="DP253">
        <v>1</v>
      </c>
      <c r="DQ253">
        <v>1</v>
      </c>
      <c r="DU253">
        <v>1007</v>
      </c>
      <c r="DV253" t="s">
        <v>230</v>
      </c>
      <c r="DW253" t="s">
        <v>230</v>
      </c>
      <c r="DX253">
        <v>100</v>
      </c>
      <c r="DZ253" t="s">
        <v>3</v>
      </c>
      <c r="EA253" t="s">
        <v>3</v>
      </c>
      <c r="EB253" t="s">
        <v>3</v>
      </c>
      <c r="EC253" t="s">
        <v>3</v>
      </c>
      <c r="EE253">
        <v>42476035</v>
      </c>
      <c r="EF253">
        <v>6</v>
      </c>
      <c r="EG253" t="s">
        <v>40</v>
      </c>
      <c r="EH253">
        <v>0</v>
      </c>
      <c r="EI253" t="s">
        <v>3</v>
      </c>
      <c r="EJ253">
        <v>1</v>
      </c>
      <c r="EK253">
        <v>68001</v>
      </c>
      <c r="EL253" t="s">
        <v>232</v>
      </c>
      <c r="EM253" t="s">
        <v>233</v>
      </c>
      <c r="EO253" t="s">
        <v>234</v>
      </c>
      <c r="EQ253">
        <v>2097152</v>
      </c>
      <c r="ER253">
        <v>584.79999999999995</v>
      </c>
      <c r="ES253">
        <v>0</v>
      </c>
      <c r="ET253">
        <v>449.6</v>
      </c>
      <c r="EU253">
        <v>55.15</v>
      </c>
      <c r="EV253">
        <v>135.19999999999999</v>
      </c>
      <c r="EW253">
        <v>18.37</v>
      </c>
      <c r="EX253">
        <v>4.6500000000000004</v>
      </c>
      <c r="EY253">
        <v>0</v>
      </c>
      <c r="FQ253">
        <v>0</v>
      </c>
      <c r="FR253">
        <f t="shared" si="241"/>
        <v>0</v>
      </c>
      <c r="FS253">
        <v>0</v>
      </c>
      <c r="FX253">
        <v>104</v>
      </c>
      <c r="FY253">
        <v>60</v>
      </c>
      <c r="GA253" t="s">
        <v>3</v>
      </c>
      <c r="GD253">
        <v>1</v>
      </c>
      <c r="GF253">
        <v>-327073567</v>
      </c>
      <c r="GG253">
        <v>2</v>
      </c>
      <c r="GH253">
        <v>1</v>
      </c>
      <c r="GI253">
        <v>4</v>
      </c>
      <c r="GJ253">
        <v>0</v>
      </c>
      <c r="GK253">
        <v>0</v>
      </c>
      <c r="GL253">
        <f t="shared" si="242"/>
        <v>0</v>
      </c>
      <c r="GM253">
        <f t="shared" si="243"/>
        <v>66923</v>
      </c>
      <c r="GN253">
        <f t="shared" si="244"/>
        <v>66923</v>
      </c>
      <c r="GO253">
        <f t="shared" si="245"/>
        <v>0</v>
      </c>
      <c r="GP253">
        <f t="shared" si="246"/>
        <v>0</v>
      </c>
      <c r="GR253">
        <v>0</v>
      </c>
      <c r="GS253">
        <v>3</v>
      </c>
      <c r="GT253">
        <v>0</v>
      </c>
      <c r="GU253" t="s">
        <v>3</v>
      </c>
      <c r="GV253">
        <f t="shared" si="247"/>
        <v>0</v>
      </c>
      <c r="GW253">
        <v>1</v>
      </c>
      <c r="GX253">
        <f t="shared" si="248"/>
        <v>0</v>
      </c>
      <c r="HA253">
        <v>0</v>
      </c>
      <c r="HB253">
        <v>0</v>
      </c>
      <c r="HC253">
        <f t="shared" si="249"/>
        <v>0</v>
      </c>
      <c r="HE253" t="s">
        <v>3</v>
      </c>
      <c r="HF253" t="s">
        <v>3</v>
      </c>
      <c r="HM253" t="s">
        <v>3</v>
      </c>
      <c r="HN253" t="s">
        <v>3</v>
      </c>
      <c r="HO253" t="s">
        <v>3</v>
      </c>
      <c r="HP253" t="s">
        <v>3</v>
      </c>
      <c r="HQ253" t="s">
        <v>3</v>
      </c>
      <c r="IK253">
        <v>0</v>
      </c>
    </row>
    <row r="254" spans="1:245" x14ac:dyDescent="0.2">
      <c r="A254">
        <v>17</v>
      </c>
      <c r="B254">
        <v>1</v>
      </c>
      <c r="C254">
        <f>ROW(SmtRes!A185)</f>
        <v>185</v>
      </c>
      <c r="D254">
        <f>ROW(EtalonRes!A173)</f>
        <v>173</v>
      </c>
      <c r="E254" t="s">
        <v>64</v>
      </c>
      <c r="F254" t="s">
        <v>50</v>
      </c>
      <c r="G254" t="s">
        <v>239</v>
      </c>
      <c r="H254" t="s">
        <v>52</v>
      </c>
      <c r="I254">
        <f>ROUND(418/1000,9)</f>
        <v>0.41799999999999998</v>
      </c>
      <c r="J254">
        <v>0</v>
      </c>
      <c r="K254">
        <f>ROUND(418/1000,9)</f>
        <v>0.41799999999999998</v>
      </c>
      <c r="O254">
        <f t="shared" si="217"/>
        <v>35444</v>
      </c>
      <c r="P254">
        <f t="shared" si="218"/>
        <v>16</v>
      </c>
      <c r="Q254">
        <f t="shared" si="219"/>
        <v>31614</v>
      </c>
      <c r="R254">
        <f t="shared" si="220"/>
        <v>16313</v>
      </c>
      <c r="S254">
        <f t="shared" si="221"/>
        <v>3814</v>
      </c>
      <c r="T254">
        <f t="shared" si="222"/>
        <v>0</v>
      </c>
      <c r="U254">
        <f t="shared" si="223"/>
        <v>15.055524</v>
      </c>
      <c r="V254">
        <f t="shared" si="224"/>
        <v>43.306262999999994</v>
      </c>
      <c r="W254">
        <f t="shared" si="225"/>
        <v>0</v>
      </c>
      <c r="X254">
        <f t="shared" si="226"/>
        <v>19121</v>
      </c>
      <c r="Y254">
        <f t="shared" si="226"/>
        <v>10064</v>
      </c>
      <c r="AA254">
        <v>46416371</v>
      </c>
      <c r="AB254">
        <f t="shared" si="227"/>
        <v>5928.1949999999997</v>
      </c>
      <c r="AC254">
        <f t="shared" si="228"/>
        <v>4.66</v>
      </c>
      <c r="AD254">
        <f>ROUND(((((ET254*1.15))-((EU254*1.15)))+AE254),6)</f>
        <v>5660.9669999999996</v>
      </c>
      <c r="AE254">
        <f t="shared" si="229"/>
        <v>1123.067</v>
      </c>
      <c r="AF254">
        <f t="shared" si="229"/>
        <v>262.56799999999998</v>
      </c>
      <c r="AG254">
        <f t="shared" si="230"/>
        <v>0</v>
      </c>
      <c r="AH254">
        <f t="shared" si="231"/>
        <v>36.018000000000001</v>
      </c>
      <c r="AI254">
        <f t="shared" si="231"/>
        <v>103.6035</v>
      </c>
      <c r="AJ254">
        <f t="shared" si="232"/>
        <v>0</v>
      </c>
      <c r="AK254">
        <v>5155.5600000000004</v>
      </c>
      <c r="AL254">
        <v>4.66</v>
      </c>
      <c r="AM254">
        <v>4922.58</v>
      </c>
      <c r="AN254">
        <v>976.58</v>
      </c>
      <c r="AO254">
        <v>228.32</v>
      </c>
      <c r="AP254">
        <v>0</v>
      </c>
      <c r="AQ254">
        <v>31.32</v>
      </c>
      <c r="AR254">
        <v>90.09</v>
      </c>
      <c r="AS254">
        <v>0</v>
      </c>
      <c r="AT254">
        <v>95</v>
      </c>
      <c r="AU254">
        <v>50</v>
      </c>
      <c r="AV254">
        <v>1</v>
      </c>
      <c r="AW254">
        <v>1</v>
      </c>
      <c r="AZ254">
        <v>1</v>
      </c>
      <c r="BA254">
        <v>34.75</v>
      </c>
      <c r="BB254">
        <v>13.36</v>
      </c>
      <c r="BC254">
        <v>8.2899999999999991</v>
      </c>
      <c r="BD254" t="s">
        <v>3</v>
      </c>
      <c r="BE254" t="s">
        <v>3</v>
      </c>
      <c r="BF254" t="s">
        <v>3</v>
      </c>
      <c r="BG254" t="s">
        <v>3</v>
      </c>
      <c r="BH254">
        <v>0</v>
      </c>
      <c r="BI254">
        <v>1</v>
      </c>
      <c r="BJ254" t="s">
        <v>53</v>
      </c>
      <c r="BM254">
        <v>1001</v>
      </c>
      <c r="BN254">
        <v>0</v>
      </c>
      <c r="BO254" t="s">
        <v>3</v>
      </c>
      <c r="BP254">
        <v>0</v>
      </c>
      <c r="BQ254">
        <v>2</v>
      </c>
      <c r="BR254">
        <v>0</v>
      </c>
      <c r="BS254">
        <v>34.75</v>
      </c>
      <c r="BT254">
        <v>1</v>
      </c>
      <c r="BU254">
        <v>1</v>
      </c>
      <c r="BV254">
        <v>1</v>
      </c>
      <c r="BW254">
        <v>1</v>
      </c>
      <c r="BX254">
        <v>1</v>
      </c>
      <c r="BY254" t="s">
        <v>3</v>
      </c>
      <c r="BZ254">
        <v>95</v>
      </c>
      <c r="CA254">
        <v>50</v>
      </c>
      <c r="CB254" t="s">
        <v>3</v>
      </c>
      <c r="CE254">
        <v>0</v>
      </c>
      <c r="CF254">
        <v>0</v>
      </c>
      <c r="CG254">
        <v>0</v>
      </c>
      <c r="CM254">
        <v>0</v>
      </c>
      <c r="CN254" t="s">
        <v>677</v>
      </c>
      <c r="CO254">
        <v>0</v>
      </c>
      <c r="CP254">
        <f t="shared" si="233"/>
        <v>35444</v>
      </c>
      <c r="CQ254">
        <f t="shared" si="234"/>
        <v>38.631399999999999</v>
      </c>
      <c r="CR254">
        <f t="shared" si="235"/>
        <v>75630.519119999997</v>
      </c>
      <c r="CS254">
        <f t="shared" si="236"/>
        <v>39026.578249999999</v>
      </c>
      <c r="CT254">
        <f t="shared" si="237"/>
        <v>9124.2379999999994</v>
      </c>
      <c r="CU254">
        <f t="shared" si="238"/>
        <v>0</v>
      </c>
      <c r="CV254">
        <f t="shared" si="238"/>
        <v>36.018000000000001</v>
      </c>
      <c r="CW254">
        <f t="shared" si="238"/>
        <v>103.6035</v>
      </c>
      <c r="CX254">
        <f t="shared" si="238"/>
        <v>0</v>
      </c>
      <c r="CY254">
        <f t="shared" si="239"/>
        <v>19120.650000000001</v>
      </c>
      <c r="CZ254">
        <f t="shared" si="240"/>
        <v>10063.5</v>
      </c>
      <c r="DC254" t="s">
        <v>3</v>
      </c>
      <c r="DD254" t="s">
        <v>3</v>
      </c>
      <c r="DE254" t="s">
        <v>31</v>
      </c>
      <c r="DF254" t="s">
        <v>31</v>
      </c>
      <c r="DG254" t="s">
        <v>31</v>
      </c>
      <c r="DH254" t="s">
        <v>3</v>
      </c>
      <c r="DI254" t="s">
        <v>31</v>
      </c>
      <c r="DJ254" t="s">
        <v>31</v>
      </c>
      <c r="DK254" t="s">
        <v>3</v>
      </c>
      <c r="DL254" t="s">
        <v>3</v>
      </c>
      <c r="DM254" t="s">
        <v>3</v>
      </c>
      <c r="DN254">
        <v>0</v>
      </c>
      <c r="DO254">
        <v>0</v>
      </c>
      <c r="DP254">
        <v>1</v>
      </c>
      <c r="DQ254">
        <v>1</v>
      </c>
      <c r="DU254">
        <v>1007</v>
      </c>
      <c r="DV254" t="s">
        <v>52</v>
      </c>
      <c r="DW254" t="s">
        <v>52</v>
      </c>
      <c r="DX254">
        <v>1000</v>
      </c>
      <c r="DZ254" t="s">
        <v>3</v>
      </c>
      <c r="EA254" t="s">
        <v>3</v>
      </c>
      <c r="EB254" t="s">
        <v>3</v>
      </c>
      <c r="EC254" t="s">
        <v>3</v>
      </c>
      <c r="EE254">
        <v>42475883</v>
      </c>
      <c r="EF254">
        <v>2</v>
      </c>
      <c r="EG254" t="s">
        <v>22</v>
      </c>
      <c r="EH254">
        <v>0</v>
      </c>
      <c r="EI254" t="s">
        <v>3</v>
      </c>
      <c r="EJ254">
        <v>1</v>
      </c>
      <c r="EK254">
        <v>1001</v>
      </c>
      <c r="EL254" t="s">
        <v>54</v>
      </c>
      <c r="EM254" t="s">
        <v>33</v>
      </c>
      <c r="EO254" t="s">
        <v>55</v>
      </c>
      <c r="EQ254">
        <v>2097152</v>
      </c>
      <c r="ER254">
        <v>5155.5600000000004</v>
      </c>
      <c r="ES254">
        <v>4.66</v>
      </c>
      <c r="ET254">
        <v>4922.58</v>
      </c>
      <c r="EU254">
        <v>976.58</v>
      </c>
      <c r="EV254">
        <v>228.32</v>
      </c>
      <c r="EW254">
        <v>31.32</v>
      </c>
      <c r="EX254">
        <v>90.09</v>
      </c>
      <c r="EY254">
        <v>0</v>
      </c>
      <c r="FQ254">
        <v>0</v>
      </c>
      <c r="FR254">
        <f t="shared" si="241"/>
        <v>0</v>
      </c>
      <c r="FS254">
        <v>0</v>
      </c>
      <c r="FX254">
        <v>95</v>
      </c>
      <c r="FY254">
        <v>50</v>
      </c>
      <c r="GA254" t="s">
        <v>3</v>
      </c>
      <c r="GD254">
        <v>1</v>
      </c>
      <c r="GF254">
        <v>-1126871761</v>
      </c>
      <c r="GG254">
        <v>2</v>
      </c>
      <c r="GH254">
        <v>1</v>
      </c>
      <c r="GI254">
        <v>4</v>
      </c>
      <c r="GJ254">
        <v>0</v>
      </c>
      <c r="GK254">
        <v>0</v>
      </c>
      <c r="GL254">
        <f t="shared" si="242"/>
        <v>0</v>
      </c>
      <c r="GM254">
        <f t="shared" si="243"/>
        <v>64629</v>
      </c>
      <c r="GN254">
        <f t="shared" si="244"/>
        <v>64629</v>
      </c>
      <c r="GO254">
        <f t="shared" si="245"/>
        <v>0</v>
      </c>
      <c r="GP254">
        <f t="shared" si="246"/>
        <v>0</v>
      </c>
      <c r="GR254">
        <v>0</v>
      </c>
      <c r="GS254">
        <v>3</v>
      </c>
      <c r="GT254">
        <v>0</v>
      </c>
      <c r="GU254" t="s">
        <v>3</v>
      </c>
      <c r="GV254">
        <f t="shared" si="247"/>
        <v>0</v>
      </c>
      <c r="GW254">
        <v>1</v>
      </c>
      <c r="GX254">
        <f t="shared" si="248"/>
        <v>0</v>
      </c>
      <c r="HA254">
        <v>0</v>
      </c>
      <c r="HB254">
        <v>0</v>
      </c>
      <c r="HC254">
        <f t="shared" si="249"/>
        <v>0</v>
      </c>
      <c r="HE254" t="s">
        <v>3</v>
      </c>
      <c r="HF254" t="s">
        <v>3</v>
      </c>
      <c r="HM254" t="s">
        <v>3</v>
      </c>
      <c r="HN254" t="s">
        <v>3</v>
      </c>
      <c r="HO254" t="s">
        <v>3</v>
      </c>
      <c r="HP254" t="s">
        <v>3</v>
      </c>
      <c r="HQ254" t="s">
        <v>3</v>
      </c>
      <c r="IK254">
        <v>0</v>
      </c>
    </row>
    <row r="255" spans="1:245" x14ac:dyDescent="0.2">
      <c r="A255">
        <v>17</v>
      </c>
      <c r="B255">
        <v>1</v>
      </c>
      <c r="C255">
        <f>ROW(SmtRes!A186)</f>
        <v>186</v>
      </c>
      <c r="D255">
        <f>ROW(EtalonRes!A174)</f>
        <v>174</v>
      </c>
      <c r="E255" t="s">
        <v>202</v>
      </c>
      <c r="F255" t="s">
        <v>27</v>
      </c>
      <c r="G255" t="s">
        <v>240</v>
      </c>
      <c r="H255" t="s">
        <v>29</v>
      </c>
      <c r="I255">
        <f>ROUND(14/100,9)</f>
        <v>0.14000000000000001</v>
      </c>
      <c r="J255">
        <v>0</v>
      </c>
      <c r="K255">
        <f>ROUND(14/100,9)</f>
        <v>0.14000000000000001</v>
      </c>
      <c r="O255">
        <f t="shared" si="217"/>
        <v>6281</v>
      </c>
      <c r="P255">
        <f t="shared" si="218"/>
        <v>0</v>
      </c>
      <c r="Q255">
        <f t="shared" si="219"/>
        <v>0</v>
      </c>
      <c r="R255">
        <f t="shared" si="220"/>
        <v>0</v>
      </c>
      <c r="S255">
        <f t="shared" si="221"/>
        <v>6281</v>
      </c>
      <c r="T255">
        <f t="shared" si="222"/>
        <v>0</v>
      </c>
      <c r="U255">
        <f t="shared" si="223"/>
        <v>24.794</v>
      </c>
      <c r="V255">
        <f t="shared" si="224"/>
        <v>0</v>
      </c>
      <c r="W255">
        <f t="shared" si="225"/>
        <v>0</v>
      </c>
      <c r="X255">
        <f t="shared" si="226"/>
        <v>5025</v>
      </c>
      <c r="Y255">
        <f t="shared" si="226"/>
        <v>2826</v>
      </c>
      <c r="AA255">
        <v>46416371</v>
      </c>
      <c r="AB255">
        <f t="shared" si="227"/>
        <v>1291.059</v>
      </c>
      <c r="AC255">
        <f t="shared" si="228"/>
        <v>0</v>
      </c>
      <c r="AD255">
        <f>ROUND(((((ET255*1.15))-((EU255*1.15)))+AE255),6)</f>
        <v>0</v>
      </c>
      <c r="AE255">
        <f t="shared" si="229"/>
        <v>0</v>
      </c>
      <c r="AF255">
        <f t="shared" si="229"/>
        <v>1291.059</v>
      </c>
      <c r="AG255">
        <f t="shared" si="230"/>
        <v>0</v>
      </c>
      <c r="AH255">
        <f t="shared" si="231"/>
        <v>177.1</v>
      </c>
      <c r="AI255">
        <f t="shared" si="231"/>
        <v>0</v>
      </c>
      <c r="AJ255">
        <f t="shared" si="232"/>
        <v>0</v>
      </c>
      <c r="AK255">
        <v>1122.6600000000001</v>
      </c>
      <c r="AL255">
        <v>0</v>
      </c>
      <c r="AM255">
        <v>0</v>
      </c>
      <c r="AN255">
        <v>0</v>
      </c>
      <c r="AO255">
        <v>1122.6600000000001</v>
      </c>
      <c r="AP255">
        <v>0</v>
      </c>
      <c r="AQ255">
        <v>154</v>
      </c>
      <c r="AR255">
        <v>0</v>
      </c>
      <c r="AS255">
        <v>0</v>
      </c>
      <c r="AT255">
        <v>80</v>
      </c>
      <c r="AU255">
        <v>45</v>
      </c>
      <c r="AV255">
        <v>1</v>
      </c>
      <c r="AW255">
        <v>1</v>
      </c>
      <c r="AZ255">
        <v>1</v>
      </c>
      <c r="BA255">
        <v>34.75</v>
      </c>
      <c r="BB255">
        <v>13.36</v>
      </c>
      <c r="BC255">
        <v>8.2899999999999991</v>
      </c>
      <c r="BD255" t="s">
        <v>3</v>
      </c>
      <c r="BE255" t="s">
        <v>3</v>
      </c>
      <c r="BF255" t="s">
        <v>3</v>
      </c>
      <c r="BG255" t="s">
        <v>3</v>
      </c>
      <c r="BH255">
        <v>0</v>
      </c>
      <c r="BI255">
        <v>1</v>
      </c>
      <c r="BJ255" t="s">
        <v>30</v>
      </c>
      <c r="BM255">
        <v>1003</v>
      </c>
      <c r="BN255">
        <v>0</v>
      </c>
      <c r="BO255" t="s">
        <v>3</v>
      </c>
      <c r="BP255">
        <v>0</v>
      </c>
      <c r="BQ255">
        <v>2</v>
      </c>
      <c r="BR255">
        <v>0</v>
      </c>
      <c r="BS255">
        <v>34.75</v>
      </c>
      <c r="BT255">
        <v>1</v>
      </c>
      <c r="BU255">
        <v>1</v>
      </c>
      <c r="BV255">
        <v>1</v>
      </c>
      <c r="BW255">
        <v>1</v>
      </c>
      <c r="BX255">
        <v>1</v>
      </c>
      <c r="BY255" t="s">
        <v>3</v>
      </c>
      <c r="BZ255">
        <v>80</v>
      </c>
      <c r="CA255">
        <v>45</v>
      </c>
      <c r="CB255" t="s">
        <v>3</v>
      </c>
      <c r="CE255">
        <v>0</v>
      </c>
      <c r="CF255">
        <v>0</v>
      </c>
      <c r="CG255">
        <v>0</v>
      </c>
      <c r="CM255">
        <v>0</v>
      </c>
      <c r="CN255" t="s">
        <v>675</v>
      </c>
      <c r="CO255">
        <v>0</v>
      </c>
      <c r="CP255">
        <f t="shared" si="233"/>
        <v>6281</v>
      </c>
      <c r="CQ255">
        <f t="shared" si="234"/>
        <v>0</v>
      </c>
      <c r="CR255">
        <f t="shared" si="235"/>
        <v>0</v>
      </c>
      <c r="CS255">
        <f t="shared" si="236"/>
        <v>0</v>
      </c>
      <c r="CT255">
        <f t="shared" si="237"/>
        <v>44864.30025</v>
      </c>
      <c r="CU255">
        <f t="shared" si="238"/>
        <v>0</v>
      </c>
      <c r="CV255">
        <f t="shared" si="238"/>
        <v>177.1</v>
      </c>
      <c r="CW255">
        <f t="shared" si="238"/>
        <v>0</v>
      </c>
      <c r="CX255">
        <f t="shared" si="238"/>
        <v>0</v>
      </c>
      <c r="CY255">
        <f t="shared" si="239"/>
        <v>5024.8</v>
      </c>
      <c r="CZ255">
        <f t="shared" si="240"/>
        <v>2826.45</v>
      </c>
      <c r="DC255" t="s">
        <v>3</v>
      </c>
      <c r="DD255" t="s">
        <v>3</v>
      </c>
      <c r="DE255" t="s">
        <v>31</v>
      </c>
      <c r="DF255" t="s">
        <v>31</v>
      </c>
      <c r="DG255" t="s">
        <v>31</v>
      </c>
      <c r="DH255" t="s">
        <v>3</v>
      </c>
      <c r="DI255" t="s">
        <v>31</v>
      </c>
      <c r="DJ255" t="s">
        <v>31</v>
      </c>
      <c r="DK255" t="s">
        <v>3</v>
      </c>
      <c r="DL255" t="s">
        <v>3</v>
      </c>
      <c r="DM255" t="s">
        <v>3</v>
      </c>
      <c r="DN255">
        <v>0</v>
      </c>
      <c r="DO255">
        <v>0</v>
      </c>
      <c r="DP255">
        <v>1</v>
      </c>
      <c r="DQ255">
        <v>1</v>
      </c>
      <c r="DU255">
        <v>1013</v>
      </c>
      <c r="DV255" t="s">
        <v>29</v>
      </c>
      <c r="DW255" t="s">
        <v>29</v>
      </c>
      <c r="DX255">
        <v>1</v>
      </c>
      <c r="DZ255" t="s">
        <v>3</v>
      </c>
      <c r="EA255" t="s">
        <v>3</v>
      </c>
      <c r="EB255" t="s">
        <v>3</v>
      </c>
      <c r="EC255" t="s">
        <v>3</v>
      </c>
      <c r="EE255">
        <v>42475885</v>
      </c>
      <c r="EF255">
        <v>2</v>
      </c>
      <c r="EG255" t="s">
        <v>22</v>
      </c>
      <c r="EH255">
        <v>0</v>
      </c>
      <c r="EI255" t="s">
        <v>3</v>
      </c>
      <c r="EJ255">
        <v>1</v>
      </c>
      <c r="EK255">
        <v>1003</v>
      </c>
      <c r="EL255" t="s">
        <v>32</v>
      </c>
      <c r="EM255" t="s">
        <v>33</v>
      </c>
      <c r="EO255" t="s">
        <v>34</v>
      </c>
      <c r="EQ255">
        <v>2097152</v>
      </c>
      <c r="ER255">
        <v>1122.6600000000001</v>
      </c>
      <c r="ES255">
        <v>0</v>
      </c>
      <c r="ET255">
        <v>0</v>
      </c>
      <c r="EU255">
        <v>0</v>
      </c>
      <c r="EV255">
        <v>1122.6600000000001</v>
      </c>
      <c r="EW255">
        <v>154</v>
      </c>
      <c r="EX255">
        <v>0</v>
      </c>
      <c r="EY255">
        <v>0</v>
      </c>
      <c r="FQ255">
        <v>0</v>
      </c>
      <c r="FR255">
        <f t="shared" si="241"/>
        <v>0</v>
      </c>
      <c r="FS255">
        <v>0</v>
      </c>
      <c r="FX255">
        <v>80</v>
      </c>
      <c r="FY255">
        <v>45</v>
      </c>
      <c r="GA255" t="s">
        <v>3</v>
      </c>
      <c r="GD255">
        <v>1</v>
      </c>
      <c r="GF255">
        <v>1142192154</v>
      </c>
      <c r="GG255">
        <v>2</v>
      </c>
      <c r="GH255">
        <v>1</v>
      </c>
      <c r="GI255">
        <v>4</v>
      </c>
      <c r="GJ255">
        <v>0</v>
      </c>
      <c r="GK255">
        <v>0</v>
      </c>
      <c r="GL255">
        <f t="shared" si="242"/>
        <v>0</v>
      </c>
      <c r="GM255">
        <f t="shared" si="243"/>
        <v>14132</v>
      </c>
      <c r="GN255">
        <f t="shared" si="244"/>
        <v>14132</v>
      </c>
      <c r="GO255">
        <f t="shared" si="245"/>
        <v>0</v>
      </c>
      <c r="GP255">
        <f t="shared" si="246"/>
        <v>0</v>
      </c>
      <c r="GR255">
        <v>0</v>
      </c>
      <c r="GS255">
        <v>3</v>
      </c>
      <c r="GT255">
        <v>0</v>
      </c>
      <c r="GU255" t="s">
        <v>3</v>
      </c>
      <c r="GV255">
        <f t="shared" si="247"/>
        <v>0</v>
      </c>
      <c r="GW255">
        <v>1</v>
      </c>
      <c r="GX255">
        <f t="shared" si="248"/>
        <v>0</v>
      </c>
      <c r="HA255">
        <v>0</v>
      </c>
      <c r="HB255">
        <v>0</v>
      </c>
      <c r="HC255">
        <f t="shared" si="249"/>
        <v>0</v>
      </c>
      <c r="HE255" t="s">
        <v>3</v>
      </c>
      <c r="HF255" t="s">
        <v>3</v>
      </c>
      <c r="HM255" t="s">
        <v>3</v>
      </c>
      <c r="HN255" t="s">
        <v>3</v>
      </c>
      <c r="HO255" t="s">
        <v>3</v>
      </c>
      <c r="HP255" t="s">
        <v>3</v>
      </c>
      <c r="HQ255" t="s">
        <v>3</v>
      </c>
      <c r="IK255">
        <v>0</v>
      </c>
    </row>
    <row r="256" spans="1:245" x14ac:dyDescent="0.2">
      <c r="A256">
        <v>17</v>
      </c>
      <c r="B256">
        <v>1</v>
      </c>
      <c r="E256" t="s">
        <v>241</v>
      </c>
      <c r="F256" t="s">
        <v>65</v>
      </c>
      <c r="G256" t="s">
        <v>242</v>
      </c>
      <c r="H256" t="s">
        <v>59</v>
      </c>
      <c r="I256">
        <v>669.3</v>
      </c>
      <c r="J256">
        <v>0</v>
      </c>
      <c r="K256">
        <v>669.3</v>
      </c>
      <c r="O256">
        <f t="shared" si="217"/>
        <v>71892</v>
      </c>
      <c r="P256">
        <f t="shared" si="218"/>
        <v>0</v>
      </c>
      <c r="Q256">
        <f t="shared" si="219"/>
        <v>71892</v>
      </c>
      <c r="R256">
        <f t="shared" si="220"/>
        <v>0</v>
      </c>
      <c r="S256">
        <f t="shared" si="221"/>
        <v>0</v>
      </c>
      <c r="T256">
        <f t="shared" si="222"/>
        <v>0</v>
      </c>
      <c r="U256">
        <f t="shared" si="223"/>
        <v>0</v>
      </c>
      <c r="V256">
        <f t="shared" si="224"/>
        <v>0</v>
      </c>
      <c r="W256">
        <f t="shared" si="225"/>
        <v>0</v>
      </c>
      <c r="X256">
        <f t="shared" si="226"/>
        <v>0</v>
      </c>
      <c r="Y256">
        <f t="shared" si="226"/>
        <v>0</v>
      </c>
      <c r="AA256">
        <v>46416371</v>
      </c>
      <c r="AB256">
        <f t="shared" si="227"/>
        <v>8.0399999999999991</v>
      </c>
      <c r="AC256">
        <f t="shared" si="228"/>
        <v>0</v>
      </c>
      <c r="AD256">
        <f>ROUND(((ET256)+ROUND(((EU256)*1.85),2)),6)</f>
        <v>8.0399999999999991</v>
      </c>
      <c r="AE256">
        <f>ROUND(((EU256)+ROUND(((EU256)*1.85),2)),6)</f>
        <v>0</v>
      </c>
      <c r="AF256">
        <f>ROUND(((EV256)+ROUND(((EV256)*1.85),2)),6)</f>
        <v>0</v>
      </c>
      <c r="AG256">
        <f t="shared" si="230"/>
        <v>0</v>
      </c>
      <c r="AH256">
        <f>(EW256)</f>
        <v>0</v>
      </c>
      <c r="AI256">
        <f>(EX256)</f>
        <v>0</v>
      </c>
      <c r="AJ256">
        <f t="shared" si="232"/>
        <v>0</v>
      </c>
      <c r="AK256">
        <v>8.0399999999999991</v>
      </c>
      <c r="AL256">
        <v>0</v>
      </c>
      <c r="AM256">
        <v>8.0399999999999991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1</v>
      </c>
      <c r="AW256">
        <v>1</v>
      </c>
      <c r="AZ256">
        <v>1</v>
      </c>
      <c r="BA256">
        <v>34.75</v>
      </c>
      <c r="BB256">
        <v>13.36</v>
      </c>
      <c r="BC256">
        <v>8.2899999999999991</v>
      </c>
      <c r="BD256" t="s">
        <v>3</v>
      </c>
      <c r="BE256" t="s">
        <v>3</v>
      </c>
      <c r="BF256" t="s">
        <v>3</v>
      </c>
      <c r="BG256" t="s">
        <v>3</v>
      </c>
      <c r="BH256">
        <v>0</v>
      </c>
      <c r="BI256">
        <v>1</v>
      </c>
      <c r="BJ256" t="s">
        <v>67</v>
      </c>
      <c r="BM256">
        <v>700001</v>
      </c>
      <c r="BN256">
        <v>0</v>
      </c>
      <c r="BO256" t="s">
        <v>3</v>
      </c>
      <c r="BP256">
        <v>0</v>
      </c>
      <c r="BQ256">
        <v>10</v>
      </c>
      <c r="BR256">
        <v>0</v>
      </c>
      <c r="BS256">
        <v>34.75</v>
      </c>
      <c r="BT256">
        <v>1</v>
      </c>
      <c r="BU256">
        <v>1</v>
      </c>
      <c r="BV256">
        <v>1</v>
      </c>
      <c r="BW256">
        <v>1</v>
      </c>
      <c r="BX256">
        <v>1</v>
      </c>
      <c r="BY256" t="s">
        <v>3</v>
      </c>
      <c r="BZ256">
        <v>0</v>
      </c>
      <c r="CA256">
        <v>0</v>
      </c>
      <c r="CB256" t="s">
        <v>3</v>
      </c>
      <c r="CE256">
        <v>0</v>
      </c>
      <c r="CF256">
        <v>0</v>
      </c>
      <c r="CG256">
        <v>0</v>
      </c>
      <c r="CM256">
        <v>0</v>
      </c>
      <c r="CN256" t="s">
        <v>3</v>
      </c>
      <c r="CO256">
        <v>0</v>
      </c>
      <c r="CP256">
        <f t="shared" si="233"/>
        <v>71892</v>
      </c>
      <c r="CQ256">
        <f t="shared" si="234"/>
        <v>0</v>
      </c>
      <c r="CR256">
        <f t="shared" si="235"/>
        <v>107.41439999999999</v>
      </c>
      <c r="CS256">
        <f t="shared" si="236"/>
        <v>0</v>
      </c>
      <c r="CT256">
        <f t="shared" si="237"/>
        <v>0</v>
      </c>
      <c r="CU256">
        <f t="shared" si="238"/>
        <v>0</v>
      </c>
      <c r="CV256">
        <f t="shared" si="238"/>
        <v>0</v>
      </c>
      <c r="CW256">
        <f t="shared" si="238"/>
        <v>0</v>
      </c>
      <c r="CX256">
        <f t="shared" si="238"/>
        <v>0</v>
      </c>
      <c r="CY256">
        <f t="shared" si="239"/>
        <v>0</v>
      </c>
      <c r="CZ256">
        <f t="shared" si="240"/>
        <v>0</v>
      </c>
      <c r="DC256" t="s">
        <v>3</v>
      </c>
      <c r="DD256" t="s">
        <v>3</v>
      </c>
      <c r="DE256" t="s">
        <v>3</v>
      </c>
      <c r="DF256" t="s">
        <v>3</v>
      </c>
      <c r="DG256" t="s">
        <v>3</v>
      </c>
      <c r="DH256" t="s">
        <v>3</v>
      </c>
      <c r="DI256" t="s">
        <v>3</v>
      </c>
      <c r="DJ256" t="s">
        <v>3</v>
      </c>
      <c r="DK256" t="s">
        <v>3</v>
      </c>
      <c r="DL256" t="s">
        <v>3</v>
      </c>
      <c r="DM256" t="s">
        <v>3</v>
      </c>
      <c r="DN256">
        <v>0</v>
      </c>
      <c r="DO256">
        <v>0</v>
      </c>
      <c r="DP256">
        <v>1</v>
      </c>
      <c r="DQ256">
        <v>1</v>
      </c>
      <c r="DU256">
        <v>1013</v>
      </c>
      <c r="DV256" t="s">
        <v>59</v>
      </c>
      <c r="DW256" t="s">
        <v>59</v>
      </c>
      <c r="DX256">
        <v>1</v>
      </c>
      <c r="DZ256" t="s">
        <v>3</v>
      </c>
      <c r="EA256" t="s">
        <v>3</v>
      </c>
      <c r="EB256" t="s">
        <v>3</v>
      </c>
      <c r="EC256" t="s">
        <v>3</v>
      </c>
      <c r="EE256">
        <v>42475847</v>
      </c>
      <c r="EF256">
        <v>10</v>
      </c>
      <c r="EG256" t="s">
        <v>61</v>
      </c>
      <c r="EH256">
        <v>0</v>
      </c>
      <c r="EI256" t="s">
        <v>3</v>
      </c>
      <c r="EJ256">
        <v>1</v>
      </c>
      <c r="EK256">
        <v>700001</v>
      </c>
      <c r="EL256" t="s">
        <v>62</v>
      </c>
      <c r="EM256" t="s">
        <v>63</v>
      </c>
      <c r="EO256" t="s">
        <v>3</v>
      </c>
      <c r="EQ256">
        <v>2097152</v>
      </c>
      <c r="ER256">
        <v>8.0399999999999991</v>
      </c>
      <c r="ES256">
        <v>0</v>
      </c>
      <c r="ET256">
        <v>8.0399999999999991</v>
      </c>
      <c r="EU256">
        <v>0</v>
      </c>
      <c r="EV256">
        <v>0</v>
      </c>
      <c r="EW256">
        <v>0</v>
      </c>
      <c r="EX256">
        <v>0</v>
      </c>
      <c r="EY256">
        <v>0</v>
      </c>
      <c r="FQ256">
        <v>0</v>
      </c>
      <c r="FR256">
        <f t="shared" si="241"/>
        <v>0</v>
      </c>
      <c r="FS256">
        <v>0</v>
      </c>
      <c r="FX256">
        <v>0</v>
      </c>
      <c r="FY256">
        <v>0</v>
      </c>
      <c r="GA256" t="s">
        <v>3</v>
      </c>
      <c r="GD256">
        <v>1</v>
      </c>
      <c r="GF256">
        <v>-926003658</v>
      </c>
      <c r="GG256">
        <v>2</v>
      </c>
      <c r="GH256">
        <v>1</v>
      </c>
      <c r="GI256">
        <v>4</v>
      </c>
      <c r="GJ256">
        <v>0</v>
      </c>
      <c r="GK256">
        <v>0</v>
      </c>
      <c r="GL256">
        <f t="shared" si="242"/>
        <v>0</v>
      </c>
      <c r="GM256">
        <f t="shared" si="243"/>
        <v>71892</v>
      </c>
      <c r="GN256">
        <f t="shared" si="244"/>
        <v>71892</v>
      </c>
      <c r="GO256">
        <f t="shared" si="245"/>
        <v>0</v>
      </c>
      <c r="GP256">
        <f t="shared" si="246"/>
        <v>0</v>
      </c>
      <c r="GR256">
        <v>0</v>
      </c>
      <c r="GS256">
        <v>3</v>
      </c>
      <c r="GT256">
        <v>0</v>
      </c>
      <c r="GU256" t="s">
        <v>3</v>
      </c>
      <c r="GV256">
        <f t="shared" si="247"/>
        <v>0</v>
      </c>
      <c r="GW256">
        <v>1</v>
      </c>
      <c r="GX256">
        <f t="shared" si="248"/>
        <v>0</v>
      </c>
      <c r="HA256">
        <v>0</v>
      </c>
      <c r="HB256">
        <v>0</v>
      </c>
      <c r="HC256">
        <f t="shared" si="249"/>
        <v>0</v>
      </c>
      <c r="HD256">
        <f>GM256</f>
        <v>71892</v>
      </c>
      <c r="HE256" t="s">
        <v>3</v>
      </c>
      <c r="HF256" t="s">
        <v>3</v>
      </c>
      <c r="HM256" t="s">
        <v>3</v>
      </c>
      <c r="HN256" t="s">
        <v>3</v>
      </c>
      <c r="HO256" t="s">
        <v>3</v>
      </c>
      <c r="HP256" t="s">
        <v>3</v>
      </c>
      <c r="HQ256" t="s">
        <v>3</v>
      </c>
      <c r="IK256">
        <v>0</v>
      </c>
    </row>
    <row r="258" spans="1:206" x14ac:dyDescent="0.2">
      <c r="A258" s="2">
        <v>51</v>
      </c>
      <c r="B258" s="2">
        <f>B247</f>
        <v>1</v>
      </c>
      <c r="C258" s="2">
        <f>A247</f>
        <v>5</v>
      </c>
      <c r="D258" s="2">
        <f>ROW(A247)</f>
        <v>247</v>
      </c>
      <c r="E258" s="2"/>
      <c r="F258" s="2" t="str">
        <f>IF(F247&lt;&gt;"",F247,"")</f>
        <v>Новый подраздел</v>
      </c>
      <c r="G258" s="2" t="str">
        <f>IF(G247&lt;&gt;"",G247,"")</f>
        <v>Подготовительные работы</v>
      </c>
      <c r="H258" s="2">
        <v>0</v>
      </c>
      <c r="I258" s="2"/>
      <c r="J258" s="2"/>
      <c r="K258" s="2"/>
      <c r="L258" s="2"/>
      <c r="M258" s="2"/>
      <c r="N258" s="2"/>
      <c r="O258" s="2">
        <f t="shared" ref="O258:T258" si="250">ROUND(AB258,0)</f>
        <v>238932</v>
      </c>
      <c r="P258" s="2">
        <f t="shared" si="250"/>
        <v>16</v>
      </c>
      <c r="Q258" s="2">
        <f t="shared" si="250"/>
        <v>163759</v>
      </c>
      <c r="R258" s="2">
        <f t="shared" si="250"/>
        <v>32149</v>
      </c>
      <c r="S258" s="2">
        <f t="shared" si="250"/>
        <v>75157</v>
      </c>
      <c r="T258" s="2">
        <f t="shared" si="250"/>
        <v>0</v>
      </c>
      <c r="U258" s="2">
        <f>AH258</f>
        <v>284.69487399999997</v>
      </c>
      <c r="V258" s="2">
        <f>AI258</f>
        <v>87.33631299999999</v>
      </c>
      <c r="W258" s="2">
        <f>ROUND(AJ258,0)</f>
        <v>0</v>
      </c>
      <c r="X258" s="2">
        <f>ROUND(AK258,0)</f>
        <v>106844</v>
      </c>
      <c r="Y258" s="2">
        <f>ROUND(AL258,0)</f>
        <v>60765</v>
      </c>
      <c r="Z258" s="2"/>
      <c r="AA258" s="2"/>
      <c r="AB258" s="2">
        <f>ROUND(SUMIF(AA251:AA256,"=46416371",O251:O256),0)</f>
        <v>238932</v>
      </c>
      <c r="AC258" s="2">
        <f>ROUND(SUMIF(AA251:AA256,"=46416371",P251:P256),0)</f>
        <v>16</v>
      </c>
      <c r="AD258" s="2">
        <f>ROUND(SUMIF(AA251:AA256,"=46416371",Q251:Q256),0)</f>
        <v>163759</v>
      </c>
      <c r="AE258" s="2">
        <f>ROUND(SUMIF(AA251:AA256,"=46416371",R251:R256),0)</f>
        <v>32149</v>
      </c>
      <c r="AF258" s="2">
        <f>ROUND(SUMIF(AA251:AA256,"=46416371",S251:S256),0)</f>
        <v>75157</v>
      </c>
      <c r="AG258" s="2">
        <f>ROUND(SUMIF(AA251:AA256,"=46416371",T251:T256),0)</f>
        <v>0</v>
      </c>
      <c r="AH258" s="2">
        <f>SUMIF(AA251:AA256,"=46416371",U251:U256)</f>
        <v>284.69487399999997</v>
      </c>
      <c r="AI258" s="2">
        <f>SUMIF(AA251:AA256,"=46416371",V251:V256)</f>
        <v>87.33631299999999</v>
      </c>
      <c r="AJ258" s="2">
        <f>ROUND(SUMIF(AA251:AA256,"=46416371",W251:W256),0)</f>
        <v>0</v>
      </c>
      <c r="AK258" s="2">
        <f>ROUND(SUMIF(AA251:AA256,"=46416371",X251:X256),0)</f>
        <v>106844</v>
      </c>
      <c r="AL258" s="2">
        <f>ROUND(SUMIF(AA251:AA256,"=46416371",Y251:Y256),0)</f>
        <v>60765</v>
      </c>
      <c r="AM258" s="2"/>
      <c r="AN258" s="2"/>
      <c r="AO258" s="2">
        <f t="shared" ref="AO258:BD258" si="251">ROUND(BX258,0)</f>
        <v>0</v>
      </c>
      <c r="AP258" s="2">
        <f t="shared" si="251"/>
        <v>0</v>
      </c>
      <c r="AQ258" s="2">
        <f t="shared" si="251"/>
        <v>0</v>
      </c>
      <c r="AR258" s="2">
        <f t="shared" si="251"/>
        <v>406541</v>
      </c>
      <c r="AS258" s="2">
        <f t="shared" si="251"/>
        <v>406541</v>
      </c>
      <c r="AT258" s="2">
        <f t="shared" si="251"/>
        <v>0</v>
      </c>
      <c r="AU258" s="2">
        <f t="shared" si="251"/>
        <v>0</v>
      </c>
      <c r="AV258" s="2">
        <f t="shared" si="251"/>
        <v>16</v>
      </c>
      <c r="AW258" s="2">
        <f t="shared" si="251"/>
        <v>16</v>
      </c>
      <c r="AX258" s="2">
        <f t="shared" si="251"/>
        <v>0</v>
      </c>
      <c r="AY258" s="2">
        <f t="shared" si="251"/>
        <v>16</v>
      </c>
      <c r="AZ258" s="2">
        <f t="shared" si="251"/>
        <v>0</v>
      </c>
      <c r="BA258" s="2">
        <f t="shared" si="251"/>
        <v>0</v>
      </c>
      <c r="BB258" s="2">
        <f t="shared" si="251"/>
        <v>0</v>
      </c>
      <c r="BC258" s="2">
        <f t="shared" si="251"/>
        <v>0</v>
      </c>
      <c r="BD258" s="2">
        <f t="shared" si="251"/>
        <v>71892</v>
      </c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>
        <f>ROUND(SUMIF(AA251:AA256,"=46416371",FQ251:FQ256),0)</f>
        <v>0</v>
      </c>
      <c r="BY258" s="2">
        <f>ROUND(SUMIF(AA251:AA256,"=46416371",FR251:FR256),0)</f>
        <v>0</v>
      </c>
      <c r="BZ258" s="2">
        <f>ROUND(SUMIF(AA251:AA256,"=46416371",GL251:GL256),0)</f>
        <v>0</v>
      </c>
      <c r="CA258" s="2">
        <f>ROUND(SUMIF(AA251:AA256,"=46416371",GM251:GM256),0)</f>
        <v>406541</v>
      </c>
      <c r="CB258" s="2">
        <f>ROUND(SUMIF(AA251:AA256,"=46416371",GN251:GN256),0)</f>
        <v>406541</v>
      </c>
      <c r="CC258" s="2">
        <f>ROUND(SUMIF(AA251:AA256,"=46416371",GO251:GO256),0)</f>
        <v>0</v>
      </c>
      <c r="CD258" s="2">
        <f>ROUND(SUMIF(AA251:AA256,"=46416371",GP251:GP256),0)</f>
        <v>0</v>
      </c>
      <c r="CE258" s="2">
        <f>AC258-BX258</f>
        <v>16</v>
      </c>
      <c r="CF258" s="2">
        <f>AC258-BY258</f>
        <v>16</v>
      </c>
      <c r="CG258" s="2">
        <f>BX258-BZ258</f>
        <v>0</v>
      </c>
      <c r="CH258" s="2">
        <f>AC258-BX258-BY258+BZ258</f>
        <v>16</v>
      </c>
      <c r="CI258" s="2">
        <f>BY258-BZ258</f>
        <v>0</v>
      </c>
      <c r="CJ258" s="2">
        <f>ROUND(SUMIF(AA251:AA256,"=46416371",GX251:GX256),0)</f>
        <v>0</v>
      </c>
      <c r="CK258" s="2">
        <f>ROUND(SUMIF(AA251:AA256,"=46416371",GY251:GY256),0)</f>
        <v>0</v>
      </c>
      <c r="CL258" s="2">
        <f>ROUND(SUMIF(AA251:AA256,"=46416371",GZ251:GZ256),0)</f>
        <v>0</v>
      </c>
      <c r="CM258" s="2">
        <f>ROUND(SUMIF(AA251:AA256,"=46416371",HD251:HD256),0)</f>
        <v>71892</v>
      </c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>
        <v>0</v>
      </c>
    </row>
    <row r="260" spans="1:206" x14ac:dyDescent="0.2">
      <c r="A260" s="4">
        <v>50</v>
      </c>
      <c r="B260" s="4">
        <v>0</v>
      </c>
      <c r="C260" s="4">
        <v>0</v>
      </c>
      <c r="D260" s="4">
        <v>1</v>
      </c>
      <c r="E260" s="4">
        <v>201</v>
      </c>
      <c r="F260" s="4">
        <f>ROUND(Source!O258,O260)</f>
        <v>238932</v>
      </c>
      <c r="G260" s="4" t="s">
        <v>68</v>
      </c>
      <c r="H260" s="4" t="s">
        <v>69</v>
      </c>
      <c r="I260" s="4"/>
      <c r="J260" s="4"/>
      <c r="K260" s="4">
        <v>201</v>
      </c>
      <c r="L260" s="4">
        <v>1</v>
      </c>
      <c r="M260" s="4">
        <v>3</v>
      </c>
      <c r="N260" s="4" t="s">
        <v>3</v>
      </c>
      <c r="O260" s="4">
        <v>0</v>
      </c>
      <c r="P260" s="4"/>
      <c r="Q260" s="4"/>
      <c r="R260" s="4"/>
      <c r="S260" s="4"/>
      <c r="T260" s="4"/>
      <c r="U260" s="4"/>
      <c r="V260" s="4"/>
      <c r="W260" s="4">
        <v>238932</v>
      </c>
      <c r="X260" s="4">
        <v>1</v>
      </c>
      <c r="Y260" s="4">
        <v>238932</v>
      </c>
      <c r="Z260" s="4"/>
      <c r="AA260" s="4"/>
      <c r="AB260" s="4"/>
    </row>
    <row r="261" spans="1:206" x14ac:dyDescent="0.2">
      <c r="A261" s="4">
        <v>50</v>
      </c>
      <c r="B261" s="4">
        <v>0</v>
      </c>
      <c r="C261" s="4">
        <v>0</v>
      </c>
      <c r="D261" s="4">
        <v>1</v>
      </c>
      <c r="E261" s="4">
        <v>202</v>
      </c>
      <c r="F261" s="4">
        <f>ROUND(Source!P258,O261)</f>
        <v>16</v>
      </c>
      <c r="G261" s="4" t="s">
        <v>70</v>
      </c>
      <c r="H261" s="4" t="s">
        <v>71</v>
      </c>
      <c r="I261" s="4"/>
      <c r="J261" s="4"/>
      <c r="K261" s="4">
        <v>202</v>
      </c>
      <c r="L261" s="4">
        <v>2</v>
      </c>
      <c r="M261" s="4">
        <v>3</v>
      </c>
      <c r="N261" s="4" t="s">
        <v>3</v>
      </c>
      <c r="O261" s="4">
        <v>0</v>
      </c>
      <c r="P261" s="4"/>
      <c r="Q261" s="4"/>
      <c r="R261" s="4"/>
      <c r="S261" s="4"/>
      <c r="T261" s="4"/>
      <c r="U261" s="4"/>
      <c r="V261" s="4"/>
      <c r="W261" s="4">
        <v>16</v>
      </c>
      <c r="X261" s="4">
        <v>1</v>
      </c>
      <c r="Y261" s="4">
        <v>16</v>
      </c>
      <c r="Z261" s="4"/>
      <c r="AA261" s="4"/>
      <c r="AB261" s="4"/>
    </row>
    <row r="262" spans="1:206" x14ac:dyDescent="0.2">
      <c r="A262" s="4">
        <v>50</v>
      </c>
      <c r="B262" s="4">
        <v>0</v>
      </c>
      <c r="C262" s="4">
        <v>0</v>
      </c>
      <c r="D262" s="4">
        <v>1</v>
      </c>
      <c r="E262" s="4">
        <v>222</v>
      </c>
      <c r="F262" s="4">
        <f>ROUND(Source!AO258,O262)</f>
        <v>0</v>
      </c>
      <c r="G262" s="4" t="s">
        <v>72</v>
      </c>
      <c r="H262" s="4" t="s">
        <v>73</v>
      </c>
      <c r="I262" s="4"/>
      <c r="J262" s="4"/>
      <c r="K262" s="4">
        <v>222</v>
      </c>
      <c r="L262" s="4">
        <v>3</v>
      </c>
      <c r="M262" s="4">
        <v>3</v>
      </c>
      <c r="N262" s="4" t="s">
        <v>3</v>
      </c>
      <c r="O262" s="4">
        <v>0</v>
      </c>
      <c r="P262" s="4"/>
      <c r="Q262" s="4"/>
      <c r="R262" s="4"/>
      <c r="S262" s="4"/>
      <c r="T262" s="4"/>
      <c r="U262" s="4"/>
      <c r="V262" s="4"/>
      <c r="W262" s="4">
        <v>0</v>
      </c>
      <c r="X262" s="4">
        <v>1</v>
      </c>
      <c r="Y262" s="4">
        <v>0</v>
      </c>
      <c r="Z262" s="4"/>
      <c r="AA262" s="4"/>
      <c r="AB262" s="4"/>
    </row>
    <row r="263" spans="1:206" x14ac:dyDescent="0.2">
      <c r="A263" s="4">
        <v>50</v>
      </c>
      <c r="B263" s="4">
        <v>0</v>
      </c>
      <c r="C263" s="4">
        <v>0</v>
      </c>
      <c r="D263" s="4">
        <v>1</v>
      </c>
      <c r="E263" s="4">
        <v>225</v>
      </c>
      <c r="F263" s="4">
        <f>ROUND(Source!AV258,O263)</f>
        <v>16</v>
      </c>
      <c r="G263" s="4" t="s">
        <v>74</v>
      </c>
      <c r="H263" s="4" t="s">
        <v>75</v>
      </c>
      <c r="I263" s="4"/>
      <c r="J263" s="4"/>
      <c r="K263" s="4">
        <v>225</v>
      </c>
      <c r="L263" s="4">
        <v>4</v>
      </c>
      <c r="M263" s="4">
        <v>3</v>
      </c>
      <c r="N263" s="4" t="s">
        <v>3</v>
      </c>
      <c r="O263" s="4">
        <v>0</v>
      </c>
      <c r="P263" s="4"/>
      <c r="Q263" s="4"/>
      <c r="R263" s="4"/>
      <c r="S263" s="4"/>
      <c r="T263" s="4"/>
      <c r="U263" s="4"/>
      <c r="V263" s="4"/>
      <c r="W263" s="4">
        <v>16</v>
      </c>
      <c r="X263" s="4">
        <v>1</v>
      </c>
      <c r="Y263" s="4">
        <v>16</v>
      </c>
      <c r="Z263" s="4"/>
      <c r="AA263" s="4"/>
      <c r="AB263" s="4"/>
    </row>
    <row r="264" spans="1:206" x14ac:dyDescent="0.2">
      <c r="A264" s="4">
        <v>50</v>
      </c>
      <c r="B264" s="4">
        <v>0</v>
      </c>
      <c r="C264" s="4">
        <v>0</v>
      </c>
      <c r="D264" s="4">
        <v>1</v>
      </c>
      <c r="E264" s="4">
        <v>226</v>
      </c>
      <c r="F264" s="4">
        <f>ROUND(Source!AW258,O264)</f>
        <v>16</v>
      </c>
      <c r="G264" s="4" t="s">
        <v>76</v>
      </c>
      <c r="H264" s="4" t="s">
        <v>77</v>
      </c>
      <c r="I264" s="4"/>
      <c r="J264" s="4"/>
      <c r="K264" s="4">
        <v>226</v>
      </c>
      <c r="L264" s="4">
        <v>5</v>
      </c>
      <c r="M264" s="4">
        <v>3</v>
      </c>
      <c r="N264" s="4" t="s">
        <v>3</v>
      </c>
      <c r="O264" s="4">
        <v>0</v>
      </c>
      <c r="P264" s="4"/>
      <c r="Q264" s="4"/>
      <c r="R264" s="4"/>
      <c r="S264" s="4"/>
      <c r="T264" s="4"/>
      <c r="U264" s="4"/>
      <c r="V264" s="4"/>
      <c r="W264" s="4">
        <v>16</v>
      </c>
      <c r="X264" s="4">
        <v>1</v>
      </c>
      <c r="Y264" s="4">
        <v>16</v>
      </c>
      <c r="Z264" s="4"/>
      <c r="AA264" s="4"/>
      <c r="AB264" s="4"/>
    </row>
    <row r="265" spans="1:206" x14ac:dyDescent="0.2">
      <c r="A265" s="4">
        <v>50</v>
      </c>
      <c r="B265" s="4">
        <v>0</v>
      </c>
      <c r="C265" s="4">
        <v>0</v>
      </c>
      <c r="D265" s="4">
        <v>1</v>
      </c>
      <c r="E265" s="4">
        <v>227</v>
      </c>
      <c r="F265" s="4">
        <f>ROUND(Source!AX258,O265)</f>
        <v>0</v>
      </c>
      <c r="G265" s="4" t="s">
        <v>78</v>
      </c>
      <c r="H265" s="4" t="s">
        <v>79</v>
      </c>
      <c r="I265" s="4"/>
      <c r="J265" s="4"/>
      <c r="K265" s="4">
        <v>227</v>
      </c>
      <c r="L265" s="4">
        <v>6</v>
      </c>
      <c r="M265" s="4">
        <v>3</v>
      </c>
      <c r="N265" s="4" t="s">
        <v>3</v>
      </c>
      <c r="O265" s="4">
        <v>0</v>
      </c>
      <c r="P265" s="4"/>
      <c r="Q265" s="4"/>
      <c r="R265" s="4"/>
      <c r="S265" s="4"/>
      <c r="T265" s="4"/>
      <c r="U265" s="4"/>
      <c r="V265" s="4"/>
      <c r="W265" s="4">
        <v>0</v>
      </c>
      <c r="X265" s="4">
        <v>1</v>
      </c>
      <c r="Y265" s="4">
        <v>0</v>
      </c>
      <c r="Z265" s="4"/>
      <c r="AA265" s="4"/>
      <c r="AB265" s="4"/>
    </row>
    <row r="266" spans="1:206" x14ac:dyDescent="0.2">
      <c r="A266" s="4">
        <v>50</v>
      </c>
      <c r="B266" s="4">
        <v>0</v>
      </c>
      <c r="C266" s="4">
        <v>0</v>
      </c>
      <c r="D266" s="4">
        <v>1</v>
      </c>
      <c r="E266" s="4">
        <v>228</v>
      </c>
      <c r="F266" s="4">
        <f>ROUND(Source!AY258,O266)</f>
        <v>16</v>
      </c>
      <c r="G266" s="4" t="s">
        <v>80</v>
      </c>
      <c r="H266" s="4" t="s">
        <v>81</v>
      </c>
      <c r="I266" s="4"/>
      <c r="J266" s="4"/>
      <c r="K266" s="4">
        <v>228</v>
      </c>
      <c r="L266" s="4">
        <v>7</v>
      </c>
      <c r="M266" s="4">
        <v>3</v>
      </c>
      <c r="N266" s="4" t="s">
        <v>3</v>
      </c>
      <c r="O266" s="4">
        <v>0</v>
      </c>
      <c r="P266" s="4"/>
      <c r="Q266" s="4"/>
      <c r="R266" s="4"/>
      <c r="S266" s="4"/>
      <c r="T266" s="4"/>
      <c r="U266" s="4"/>
      <c r="V266" s="4"/>
      <c r="W266" s="4">
        <v>16</v>
      </c>
      <c r="X266" s="4">
        <v>1</v>
      </c>
      <c r="Y266" s="4">
        <v>16</v>
      </c>
      <c r="Z266" s="4"/>
      <c r="AA266" s="4"/>
      <c r="AB266" s="4"/>
    </row>
    <row r="267" spans="1:206" x14ac:dyDescent="0.2">
      <c r="A267" s="4">
        <v>50</v>
      </c>
      <c r="B267" s="4">
        <v>0</v>
      </c>
      <c r="C267" s="4">
        <v>0</v>
      </c>
      <c r="D267" s="4">
        <v>1</v>
      </c>
      <c r="E267" s="4">
        <v>216</v>
      </c>
      <c r="F267" s="4">
        <f>ROUND(Source!AP258,O267)</f>
        <v>0</v>
      </c>
      <c r="G267" s="4" t="s">
        <v>82</v>
      </c>
      <c r="H267" s="4" t="s">
        <v>83</v>
      </c>
      <c r="I267" s="4"/>
      <c r="J267" s="4"/>
      <c r="K267" s="4">
        <v>216</v>
      </c>
      <c r="L267" s="4">
        <v>8</v>
      </c>
      <c r="M267" s="4">
        <v>3</v>
      </c>
      <c r="N267" s="4" t="s">
        <v>3</v>
      </c>
      <c r="O267" s="4">
        <v>0</v>
      </c>
      <c r="P267" s="4"/>
      <c r="Q267" s="4"/>
      <c r="R267" s="4"/>
      <c r="S267" s="4"/>
      <c r="T267" s="4"/>
      <c r="U267" s="4"/>
      <c r="V267" s="4"/>
      <c r="W267" s="4">
        <v>0</v>
      </c>
      <c r="X267" s="4">
        <v>1</v>
      </c>
      <c r="Y267" s="4">
        <v>0</v>
      </c>
      <c r="Z267" s="4"/>
      <c r="AA267" s="4"/>
      <c r="AB267" s="4"/>
    </row>
    <row r="268" spans="1:206" x14ac:dyDescent="0.2">
      <c r="A268" s="4">
        <v>50</v>
      </c>
      <c r="B268" s="4">
        <v>0</v>
      </c>
      <c r="C268" s="4">
        <v>0</v>
      </c>
      <c r="D268" s="4">
        <v>1</v>
      </c>
      <c r="E268" s="4">
        <v>223</v>
      </c>
      <c r="F268" s="4">
        <f>ROUND(Source!AQ258,O268)</f>
        <v>0</v>
      </c>
      <c r="G268" s="4" t="s">
        <v>84</v>
      </c>
      <c r="H268" s="4" t="s">
        <v>85</v>
      </c>
      <c r="I268" s="4"/>
      <c r="J268" s="4"/>
      <c r="K268" s="4">
        <v>223</v>
      </c>
      <c r="L268" s="4">
        <v>9</v>
      </c>
      <c r="M268" s="4">
        <v>3</v>
      </c>
      <c r="N268" s="4" t="s">
        <v>3</v>
      </c>
      <c r="O268" s="4">
        <v>0</v>
      </c>
      <c r="P268" s="4"/>
      <c r="Q268" s="4"/>
      <c r="R268" s="4"/>
      <c r="S268" s="4"/>
      <c r="T268" s="4"/>
      <c r="U268" s="4"/>
      <c r="V268" s="4"/>
      <c r="W268" s="4">
        <v>0</v>
      </c>
      <c r="X268" s="4">
        <v>1</v>
      </c>
      <c r="Y268" s="4">
        <v>0</v>
      </c>
      <c r="Z268" s="4"/>
      <c r="AA268" s="4"/>
      <c r="AB268" s="4"/>
    </row>
    <row r="269" spans="1:206" x14ac:dyDescent="0.2">
      <c r="A269" s="4">
        <v>50</v>
      </c>
      <c r="B269" s="4">
        <v>0</v>
      </c>
      <c r="C269" s="4">
        <v>0</v>
      </c>
      <c r="D269" s="4">
        <v>1</v>
      </c>
      <c r="E269" s="4">
        <v>229</v>
      </c>
      <c r="F269" s="4">
        <f>ROUND(Source!AZ258,O269)</f>
        <v>0</v>
      </c>
      <c r="G269" s="4" t="s">
        <v>86</v>
      </c>
      <c r="H269" s="4" t="s">
        <v>87</v>
      </c>
      <c r="I269" s="4"/>
      <c r="J269" s="4"/>
      <c r="K269" s="4">
        <v>229</v>
      </c>
      <c r="L269" s="4">
        <v>10</v>
      </c>
      <c r="M269" s="4">
        <v>3</v>
      </c>
      <c r="N269" s="4" t="s">
        <v>3</v>
      </c>
      <c r="O269" s="4">
        <v>0</v>
      </c>
      <c r="P269" s="4"/>
      <c r="Q269" s="4"/>
      <c r="R269" s="4"/>
      <c r="S269" s="4"/>
      <c r="T269" s="4"/>
      <c r="U269" s="4"/>
      <c r="V269" s="4"/>
      <c r="W269" s="4">
        <v>0</v>
      </c>
      <c r="X269" s="4">
        <v>1</v>
      </c>
      <c r="Y269" s="4">
        <v>0</v>
      </c>
      <c r="Z269" s="4"/>
      <c r="AA269" s="4"/>
      <c r="AB269" s="4"/>
    </row>
    <row r="270" spans="1:206" x14ac:dyDescent="0.2">
      <c r="A270" s="4">
        <v>50</v>
      </c>
      <c r="B270" s="4">
        <v>0</v>
      </c>
      <c r="C270" s="4">
        <v>0</v>
      </c>
      <c r="D270" s="4">
        <v>1</v>
      </c>
      <c r="E270" s="4">
        <v>203</v>
      </c>
      <c r="F270" s="4">
        <f>ROUND(Source!Q258,O270)</f>
        <v>163759</v>
      </c>
      <c r="G270" s="4" t="s">
        <v>88</v>
      </c>
      <c r="H270" s="4" t="s">
        <v>89</v>
      </c>
      <c r="I270" s="4"/>
      <c r="J270" s="4"/>
      <c r="K270" s="4">
        <v>203</v>
      </c>
      <c r="L270" s="4">
        <v>11</v>
      </c>
      <c r="M270" s="4">
        <v>3</v>
      </c>
      <c r="N270" s="4" t="s">
        <v>3</v>
      </c>
      <c r="O270" s="4">
        <v>0</v>
      </c>
      <c r="P270" s="4"/>
      <c r="Q270" s="4"/>
      <c r="R270" s="4"/>
      <c r="S270" s="4"/>
      <c r="T270" s="4"/>
      <c r="U270" s="4"/>
      <c r="V270" s="4"/>
      <c r="W270" s="4">
        <v>163759</v>
      </c>
      <c r="X270" s="4">
        <v>1</v>
      </c>
      <c r="Y270" s="4">
        <v>163759</v>
      </c>
      <c r="Z270" s="4"/>
      <c r="AA270" s="4"/>
      <c r="AB270" s="4"/>
    </row>
    <row r="271" spans="1:206" x14ac:dyDescent="0.2">
      <c r="A271" s="4">
        <v>50</v>
      </c>
      <c r="B271" s="4">
        <v>0</v>
      </c>
      <c r="C271" s="4">
        <v>0</v>
      </c>
      <c r="D271" s="4">
        <v>1</v>
      </c>
      <c r="E271" s="4">
        <v>231</v>
      </c>
      <c r="F271" s="4">
        <f>ROUND(Source!BB258,O271)</f>
        <v>0</v>
      </c>
      <c r="G271" s="4" t="s">
        <v>90</v>
      </c>
      <c r="H271" s="4" t="s">
        <v>91</v>
      </c>
      <c r="I271" s="4"/>
      <c r="J271" s="4"/>
      <c r="K271" s="4">
        <v>231</v>
      </c>
      <c r="L271" s="4">
        <v>12</v>
      </c>
      <c r="M271" s="4">
        <v>3</v>
      </c>
      <c r="N271" s="4" t="s">
        <v>3</v>
      </c>
      <c r="O271" s="4">
        <v>0</v>
      </c>
      <c r="P271" s="4"/>
      <c r="Q271" s="4"/>
      <c r="R271" s="4"/>
      <c r="S271" s="4"/>
      <c r="T271" s="4"/>
      <c r="U271" s="4"/>
      <c r="V271" s="4"/>
      <c r="W271" s="4">
        <v>0</v>
      </c>
      <c r="X271" s="4">
        <v>1</v>
      </c>
      <c r="Y271" s="4">
        <v>0</v>
      </c>
      <c r="Z271" s="4"/>
      <c r="AA271" s="4"/>
      <c r="AB271" s="4"/>
    </row>
    <row r="272" spans="1:206" x14ac:dyDescent="0.2">
      <c r="A272" s="4">
        <v>50</v>
      </c>
      <c r="B272" s="4">
        <v>0</v>
      </c>
      <c r="C272" s="4">
        <v>0</v>
      </c>
      <c r="D272" s="4">
        <v>1</v>
      </c>
      <c r="E272" s="4">
        <v>204</v>
      </c>
      <c r="F272" s="4">
        <f>ROUND(Source!R258,O272)</f>
        <v>32149</v>
      </c>
      <c r="G272" s="4" t="s">
        <v>92</v>
      </c>
      <c r="H272" s="4" t="s">
        <v>93</v>
      </c>
      <c r="I272" s="4"/>
      <c r="J272" s="4"/>
      <c r="K272" s="4">
        <v>204</v>
      </c>
      <c r="L272" s="4">
        <v>13</v>
      </c>
      <c r="M272" s="4">
        <v>3</v>
      </c>
      <c r="N272" s="4" t="s">
        <v>3</v>
      </c>
      <c r="O272" s="4">
        <v>0</v>
      </c>
      <c r="P272" s="4"/>
      <c r="Q272" s="4"/>
      <c r="R272" s="4"/>
      <c r="S272" s="4"/>
      <c r="T272" s="4"/>
      <c r="U272" s="4"/>
      <c r="V272" s="4"/>
      <c r="W272" s="4">
        <v>32149</v>
      </c>
      <c r="X272" s="4">
        <v>1</v>
      </c>
      <c r="Y272" s="4">
        <v>32149</v>
      </c>
      <c r="Z272" s="4"/>
      <c r="AA272" s="4"/>
      <c r="AB272" s="4"/>
    </row>
    <row r="273" spans="1:88" x14ac:dyDescent="0.2">
      <c r="A273" s="4">
        <v>50</v>
      </c>
      <c r="B273" s="4">
        <v>0</v>
      </c>
      <c r="C273" s="4">
        <v>0</v>
      </c>
      <c r="D273" s="4">
        <v>1</v>
      </c>
      <c r="E273" s="4">
        <v>205</v>
      </c>
      <c r="F273" s="4">
        <f>ROUND(Source!S258,O273)</f>
        <v>75157</v>
      </c>
      <c r="G273" s="4" t="s">
        <v>94</v>
      </c>
      <c r="H273" s="4" t="s">
        <v>95</v>
      </c>
      <c r="I273" s="4"/>
      <c r="J273" s="4"/>
      <c r="K273" s="4">
        <v>205</v>
      </c>
      <c r="L273" s="4">
        <v>14</v>
      </c>
      <c r="M273" s="4">
        <v>3</v>
      </c>
      <c r="N273" s="4" t="s">
        <v>3</v>
      </c>
      <c r="O273" s="4">
        <v>0</v>
      </c>
      <c r="P273" s="4"/>
      <c r="Q273" s="4"/>
      <c r="R273" s="4"/>
      <c r="S273" s="4"/>
      <c r="T273" s="4"/>
      <c r="U273" s="4"/>
      <c r="V273" s="4"/>
      <c r="W273" s="4">
        <v>75157</v>
      </c>
      <c r="X273" s="4">
        <v>1</v>
      </c>
      <c r="Y273" s="4">
        <v>75157</v>
      </c>
      <c r="Z273" s="4"/>
      <c r="AA273" s="4"/>
      <c r="AB273" s="4"/>
    </row>
    <row r="274" spans="1:88" x14ac:dyDescent="0.2">
      <c r="A274" s="4">
        <v>50</v>
      </c>
      <c r="B274" s="4">
        <v>0</v>
      </c>
      <c r="C274" s="4">
        <v>0</v>
      </c>
      <c r="D274" s="4">
        <v>1</v>
      </c>
      <c r="E274" s="4">
        <v>232</v>
      </c>
      <c r="F274" s="4">
        <f>ROUND(Source!BC258,O274)</f>
        <v>0</v>
      </c>
      <c r="G274" s="4" t="s">
        <v>96</v>
      </c>
      <c r="H274" s="4" t="s">
        <v>97</v>
      </c>
      <c r="I274" s="4"/>
      <c r="J274" s="4"/>
      <c r="K274" s="4">
        <v>232</v>
      </c>
      <c r="L274" s="4">
        <v>15</v>
      </c>
      <c r="M274" s="4">
        <v>3</v>
      </c>
      <c r="N274" s="4" t="s">
        <v>3</v>
      </c>
      <c r="O274" s="4">
        <v>0</v>
      </c>
      <c r="P274" s="4"/>
      <c r="Q274" s="4"/>
      <c r="R274" s="4"/>
      <c r="S274" s="4"/>
      <c r="T274" s="4"/>
      <c r="U274" s="4"/>
      <c r="V274" s="4"/>
      <c r="W274" s="4">
        <v>0</v>
      </c>
      <c r="X274" s="4">
        <v>1</v>
      </c>
      <c r="Y274" s="4">
        <v>0</v>
      </c>
      <c r="Z274" s="4"/>
      <c r="AA274" s="4"/>
      <c r="AB274" s="4"/>
    </row>
    <row r="275" spans="1:88" x14ac:dyDescent="0.2">
      <c r="A275" s="4">
        <v>50</v>
      </c>
      <c r="B275" s="4">
        <v>0</v>
      </c>
      <c r="C275" s="4">
        <v>0</v>
      </c>
      <c r="D275" s="4">
        <v>1</v>
      </c>
      <c r="E275" s="4">
        <v>214</v>
      </c>
      <c r="F275" s="4">
        <f>ROUND(Source!AS258,O275)</f>
        <v>406541</v>
      </c>
      <c r="G275" s="4" t="s">
        <v>98</v>
      </c>
      <c r="H275" s="4" t="s">
        <v>99</v>
      </c>
      <c r="I275" s="4"/>
      <c r="J275" s="4"/>
      <c r="K275" s="4">
        <v>214</v>
      </c>
      <c r="L275" s="4">
        <v>16</v>
      </c>
      <c r="M275" s="4">
        <v>3</v>
      </c>
      <c r="N275" s="4" t="s">
        <v>3</v>
      </c>
      <c r="O275" s="4">
        <v>0</v>
      </c>
      <c r="P275" s="4"/>
      <c r="Q275" s="4"/>
      <c r="R275" s="4"/>
      <c r="S275" s="4"/>
      <c r="T275" s="4"/>
      <c r="U275" s="4"/>
      <c r="V275" s="4"/>
      <c r="W275" s="4">
        <v>406541</v>
      </c>
      <c r="X275" s="4">
        <v>1</v>
      </c>
      <c r="Y275" s="4">
        <v>406541</v>
      </c>
      <c r="Z275" s="4"/>
      <c r="AA275" s="4"/>
      <c r="AB275" s="4"/>
    </row>
    <row r="276" spans="1:88" x14ac:dyDescent="0.2">
      <c r="A276" s="4">
        <v>50</v>
      </c>
      <c r="B276" s="4">
        <v>0</v>
      </c>
      <c r="C276" s="4">
        <v>0</v>
      </c>
      <c r="D276" s="4">
        <v>1</v>
      </c>
      <c r="E276" s="4">
        <v>215</v>
      </c>
      <c r="F276" s="4">
        <f>ROUND(Source!AT258,O276)</f>
        <v>0</v>
      </c>
      <c r="G276" s="4" t="s">
        <v>100</v>
      </c>
      <c r="H276" s="4" t="s">
        <v>101</v>
      </c>
      <c r="I276" s="4"/>
      <c r="J276" s="4"/>
      <c r="K276" s="4">
        <v>215</v>
      </c>
      <c r="L276" s="4">
        <v>17</v>
      </c>
      <c r="M276" s="4">
        <v>3</v>
      </c>
      <c r="N276" s="4" t="s">
        <v>3</v>
      </c>
      <c r="O276" s="4">
        <v>0</v>
      </c>
      <c r="P276" s="4"/>
      <c r="Q276" s="4"/>
      <c r="R276" s="4"/>
      <c r="S276" s="4"/>
      <c r="T276" s="4"/>
      <c r="U276" s="4"/>
      <c r="V276" s="4"/>
      <c r="W276" s="4">
        <v>0</v>
      </c>
      <c r="X276" s="4">
        <v>1</v>
      </c>
      <c r="Y276" s="4">
        <v>0</v>
      </c>
      <c r="Z276" s="4"/>
      <c r="AA276" s="4"/>
      <c r="AB276" s="4"/>
    </row>
    <row r="277" spans="1:88" x14ac:dyDescent="0.2">
      <c r="A277" s="4">
        <v>50</v>
      </c>
      <c r="B277" s="4">
        <v>0</v>
      </c>
      <c r="C277" s="4">
        <v>0</v>
      </c>
      <c r="D277" s="4">
        <v>1</v>
      </c>
      <c r="E277" s="4">
        <v>217</v>
      </c>
      <c r="F277" s="4">
        <f>ROUND(Source!AU258,O277)</f>
        <v>0</v>
      </c>
      <c r="G277" s="4" t="s">
        <v>102</v>
      </c>
      <c r="H277" s="4" t="s">
        <v>103</v>
      </c>
      <c r="I277" s="4"/>
      <c r="J277" s="4"/>
      <c r="K277" s="4">
        <v>217</v>
      </c>
      <c r="L277" s="4">
        <v>18</v>
      </c>
      <c r="M277" s="4">
        <v>3</v>
      </c>
      <c r="N277" s="4" t="s">
        <v>3</v>
      </c>
      <c r="O277" s="4">
        <v>0</v>
      </c>
      <c r="P277" s="4"/>
      <c r="Q277" s="4"/>
      <c r="R277" s="4"/>
      <c r="S277" s="4"/>
      <c r="T277" s="4"/>
      <c r="U277" s="4"/>
      <c r="V277" s="4"/>
      <c r="W277" s="4">
        <v>0</v>
      </c>
      <c r="X277" s="4">
        <v>1</v>
      </c>
      <c r="Y277" s="4">
        <v>0</v>
      </c>
      <c r="Z277" s="4"/>
      <c r="AA277" s="4"/>
      <c r="AB277" s="4"/>
    </row>
    <row r="278" spans="1:88" x14ac:dyDescent="0.2">
      <c r="A278" s="4">
        <v>50</v>
      </c>
      <c r="B278" s="4">
        <v>0</v>
      </c>
      <c r="C278" s="4">
        <v>0</v>
      </c>
      <c r="D278" s="4">
        <v>1</v>
      </c>
      <c r="E278" s="4">
        <v>230</v>
      </c>
      <c r="F278" s="4">
        <f>ROUND(Source!BA258,O278)</f>
        <v>0</v>
      </c>
      <c r="G278" s="4" t="s">
        <v>104</v>
      </c>
      <c r="H278" s="4" t="s">
        <v>105</v>
      </c>
      <c r="I278" s="4"/>
      <c r="J278" s="4"/>
      <c r="K278" s="4">
        <v>230</v>
      </c>
      <c r="L278" s="4">
        <v>19</v>
      </c>
      <c r="M278" s="4">
        <v>3</v>
      </c>
      <c r="N278" s="4" t="s">
        <v>3</v>
      </c>
      <c r="O278" s="4">
        <v>0</v>
      </c>
      <c r="P278" s="4"/>
      <c r="Q278" s="4"/>
      <c r="R278" s="4"/>
      <c r="S278" s="4"/>
      <c r="T278" s="4"/>
      <c r="U278" s="4"/>
      <c r="V278" s="4"/>
      <c r="W278" s="4">
        <v>0</v>
      </c>
      <c r="X278" s="4">
        <v>1</v>
      </c>
      <c r="Y278" s="4">
        <v>0</v>
      </c>
      <c r="Z278" s="4"/>
      <c r="AA278" s="4"/>
      <c r="AB278" s="4"/>
    </row>
    <row r="279" spans="1:88" x14ac:dyDescent="0.2">
      <c r="A279" s="4">
        <v>50</v>
      </c>
      <c r="B279" s="4">
        <v>0</v>
      </c>
      <c r="C279" s="4">
        <v>0</v>
      </c>
      <c r="D279" s="4">
        <v>1</v>
      </c>
      <c r="E279" s="4">
        <v>206</v>
      </c>
      <c r="F279" s="4">
        <f>ROUND(Source!T258,O279)</f>
        <v>0</v>
      </c>
      <c r="G279" s="4" t="s">
        <v>106</v>
      </c>
      <c r="H279" s="4" t="s">
        <v>107</v>
      </c>
      <c r="I279" s="4"/>
      <c r="J279" s="4"/>
      <c r="K279" s="4">
        <v>206</v>
      </c>
      <c r="L279" s="4">
        <v>20</v>
      </c>
      <c r="M279" s="4">
        <v>3</v>
      </c>
      <c r="N279" s="4" t="s">
        <v>3</v>
      </c>
      <c r="O279" s="4">
        <v>0</v>
      </c>
      <c r="P279" s="4"/>
      <c r="Q279" s="4"/>
      <c r="R279" s="4"/>
      <c r="S279" s="4"/>
      <c r="T279" s="4"/>
      <c r="U279" s="4"/>
      <c r="V279" s="4"/>
      <c r="W279" s="4">
        <v>0</v>
      </c>
      <c r="X279" s="4">
        <v>1</v>
      </c>
      <c r="Y279" s="4">
        <v>0</v>
      </c>
      <c r="Z279" s="4"/>
      <c r="AA279" s="4"/>
      <c r="AB279" s="4"/>
    </row>
    <row r="280" spans="1:88" x14ac:dyDescent="0.2">
      <c r="A280" s="4">
        <v>50</v>
      </c>
      <c r="B280" s="4">
        <v>0</v>
      </c>
      <c r="C280" s="4">
        <v>0</v>
      </c>
      <c r="D280" s="4">
        <v>1</v>
      </c>
      <c r="E280" s="4">
        <v>207</v>
      </c>
      <c r="F280" s="4">
        <f>Source!U258</f>
        <v>284.69487399999997</v>
      </c>
      <c r="G280" s="4" t="s">
        <v>108</v>
      </c>
      <c r="H280" s="4" t="s">
        <v>109</v>
      </c>
      <c r="I280" s="4"/>
      <c r="J280" s="4"/>
      <c r="K280" s="4">
        <v>207</v>
      </c>
      <c r="L280" s="4">
        <v>21</v>
      </c>
      <c r="M280" s="4">
        <v>3</v>
      </c>
      <c r="N280" s="4" t="s">
        <v>3</v>
      </c>
      <c r="O280" s="4">
        <v>-1</v>
      </c>
      <c r="P280" s="4"/>
      <c r="Q280" s="4"/>
      <c r="R280" s="4"/>
      <c r="S280" s="4"/>
      <c r="T280" s="4"/>
      <c r="U280" s="4"/>
      <c r="V280" s="4"/>
      <c r="W280" s="4">
        <v>284.69487399999997</v>
      </c>
      <c r="X280" s="4">
        <v>1</v>
      </c>
      <c r="Y280" s="4">
        <v>284.69487399999997</v>
      </c>
      <c r="Z280" s="4"/>
      <c r="AA280" s="4"/>
      <c r="AB280" s="4"/>
    </row>
    <row r="281" spans="1:88" x14ac:dyDescent="0.2">
      <c r="A281" s="4">
        <v>50</v>
      </c>
      <c r="B281" s="4">
        <v>0</v>
      </c>
      <c r="C281" s="4">
        <v>0</v>
      </c>
      <c r="D281" s="4">
        <v>1</v>
      </c>
      <c r="E281" s="4">
        <v>208</v>
      </c>
      <c r="F281" s="4">
        <f>Source!V258</f>
        <v>87.33631299999999</v>
      </c>
      <c r="G281" s="4" t="s">
        <v>110</v>
      </c>
      <c r="H281" s="4" t="s">
        <v>111</v>
      </c>
      <c r="I281" s="4"/>
      <c r="J281" s="4"/>
      <c r="K281" s="4">
        <v>208</v>
      </c>
      <c r="L281" s="4">
        <v>22</v>
      </c>
      <c r="M281" s="4">
        <v>3</v>
      </c>
      <c r="N281" s="4" t="s">
        <v>3</v>
      </c>
      <c r="O281" s="4">
        <v>-1</v>
      </c>
      <c r="P281" s="4"/>
      <c r="Q281" s="4"/>
      <c r="R281" s="4"/>
      <c r="S281" s="4"/>
      <c r="T281" s="4"/>
      <c r="U281" s="4"/>
      <c r="V281" s="4"/>
      <c r="W281" s="4">
        <v>87.336313000000004</v>
      </c>
      <c r="X281" s="4">
        <v>1</v>
      </c>
      <c r="Y281" s="4">
        <v>87.336313000000004</v>
      </c>
      <c r="Z281" s="4"/>
      <c r="AA281" s="4"/>
      <c r="AB281" s="4"/>
    </row>
    <row r="282" spans="1:88" x14ac:dyDescent="0.2">
      <c r="A282" s="4">
        <v>50</v>
      </c>
      <c r="B282" s="4">
        <v>0</v>
      </c>
      <c r="C282" s="4">
        <v>0</v>
      </c>
      <c r="D282" s="4">
        <v>1</v>
      </c>
      <c r="E282" s="4">
        <v>209</v>
      </c>
      <c r="F282" s="4">
        <f>ROUND(Source!W258,O282)</f>
        <v>0</v>
      </c>
      <c r="G282" s="4" t="s">
        <v>112</v>
      </c>
      <c r="H282" s="4" t="s">
        <v>113</v>
      </c>
      <c r="I282" s="4"/>
      <c r="J282" s="4"/>
      <c r="K282" s="4">
        <v>209</v>
      </c>
      <c r="L282" s="4">
        <v>23</v>
      </c>
      <c r="M282" s="4">
        <v>3</v>
      </c>
      <c r="N282" s="4" t="s">
        <v>3</v>
      </c>
      <c r="O282" s="4">
        <v>0</v>
      </c>
      <c r="P282" s="4"/>
      <c r="Q282" s="4"/>
      <c r="R282" s="4"/>
      <c r="S282" s="4"/>
      <c r="T282" s="4"/>
      <c r="U282" s="4"/>
      <c r="V282" s="4"/>
      <c r="W282" s="4">
        <v>0</v>
      </c>
      <c r="X282" s="4">
        <v>1</v>
      </c>
      <c r="Y282" s="4">
        <v>0</v>
      </c>
      <c r="Z282" s="4"/>
      <c r="AA282" s="4"/>
      <c r="AB282" s="4"/>
    </row>
    <row r="283" spans="1:88" x14ac:dyDescent="0.2">
      <c r="A283" s="4">
        <v>50</v>
      </c>
      <c r="B283" s="4">
        <v>0</v>
      </c>
      <c r="C283" s="4">
        <v>0</v>
      </c>
      <c r="D283" s="4">
        <v>1</v>
      </c>
      <c r="E283" s="4">
        <v>233</v>
      </c>
      <c r="F283" s="4">
        <f>ROUND(Source!BD258,O283)</f>
        <v>71892</v>
      </c>
      <c r="G283" s="4" t="s">
        <v>114</v>
      </c>
      <c r="H283" s="4" t="s">
        <v>115</v>
      </c>
      <c r="I283" s="4"/>
      <c r="J283" s="4"/>
      <c r="K283" s="4">
        <v>233</v>
      </c>
      <c r="L283" s="4">
        <v>24</v>
      </c>
      <c r="M283" s="4">
        <v>3</v>
      </c>
      <c r="N283" s="4" t="s">
        <v>3</v>
      </c>
      <c r="O283" s="4">
        <v>0</v>
      </c>
      <c r="P283" s="4"/>
      <c r="Q283" s="4"/>
      <c r="R283" s="4"/>
      <c r="S283" s="4"/>
      <c r="T283" s="4"/>
      <c r="U283" s="4"/>
      <c r="V283" s="4"/>
      <c r="W283" s="4">
        <v>71892</v>
      </c>
      <c r="X283" s="4">
        <v>1</v>
      </c>
      <c r="Y283" s="4">
        <v>71892</v>
      </c>
      <c r="Z283" s="4"/>
      <c r="AA283" s="4"/>
      <c r="AB283" s="4"/>
    </row>
    <row r="284" spans="1:88" x14ac:dyDescent="0.2">
      <c r="A284" s="4">
        <v>50</v>
      </c>
      <c r="B284" s="4">
        <v>0</v>
      </c>
      <c r="C284" s="4">
        <v>0</v>
      </c>
      <c r="D284" s="4">
        <v>1</v>
      </c>
      <c r="E284" s="4">
        <v>210</v>
      </c>
      <c r="F284" s="4">
        <f>ROUND(Source!X258,O284)</f>
        <v>106844</v>
      </c>
      <c r="G284" s="4" t="s">
        <v>116</v>
      </c>
      <c r="H284" s="4" t="s">
        <v>117</v>
      </c>
      <c r="I284" s="4"/>
      <c r="J284" s="4"/>
      <c r="K284" s="4">
        <v>210</v>
      </c>
      <c r="L284" s="4">
        <v>25</v>
      </c>
      <c r="M284" s="4">
        <v>3</v>
      </c>
      <c r="N284" s="4" t="s">
        <v>3</v>
      </c>
      <c r="O284" s="4">
        <v>0</v>
      </c>
      <c r="P284" s="4"/>
      <c r="Q284" s="4"/>
      <c r="R284" s="4"/>
      <c r="S284" s="4"/>
      <c r="T284" s="4"/>
      <c r="U284" s="4"/>
      <c r="V284" s="4"/>
      <c r="W284" s="4">
        <v>106844</v>
      </c>
      <c r="X284" s="4">
        <v>1</v>
      </c>
      <c r="Y284" s="4">
        <v>106844</v>
      </c>
      <c r="Z284" s="4"/>
      <c r="AA284" s="4"/>
      <c r="AB284" s="4"/>
    </row>
    <row r="285" spans="1:88" x14ac:dyDescent="0.2">
      <c r="A285" s="4">
        <v>50</v>
      </c>
      <c r="B285" s="4">
        <v>0</v>
      </c>
      <c r="C285" s="4">
        <v>0</v>
      </c>
      <c r="D285" s="4">
        <v>1</v>
      </c>
      <c r="E285" s="4">
        <v>211</v>
      </c>
      <c r="F285" s="4">
        <f>ROUND(Source!Y258,O285)</f>
        <v>60765</v>
      </c>
      <c r="G285" s="4" t="s">
        <v>118</v>
      </c>
      <c r="H285" s="4" t="s">
        <v>119</v>
      </c>
      <c r="I285" s="4"/>
      <c r="J285" s="4"/>
      <c r="K285" s="4">
        <v>211</v>
      </c>
      <c r="L285" s="4">
        <v>26</v>
      </c>
      <c r="M285" s="4">
        <v>3</v>
      </c>
      <c r="N285" s="4" t="s">
        <v>3</v>
      </c>
      <c r="O285" s="4">
        <v>0</v>
      </c>
      <c r="P285" s="4"/>
      <c r="Q285" s="4"/>
      <c r="R285" s="4"/>
      <c r="S285" s="4"/>
      <c r="T285" s="4"/>
      <c r="U285" s="4"/>
      <c r="V285" s="4"/>
      <c r="W285" s="4">
        <v>60765</v>
      </c>
      <c r="X285" s="4">
        <v>1</v>
      </c>
      <c r="Y285" s="4">
        <v>60765</v>
      </c>
      <c r="Z285" s="4"/>
      <c r="AA285" s="4"/>
      <c r="AB285" s="4"/>
    </row>
    <row r="286" spans="1:88" x14ac:dyDescent="0.2">
      <c r="A286" s="4">
        <v>50</v>
      </c>
      <c r="B286" s="4">
        <v>0</v>
      </c>
      <c r="C286" s="4">
        <v>0</v>
      </c>
      <c r="D286" s="4">
        <v>1</v>
      </c>
      <c r="E286" s="4">
        <v>224</v>
      </c>
      <c r="F286" s="4">
        <f>ROUND(Source!AR258,O286)</f>
        <v>406541</v>
      </c>
      <c r="G286" s="4" t="s">
        <v>120</v>
      </c>
      <c r="H286" s="4" t="s">
        <v>121</v>
      </c>
      <c r="I286" s="4"/>
      <c r="J286" s="4"/>
      <c r="K286" s="4">
        <v>224</v>
      </c>
      <c r="L286" s="4">
        <v>27</v>
      </c>
      <c r="M286" s="4">
        <v>3</v>
      </c>
      <c r="N286" s="4" t="s">
        <v>3</v>
      </c>
      <c r="O286" s="4">
        <v>0</v>
      </c>
      <c r="P286" s="4"/>
      <c r="Q286" s="4"/>
      <c r="R286" s="4"/>
      <c r="S286" s="4"/>
      <c r="T286" s="4"/>
      <c r="U286" s="4"/>
      <c r="V286" s="4"/>
      <c r="W286" s="4">
        <v>406541</v>
      </c>
      <c r="X286" s="4">
        <v>1</v>
      </c>
      <c r="Y286" s="4">
        <v>406541</v>
      </c>
      <c r="Z286" s="4"/>
      <c r="AA286" s="4"/>
      <c r="AB286" s="4"/>
    </row>
    <row r="288" spans="1:88" x14ac:dyDescent="0.2">
      <c r="A288" s="1">
        <v>5</v>
      </c>
      <c r="B288" s="1">
        <v>1</v>
      </c>
      <c r="C288" s="1"/>
      <c r="D288" s="1">
        <f>ROW(A299)</f>
        <v>299</v>
      </c>
      <c r="E288" s="1"/>
      <c r="F288" s="1" t="s">
        <v>123</v>
      </c>
      <c r="G288" s="1" t="s">
        <v>243</v>
      </c>
      <c r="H288" s="1" t="s">
        <v>3</v>
      </c>
      <c r="I288" s="1">
        <v>0</v>
      </c>
      <c r="J288" s="1"/>
      <c r="K288" s="1">
        <v>0</v>
      </c>
      <c r="L288" s="1"/>
      <c r="M288" s="1" t="s">
        <v>3</v>
      </c>
      <c r="N288" s="1"/>
      <c r="O288" s="1"/>
      <c r="P288" s="1"/>
      <c r="Q288" s="1"/>
      <c r="R288" s="1"/>
      <c r="S288" s="1">
        <v>0</v>
      </c>
      <c r="T288" s="1"/>
      <c r="U288" s="1" t="s">
        <v>3</v>
      </c>
      <c r="V288" s="1">
        <v>0</v>
      </c>
      <c r="W288" s="1"/>
      <c r="X288" s="1"/>
      <c r="Y288" s="1"/>
      <c r="Z288" s="1"/>
      <c r="AA288" s="1"/>
      <c r="AB288" s="1" t="s">
        <v>3</v>
      </c>
      <c r="AC288" s="1" t="s">
        <v>3</v>
      </c>
      <c r="AD288" s="1" t="s">
        <v>3</v>
      </c>
      <c r="AE288" s="1" t="s">
        <v>3</v>
      </c>
      <c r="AF288" s="1" t="s">
        <v>3</v>
      </c>
      <c r="AG288" s="1" t="s">
        <v>3</v>
      </c>
      <c r="AH288" s="1"/>
      <c r="AI288" s="1"/>
      <c r="AJ288" s="1"/>
      <c r="AK288" s="1"/>
      <c r="AL288" s="1"/>
      <c r="AM288" s="1"/>
      <c r="AN288" s="1"/>
      <c r="AO288" s="1"/>
      <c r="AP288" s="1" t="s">
        <v>3</v>
      </c>
      <c r="AQ288" s="1" t="s">
        <v>3</v>
      </c>
      <c r="AR288" s="1" t="s">
        <v>3</v>
      </c>
      <c r="AS288" s="1"/>
      <c r="AT288" s="1"/>
      <c r="AU288" s="1"/>
      <c r="AV288" s="1"/>
      <c r="AW288" s="1"/>
      <c r="AX288" s="1"/>
      <c r="AY288" s="1"/>
      <c r="AZ288" s="1" t="s">
        <v>3</v>
      </c>
      <c r="BA288" s="1"/>
      <c r="BB288" s="1" t="s">
        <v>3</v>
      </c>
      <c r="BC288" s="1" t="s">
        <v>3</v>
      </c>
      <c r="BD288" s="1" t="s">
        <v>3</v>
      </c>
      <c r="BE288" s="1" t="s">
        <v>3</v>
      </c>
      <c r="BF288" s="1" t="s">
        <v>3</v>
      </c>
      <c r="BG288" s="1" t="s">
        <v>3</v>
      </c>
      <c r="BH288" s="1" t="s">
        <v>3</v>
      </c>
      <c r="BI288" s="1" t="s">
        <v>3</v>
      </c>
      <c r="BJ288" s="1" t="s">
        <v>3</v>
      </c>
      <c r="BK288" s="1" t="s">
        <v>3</v>
      </c>
      <c r="BL288" s="1" t="s">
        <v>3</v>
      </c>
      <c r="BM288" s="1" t="s">
        <v>3</v>
      </c>
      <c r="BN288" s="1" t="s">
        <v>3</v>
      </c>
      <c r="BO288" s="1" t="s">
        <v>3</v>
      </c>
      <c r="BP288" s="1" t="s">
        <v>3</v>
      </c>
      <c r="BQ288" s="1"/>
      <c r="BR288" s="1"/>
      <c r="BS288" s="1"/>
      <c r="BT288" s="1"/>
      <c r="BU288" s="1"/>
      <c r="BV288" s="1"/>
      <c r="BW288" s="1"/>
      <c r="BX288" s="1">
        <v>0</v>
      </c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>
        <v>0</v>
      </c>
    </row>
    <row r="290" spans="1:245" x14ac:dyDescent="0.2">
      <c r="A290" s="2">
        <v>52</v>
      </c>
      <c r="B290" s="2">
        <f t="shared" ref="B290:G290" si="252">B299</f>
        <v>1</v>
      </c>
      <c r="C290" s="2">
        <f t="shared" si="252"/>
        <v>5</v>
      </c>
      <c r="D290" s="2">
        <f t="shared" si="252"/>
        <v>288</v>
      </c>
      <c r="E290" s="2">
        <f t="shared" si="252"/>
        <v>0</v>
      </c>
      <c r="F290" s="2" t="str">
        <f t="shared" si="252"/>
        <v>Новый подраздел</v>
      </c>
      <c r="G290" s="2" t="str">
        <f t="shared" si="252"/>
        <v>Устройство бортового камня</v>
      </c>
      <c r="H290" s="2"/>
      <c r="I290" s="2"/>
      <c r="J290" s="2"/>
      <c r="K290" s="2"/>
      <c r="L290" s="2"/>
      <c r="M290" s="2"/>
      <c r="N290" s="2"/>
      <c r="O290" s="2">
        <f t="shared" ref="O290:AT290" si="253">O299</f>
        <v>271284</v>
      </c>
      <c r="P290" s="2">
        <f t="shared" si="253"/>
        <v>189552</v>
      </c>
      <c r="Q290" s="2">
        <f t="shared" si="253"/>
        <v>5207</v>
      </c>
      <c r="R290" s="2">
        <f t="shared" si="253"/>
        <v>1633</v>
      </c>
      <c r="S290" s="2">
        <f t="shared" si="253"/>
        <v>76525</v>
      </c>
      <c r="T290" s="2">
        <f t="shared" si="253"/>
        <v>0</v>
      </c>
      <c r="U290" s="2">
        <f t="shared" si="253"/>
        <v>278.39970499999998</v>
      </c>
      <c r="V290" s="2">
        <f t="shared" si="253"/>
        <v>4.1307999999999998</v>
      </c>
      <c r="W290" s="2">
        <f t="shared" si="253"/>
        <v>0</v>
      </c>
      <c r="X290" s="2">
        <f t="shared" si="253"/>
        <v>109919</v>
      </c>
      <c r="Y290" s="2">
        <f t="shared" si="253"/>
        <v>73141</v>
      </c>
      <c r="Z290" s="2">
        <f t="shared" si="253"/>
        <v>0</v>
      </c>
      <c r="AA290" s="2">
        <f t="shared" si="253"/>
        <v>0</v>
      </c>
      <c r="AB290" s="2">
        <f t="shared" si="253"/>
        <v>271284</v>
      </c>
      <c r="AC290" s="2">
        <f t="shared" si="253"/>
        <v>189552</v>
      </c>
      <c r="AD290" s="2">
        <f t="shared" si="253"/>
        <v>5207</v>
      </c>
      <c r="AE290" s="2">
        <f t="shared" si="253"/>
        <v>1633</v>
      </c>
      <c r="AF290" s="2">
        <f t="shared" si="253"/>
        <v>76525</v>
      </c>
      <c r="AG290" s="2">
        <f t="shared" si="253"/>
        <v>0</v>
      </c>
      <c r="AH290" s="2">
        <f t="shared" si="253"/>
        <v>278.39970499999998</v>
      </c>
      <c r="AI290" s="2">
        <f t="shared" si="253"/>
        <v>4.1307999999999998</v>
      </c>
      <c r="AJ290" s="2">
        <f t="shared" si="253"/>
        <v>0</v>
      </c>
      <c r="AK290" s="2">
        <f t="shared" si="253"/>
        <v>109919</v>
      </c>
      <c r="AL290" s="2">
        <f t="shared" si="253"/>
        <v>73141</v>
      </c>
      <c r="AM290" s="2">
        <f t="shared" si="253"/>
        <v>0</v>
      </c>
      <c r="AN290" s="2">
        <f t="shared" si="253"/>
        <v>0</v>
      </c>
      <c r="AO290" s="2">
        <f t="shared" si="253"/>
        <v>0</v>
      </c>
      <c r="AP290" s="2">
        <f t="shared" si="253"/>
        <v>0</v>
      </c>
      <c r="AQ290" s="2">
        <f t="shared" si="253"/>
        <v>0</v>
      </c>
      <c r="AR290" s="2">
        <f t="shared" si="253"/>
        <v>454344</v>
      </c>
      <c r="AS290" s="2">
        <f t="shared" si="253"/>
        <v>450244</v>
      </c>
      <c r="AT290" s="2">
        <f t="shared" si="253"/>
        <v>0</v>
      </c>
      <c r="AU290" s="2">
        <f t="shared" ref="AU290:BZ290" si="254">AU299</f>
        <v>4100</v>
      </c>
      <c r="AV290" s="2">
        <f t="shared" si="254"/>
        <v>189552</v>
      </c>
      <c r="AW290" s="2">
        <f t="shared" si="254"/>
        <v>189552</v>
      </c>
      <c r="AX290" s="2">
        <f t="shared" si="254"/>
        <v>0</v>
      </c>
      <c r="AY290" s="2">
        <f t="shared" si="254"/>
        <v>189552</v>
      </c>
      <c r="AZ290" s="2">
        <f t="shared" si="254"/>
        <v>0</v>
      </c>
      <c r="BA290" s="2">
        <f t="shared" si="254"/>
        <v>0</v>
      </c>
      <c r="BB290" s="2">
        <f t="shared" si="254"/>
        <v>0</v>
      </c>
      <c r="BC290" s="2">
        <f t="shared" si="254"/>
        <v>0</v>
      </c>
      <c r="BD290" s="2">
        <f t="shared" si="254"/>
        <v>0</v>
      </c>
      <c r="BE290" s="2">
        <f t="shared" si="254"/>
        <v>0</v>
      </c>
      <c r="BF290" s="2">
        <f t="shared" si="254"/>
        <v>0</v>
      </c>
      <c r="BG290" s="2">
        <f t="shared" si="254"/>
        <v>0</v>
      </c>
      <c r="BH290" s="2">
        <f t="shared" si="254"/>
        <v>0</v>
      </c>
      <c r="BI290" s="2">
        <f t="shared" si="254"/>
        <v>0</v>
      </c>
      <c r="BJ290" s="2">
        <f t="shared" si="254"/>
        <v>0</v>
      </c>
      <c r="BK290" s="2">
        <f t="shared" si="254"/>
        <v>0</v>
      </c>
      <c r="BL290" s="2">
        <f t="shared" si="254"/>
        <v>0</v>
      </c>
      <c r="BM290" s="2">
        <f t="shared" si="254"/>
        <v>0</v>
      </c>
      <c r="BN290" s="2">
        <f t="shared" si="254"/>
        <v>0</v>
      </c>
      <c r="BO290" s="2">
        <f t="shared" si="254"/>
        <v>0</v>
      </c>
      <c r="BP290" s="2">
        <f t="shared" si="254"/>
        <v>0</v>
      </c>
      <c r="BQ290" s="2">
        <f t="shared" si="254"/>
        <v>0</v>
      </c>
      <c r="BR290" s="2">
        <f t="shared" si="254"/>
        <v>0</v>
      </c>
      <c r="BS290" s="2">
        <f t="shared" si="254"/>
        <v>0</v>
      </c>
      <c r="BT290" s="2">
        <f t="shared" si="254"/>
        <v>0</v>
      </c>
      <c r="BU290" s="2">
        <f t="shared" si="254"/>
        <v>0</v>
      </c>
      <c r="BV290" s="2">
        <f t="shared" si="254"/>
        <v>0</v>
      </c>
      <c r="BW290" s="2">
        <f t="shared" si="254"/>
        <v>0</v>
      </c>
      <c r="BX290" s="2">
        <f t="shared" si="254"/>
        <v>0</v>
      </c>
      <c r="BY290" s="2">
        <f t="shared" si="254"/>
        <v>0</v>
      </c>
      <c r="BZ290" s="2">
        <f t="shared" si="254"/>
        <v>0</v>
      </c>
      <c r="CA290" s="2">
        <f t="shared" ref="CA290:DF290" si="255">CA299</f>
        <v>454344</v>
      </c>
      <c r="CB290" s="2">
        <f t="shared" si="255"/>
        <v>450244</v>
      </c>
      <c r="CC290" s="2">
        <f t="shared" si="255"/>
        <v>0</v>
      </c>
      <c r="CD290" s="2">
        <f t="shared" si="255"/>
        <v>4100</v>
      </c>
      <c r="CE290" s="2">
        <f t="shared" si="255"/>
        <v>189552</v>
      </c>
      <c r="CF290" s="2">
        <f t="shared" si="255"/>
        <v>189552</v>
      </c>
      <c r="CG290" s="2">
        <f t="shared" si="255"/>
        <v>0</v>
      </c>
      <c r="CH290" s="2">
        <f t="shared" si="255"/>
        <v>189552</v>
      </c>
      <c r="CI290" s="2">
        <f t="shared" si="255"/>
        <v>0</v>
      </c>
      <c r="CJ290" s="2">
        <f t="shared" si="255"/>
        <v>0</v>
      </c>
      <c r="CK290" s="2">
        <f t="shared" si="255"/>
        <v>0</v>
      </c>
      <c r="CL290" s="2">
        <f t="shared" si="255"/>
        <v>0</v>
      </c>
      <c r="CM290" s="2">
        <f t="shared" si="255"/>
        <v>0</v>
      </c>
      <c r="CN290" s="2">
        <f t="shared" si="255"/>
        <v>0</v>
      </c>
      <c r="CO290" s="2">
        <f t="shared" si="255"/>
        <v>0</v>
      </c>
      <c r="CP290" s="2">
        <f t="shared" si="255"/>
        <v>0</v>
      </c>
      <c r="CQ290" s="2">
        <f t="shared" si="255"/>
        <v>0</v>
      </c>
      <c r="CR290" s="2">
        <f t="shared" si="255"/>
        <v>0</v>
      </c>
      <c r="CS290" s="2">
        <f t="shared" si="255"/>
        <v>0</v>
      </c>
      <c r="CT290" s="2">
        <f t="shared" si="255"/>
        <v>0</v>
      </c>
      <c r="CU290" s="2">
        <f t="shared" si="255"/>
        <v>0</v>
      </c>
      <c r="CV290" s="2">
        <f t="shared" si="255"/>
        <v>0</v>
      </c>
      <c r="CW290" s="2">
        <f t="shared" si="255"/>
        <v>0</v>
      </c>
      <c r="CX290" s="2">
        <f t="shared" si="255"/>
        <v>0</v>
      </c>
      <c r="CY290" s="2">
        <f t="shared" si="255"/>
        <v>0</v>
      </c>
      <c r="CZ290" s="2">
        <f t="shared" si="255"/>
        <v>0</v>
      </c>
      <c r="DA290" s="2">
        <f t="shared" si="255"/>
        <v>0</v>
      </c>
      <c r="DB290" s="2">
        <f t="shared" si="255"/>
        <v>0</v>
      </c>
      <c r="DC290" s="2">
        <f t="shared" si="255"/>
        <v>0</v>
      </c>
      <c r="DD290" s="2">
        <f t="shared" si="255"/>
        <v>0</v>
      </c>
      <c r="DE290" s="2">
        <f t="shared" si="255"/>
        <v>0</v>
      </c>
      <c r="DF290" s="2">
        <f t="shared" si="255"/>
        <v>0</v>
      </c>
      <c r="DG290" s="3">
        <f t="shared" ref="DG290:EL290" si="256">DG299</f>
        <v>0</v>
      </c>
      <c r="DH290" s="3">
        <f t="shared" si="256"/>
        <v>0</v>
      </c>
      <c r="DI290" s="3">
        <f t="shared" si="256"/>
        <v>0</v>
      </c>
      <c r="DJ290" s="3">
        <f t="shared" si="256"/>
        <v>0</v>
      </c>
      <c r="DK290" s="3">
        <f t="shared" si="256"/>
        <v>0</v>
      </c>
      <c r="DL290" s="3">
        <f t="shared" si="256"/>
        <v>0</v>
      </c>
      <c r="DM290" s="3">
        <f t="shared" si="256"/>
        <v>0</v>
      </c>
      <c r="DN290" s="3">
        <f t="shared" si="256"/>
        <v>0</v>
      </c>
      <c r="DO290" s="3">
        <f t="shared" si="256"/>
        <v>0</v>
      </c>
      <c r="DP290" s="3">
        <f t="shared" si="256"/>
        <v>0</v>
      </c>
      <c r="DQ290" s="3">
        <f t="shared" si="256"/>
        <v>0</v>
      </c>
      <c r="DR290" s="3">
        <f t="shared" si="256"/>
        <v>0</v>
      </c>
      <c r="DS290" s="3">
        <f t="shared" si="256"/>
        <v>0</v>
      </c>
      <c r="DT290" s="3">
        <f t="shared" si="256"/>
        <v>0</v>
      </c>
      <c r="DU290" s="3">
        <f t="shared" si="256"/>
        <v>0</v>
      </c>
      <c r="DV290" s="3">
        <f t="shared" si="256"/>
        <v>0</v>
      </c>
      <c r="DW290" s="3">
        <f t="shared" si="256"/>
        <v>0</v>
      </c>
      <c r="DX290" s="3">
        <f t="shared" si="256"/>
        <v>0</v>
      </c>
      <c r="DY290" s="3">
        <f t="shared" si="256"/>
        <v>0</v>
      </c>
      <c r="DZ290" s="3">
        <f t="shared" si="256"/>
        <v>0</v>
      </c>
      <c r="EA290" s="3">
        <f t="shared" si="256"/>
        <v>0</v>
      </c>
      <c r="EB290" s="3">
        <f t="shared" si="256"/>
        <v>0</v>
      </c>
      <c r="EC290" s="3">
        <f t="shared" si="256"/>
        <v>0</v>
      </c>
      <c r="ED290" s="3">
        <f t="shared" si="256"/>
        <v>0</v>
      </c>
      <c r="EE290" s="3">
        <f t="shared" si="256"/>
        <v>0</v>
      </c>
      <c r="EF290" s="3">
        <f t="shared" si="256"/>
        <v>0</v>
      </c>
      <c r="EG290" s="3">
        <f t="shared" si="256"/>
        <v>0</v>
      </c>
      <c r="EH290" s="3">
        <f t="shared" si="256"/>
        <v>0</v>
      </c>
      <c r="EI290" s="3">
        <f t="shared" si="256"/>
        <v>0</v>
      </c>
      <c r="EJ290" s="3">
        <f t="shared" si="256"/>
        <v>0</v>
      </c>
      <c r="EK290" s="3">
        <f t="shared" si="256"/>
        <v>0</v>
      </c>
      <c r="EL290" s="3">
        <f t="shared" si="256"/>
        <v>0</v>
      </c>
      <c r="EM290" s="3">
        <f t="shared" ref="EM290:FR290" si="257">EM299</f>
        <v>0</v>
      </c>
      <c r="EN290" s="3">
        <f t="shared" si="257"/>
        <v>0</v>
      </c>
      <c r="EO290" s="3">
        <f t="shared" si="257"/>
        <v>0</v>
      </c>
      <c r="EP290" s="3">
        <f t="shared" si="257"/>
        <v>0</v>
      </c>
      <c r="EQ290" s="3">
        <f t="shared" si="257"/>
        <v>0</v>
      </c>
      <c r="ER290" s="3">
        <f t="shared" si="257"/>
        <v>0</v>
      </c>
      <c r="ES290" s="3">
        <f t="shared" si="257"/>
        <v>0</v>
      </c>
      <c r="ET290" s="3">
        <f t="shared" si="257"/>
        <v>0</v>
      </c>
      <c r="EU290" s="3">
        <f t="shared" si="257"/>
        <v>0</v>
      </c>
      <c r="EV290" s="3">
        <f t="shared" si="257"/>
        <v>0</v>
      </c>
      <c r="EW290" s="3">
        <f t="shared" si="257"/>
        <v>0</v>
      </c>
      <c r="EX290" s="3">
        <f t="shared" si="257"/>
        <v>0</v>
      </c>
      <c r="EY290" s="3">
        <f t="shared" si="257"/>
        <v>0</v>
      </c>
      <c r="EZ290" s="3">
        <f t="shared" si="257"/>
        <v>0</v>
      </c>
      <c r="FA290" s="3">
        <f t="shared" si="257"/>
        <v>0</v>
      </c>
      <c r="FB290" s="3">
        <f t="shared" si="257"/>
        <v>0</v>
      </c>
      <c r="FC290" s="3">
        <f t="shared" si="257"/>
        <v>0</v>
      </c>
      <c r="FD290" s="3">
        <f t="shared" si="257"/>
        <v>0</v>
      </c>
      <c r="FE290" s="3">
        <f t="shared" si="257"/>
        <v>0</v>
      </c>
      <c r="FF290" s="3">
        <f t="shared" si="257"/>
        <v>0</v>
      </c>
      <c r="FG290" s="3">
        <f t="shared" si="257"/>
        <v>0</v>
      </c>
      <c r="FH290" s="3">
        <f t="shared" si="257"/>
        <v>0</v>
      </c>
      <c r="FI290" s="3">
        <f t="shared" si="257"/>
        <v>0</v>
      </c>
      <c r="FJ290" s="3">
        <f t="shared" si="257"/>
        <v>0</v>
      </c>
      <c r="FK290" s="3">
        <f t="shared" si="257"/>
        <v>0</v>
      </c>
      <c r="FL290" s="3">
        <f t="shared" si="257"/>
        <v>0</v>
      </c>
      <c r="FM290" s="3">
        <f t="shared" si="257"/>
        <v>0</v>
      </c>
      <c r="FN290" s="3">
        <f t="shared" si="257"/>
        <v>0</v>
      </c>
      <c r="FO290" s="3">
        <f t="shared" si="257"/>
        <v>0</v>
      </c>
      <c r="FP290" s="3">
        <f t="shared" si="257"/>
        <v>0</v>
      </c>
      <c r="FQ290" s="3">
        <f t="shared" si="257"/>
        <v>0</v>
      </c>
      <c r="FR290" s="3">
        <f t="shared" si="257"/>
        <v>0</v>
      </c>
      <c r="FS290" s="3">
        <f t="shared" ref="FS290:GX290" si="258">FS299</f>
        <v>0</v>
      </c>
      <c r="FT290" s="3">
        <f t="shared" si="258"/>
        <v>0</v>
      </c>
      <c r="FU290" s="3">
        <f t="shared" si="258"/>
        <v>0</v>
      </c>
      <c r="FV290" s="3">
        <f t="shared" si="258"/>
        <v>0</v>
      </c>
      <c r="FW290" s="3">
        <f t="shared" si="258"/>
        <v>0</v>
      </c>
      <c r="FX290" s="3">
        <f t="shared" si="258"/>
        <v>0</v>
      </c>
      <c r="FY290" s="3">
        <f t="shared" si="258"/>
        <v>0</v>
      </c>
      <c r="FZ290" s="3">
        <f t="shared" si="258"/>
        <v>0</v>
      </c>
      <c r="GA290" s="3">
        <f t="shared" si="258"/>
        <v>0</v>
      </c>
      <c r="GB290" s="3">
        <f t="shared" si="258"/>
        <v>0</v>
      </c>
      <c r="GC290" s="3">
        <f t="shared" si="258"/>
        <v>0</v>
      </c>
      <c r="GD290" s="3">
        <f t="shared" si="258"/>
        <v>0</v>
      </c>
      <c r="GE290" s="3">
        <f t="shared" si="258"/>
        <v>0</v>
      </c>
      <c r="GF290" s="3">
        <f t="shared" si="258"/>
        <v>0</v>
      </c>
      <c r="GG290" s="3">
        <f t="shared" si="258"/>
        <v>0</v>
      </c>
      <c r="GH290" s="3">
        <f t="shared" si="258"/>
        <v>0</v>
      </c>
      <c r="GI290" s="3">
        <f t="shared" si="258"/>
        <v>0</v>
      </c>
      <c r="GJ290" s="3">
        <f t="shared" si="258"/>
        <v>0</v>
      </c>
      <c r="GK290" s="3">
        <f t="shared" si="258"/>
        <v>0</v>
      </c>
      <c r="GL290" s="3">
        <f t="shared" si="258"/>
        <v>0</v>
      </c>
      <c r="GM290" s="3">
        <f t="shared" si="258"/>
        <v>0</v>
      </c>
      <c r="GN290" s="3">
        <f t="shared" si="258"/>
        <v>0</v>
      </c>
      <c r="GO290" s="3">
        <f t="shared" si="258"/>
        <v>0</v>
      </c>
      <c r="GP290" s="3">
        <f t="shared" si="258"/>
        <v>0</v>
      </c>
      <c r="GQ290" s="3">
        <f t="shared" si="258"/>
        <v>0</v>
      </c>
      <c r="GR290" s="3">
        <f t="shared" si="258"/>
        <v>0</v>
      </c>
      <c r="GS290" s="3">
        <f t="shared" si="258"/>
        <v>0</v>
      </c>
      <c r="GT290" s="3">
        <f t="shared" si="258"/>
        <v>0</v>
      </c>
      <c r="GU290" s="3">
        <f t="shared" si="258"/>
        <v>0</v>
      </c>
      <c r="GV290" s="3">
        <f t="shared" si="258"/>
        <v>0</v>
      </c>
      <c r="GW290" s="3">
        <f t="shared" si="258"/>
        <v>0</v>
      </c>
      <c r="GX290" s="3">
        <f t="shared" si="258"/>
        <v>0</v>
      </c>
    </row>
    <row r="292" spans="1:245" x14ac:dyDescent="0.2">
      <c r="A292">
        <v>17</v>
      </c>
      <c r="B292">
        <v>1</v>
      </c>
      <c r="C292">
        <f>ROW(SmtRes!A190)</f>
        <v>190</v>
      </c>
      <c r="D292">
        <f>ROW(EtalonRes!A178)</f>
        <v>178</v>
      </c>
      <c r="E292" t="s">
        <v>15</v>
      </c>
      <c r="F292" t="s">
        <v>125</v>
      </c>
      <c r="G292" t="s">
        <v>126</v>
      </c>
      <c r="H292" t="s">
        <v>127</v>
      </c>
      <c r="I292">
        <f>ROUND(5/100,9)</f>
        <v>0.05</v>
      </c>
      <c r="J292">
        <v>0</v>
      </c>
      <c r="K292">
        <f>ROUND(5/100,9)</f>
        <v>0.05</v>
      </c>
      <c r="O292">
        <f t="shared" ref="O292:O297" si="259">ROUND(CP292,0)</f>
        <v>436</v>
      </c>
      <c r="P292">
        <f t="shared" ref="P292:P297" si="260">ROUND(CQ292*I292,0)</f>
        <v>0</v>
      </c>
      <c r="Q292">
        <f t="shared" ref="Q292:Q297" si="261">ROUND(CR292*I292,0)</f>
        <v>236</v>
      </c>
      <c r="R292">
        <f t="shared" ref="R292:R297" si="262">ROUND(CS292*I292,0)</f>
        <v>57</v>
      </c>
      <c r="S292">
        <f t="shared" ref="S292:S297" si="263">ROUND(CT292*I292,0)</f>
        <v>200</v>
      </c>
      <c r="T292">
        <f t="shared" ref="T292:T297" si="264">ROUND(CU292*I292,0)</f>
        <v>0</v>
      </c>
      <c r="U292">
        <f t="shared" ref="U292:U297" si="265">CV292*I292</f>
        <v>0.72047499999999998</v>
      </c>
      <c r="V292">
        <f t="shared" ref="V292:V297" si="266">CW292*I292</f>
        <v>0.17479999999999998</v>
      </c>
      <c r="W292">
        <f t="shared" ref="W292:W297" si="267">ROUND(CX292*I292,0)</f>
        <v>0</v>
      </c>
      <c r="X292">
        <f t="shared" ref="X292:Y297" si="268">ROUND(CY292,0)</f>
        <v>244</v>
      </c>
      <c r="Y292">
        <f t="shared" si="268"/>
        <v>129</v>
      </c>
      <c r="AA292">
        <v>46416371</v>
      </c>
      <c r="AB292">
        <f t="shared" ref="AB292:AB297" si="269">ROUND((AC292+AD292+AF292),6)</f>
        <v>468.18799999999999</v>
      </c>
      <c r="AC292">
        <f t="shared" ref="AC292:AC297" si="270">ROUND((ES292),6)</f>
        <v>0</v>
      </c>
      <c r="AD292">
        <f>ROUND(((((ET292*1.15))-((EU292*1.15)))+AE292),6)</f>
        <v>353.34899999999999</v>
      </c>
      <c r="AE292">
        <f>ROUND(((EU292*1.15)),6)</f>
        <v>32.866999999999997</v>
      </c>
      <c r="AF292">
        <f>ROUND(((EV292*1.15)),6)</f>
        <v>114.839</v>
      </c>
      <c r="AG292">
        <f t="shared" ref="AG292:AG297" si="271">ROUND((AP292),6)</f>
        <v>0</v>
      </c>
      <c r="AH292">
        <f>((EW292*1.15))</f>
        <v>14.409499999999998</v>
      </c>
      <c r="AI292">
        <f>((EX292*1.15))</f>
        <v>3.4959999999999996</v>
      </c>
      <c r="AJ292">
        <f t="shared" ref="AJ292:AJ297" si="272">(AS292)</f>
        <v>0</v>
      </c>
      <c r="AK292">
        <v>407.12</v>
      </c>
      <c r="AL292">
        <v>0</v>
      </c>
      <c r="AM292">
        <v>307.26</v>
      </c>
      <c r="AN292">
        <v>28.58</v>
      </c>
      <c r="AO292">
        <v>99.86</v>
      </c>
      <c r="AP292">
        <v>0</v>
      </c>
      <c r="AQ292">
        <v>12.53</v>
      </c>
      <c r="AR292">
        <v>3.04</v>
      </c>
      <c r="AS292">
        <v>0</v>
      </c>
      <c r="AT292">
        <v>95</v>
      </c>
      <c r="AU292">
        <v>50</v>
      </c>
      <c r="AV292">
        <v>1</v>
      </c>
      <c r="AW292">
        <v>1</v>
      </c>
      <c r="AZ292">
        <v>1</v>
      </c>
      <c r="BA292">
        <v>34.75</v>
      </c>
      <c r="BB292">
        <v>13.36</v>
      </c>
      <c r="BC292">
        <v>8.2899999999999991</v>
      </c>
      <c r="BD292" t="s">
        <v>3</v>
      </c>
      <c r="BE292" t="s">
        <v>3</v>
      </c>
      <c r="BF292" t="s">
        <v>3</v>
      </c>
      <c r="BG292" t="s">
        <v>3</v>
      </c>
      <c r="BH292">
        <v>0</v>
      </c>
      <c r="BI292">
        <v>1</v>
      </c>
      <c r="BJ292" t="s">
        <v>128</v>
      </c>
      <c r="BM292">
        <v>1002</v>
      </c>
      <c r="BN292">
        <v>0</v>
      </c>
      <c r="BO292" t="s">
        <v>3</v>
      </c>
      <c r="BP292">
        <v>0</v>
      </c>
      <c r="BQ292">
        <v>2</v>
      </c>
      <c r="BR292">
        <v>0</v>
      </c>
      <c r="BS292">
        <v>34.75</v>
      </c>
      <c r="BT292">
        <v>1</v>
      </c>
      <c r="BU292">
        <v>1</v>
      </c>
      <c r="BV292">
        <v>1</v>
      </c>
      <c r="BW292">
        <v>1</v>
      </c>
      <c r="BX292">
        <v>1</v>
      </c>
      <c r="BY292" t="s">
        <v>3</v>
      </c>
      <c r="BZ292">
        <v>95</v>
      </c>
      <c r="CA292">
        <v>50</v>
      </c>
      <c r="CB292" t="s">
        <v>3</v>
      </c>
      <c r="CE292">
        <v>0</v>
      </c>
      <c r="CF292">
        <v>0</v>
      </c>
      <c r="CG292">
        <v>0</v>
      </c>
      <c r="CM292">
        <v>0</v>
      </c>
      <c r="CN292" t="s">
        <v>675</v>
      </c>
      <c r="CO292">
        <v>0</v>
      </c>
      <c r="CP292">
        <f t="shared" ref="CP292:CP297" si="273">(P292+Q292+S292)</f>
        <v>436</v>
      </c>
      <c r="CQ292">
        <f t="shared" ref="CQ292:CQ297" si="274">AC292*BC292</f>
        <v>0</v>
      </c>
      <c r="CR292">
        <f t="shared" ref="CR292:CR297" si="275">AD292*BB292</f>
        <v>4720.7426399999995</v>
      </c>
      <c r="CS292">
        <f t="shared" ref="CS292:CS297" si="276">AE292*BS292</f>
        <v>1142.12825</v>
      </c>
      <c r="CT292">
        <f t="shared" ref="CT292:CT297" si="277">AF292*BA292</f>
        <v>3990.6552499999998</v>
      </c>
      <c r="CU292">
        <f t="shared" ref="CU292:CX297" si="278">AG292</f>
        <v>0</v>
      </c>
      <c r="CV292">
        <f t="shared" si="278"/>
        <v>14.409499999999998</v>
      </c>
      <c r="CW292">
        <f t="shared" si="278"/>
        <v>3.4959999999999996</v>
      </c>
      <c r="CX292">
        <f t="shared" si="278"/>
        <v>0</v>
      </c>
      <c r="CY292">
        <f t="shared" ref="CY292:CY297" si="279">(((S292+R292)*AT292)/100)</f>
        <v>244.15</v>
      </c>
      <c r="CZ292">
        <f t="shared" ref="CZ292:CZ297" si="280">(((S292+R292)*AU292)/100)</f>
        <v>128.5</v>
      </c>
      <c r="DC292" t="s">
        <v>3</v>
      </c>
      <c r="DD292" t="s">
        <v>3</v>
      </c>
      <c r="DE292" t="s">
        <v>31</v>
      </c>
      <c r="DF292" t="s">
        <v>31</v>
      </c>
      <c r="DG292" t="s">
        <v>31</v>
      </c>
      <c r="DH292" t="s">
        <v>3</v>
      </c>
      <c r="DI292" t="s">
        <v>31</v>
      </c>
      <c r="DJ292" t="s">
        <v>31</v>
      </c>
      <c r="DK292" t="s">
        <v>3</v>
      </c>
      <c r="DL292" t="s">
        <v>3</v>
      </c>
      <c r="DM292" t="s">
        <v>3</v>
      </c>
      <c r="DN292">
        <v>0</v>
      </c>
      <c r="DO292">
        <v>0</v>
      </c>
      <c r="DP292">
        <v>1</v>
      </c>
      <c r="DQ292">
        <v>1</v>
      </c>
      <c r="DU292">
        <v>1013</v>
      </c>
      <c r="DV292" t="s">
        <v>127</v>
      </c>
      <c r="DW292" t="s">
        <v>127</v>
      </c>
      <c r="DX292">
        <v>1</v>
      </c>
      <c r="DZ292" t="s">
        <v>3</v>
      </c>
      <c r="EA292" t="s">
        <v>3</v>
      </c>
      <c r="EB292" t="s">
        <v>3</v>
      </c>
      <c r="EC292" t="s">
        <v>3</v>
      </c>
      <c r="EE292">
        <v>42475884</v>
      </c>
      <c r="EF292">
        <v>2</v>
      </c>
      <c r="EG292" t="s">
        <v>22</v>
      </c>
      <c r="EH292">
        <v>0</v>
      </c>
      <c r="EI292" t="s">
        <v>3</v>
      </c>
      <c r="EJ292">
        <v>1</v>
      </c>
      <c r="EK292">
        <v>1002</v>
      </c>
      <c r="EL292" t="s">
        <v>54</v>
      </c>
      <c r="EM292" t="s">
        <v>33</v>
      </c>
      <c r="EO292" t="s">
        <v>34</v>
      </c>
      <c r="EQ292">
        <v>0</v>
      </c>
      <c r="ER292">
        <v>407.12</v>
      </c>
      <c r="ES292">
        <v>0</v>
      </c>
      <c r="ET292">
        <v>307.26</v>
      </c>
      <c r="EU292">
        <v>28.58</v>
      </c>
      <c r="EV292">
        <v>99.86</v>
      </c>
      <c r="EW292">
        <v>12.53</v>
      </c>
      <c r="EX292">
        <v>3.04</v>
      </c>
      <c r="EY292">
        <v>0</v>
      </c>
      <c r="FQ292">
        <v>0</v>
      </c>
      <c r="FR292">
        <f t="shared" ref="FR292:FR297" si="281">ROUND(IF(AND(BH292=3,BI292=3),P292,0),0)</f>
        <v>0</v>
      </c>
      <c r="FS292">
        <v>0</v>
      </c>
      <c r="FX292">
        <v>95</v>
      </c>
      <c r="FY292">
        <v>50</v>
      </c>
      <c r="GA292" t="s">
        <v>3</v>
      </c>
      <c r="GD292">
        <v>1</v>
      </c>
      <c r="GF292">
        <v>-2137936402</v>
      </c>
      <c r="GG292">
        <v>2</v>
      </c>
      <c r="GH292">
        <v>1</v>
      </c>
      <c r="GI292">
        <v>4</v>
      </c>
      <c r="GJ292">
        <v>0</v>
      </c>
      <c r="GK292">
        <v>0</v>
      </c>
      <c r="GL292">
        <f t="shared" ref="GL292:GL297" si="282">ROUND(IF(AND(BH292=3,BI292=3,FS292&lt;&gt;0),P292,0),0)</f>
        <v>0</v>
      </c>
      <c r="GM292">
        <f t="shared" ref="GM292:GM297" si="283">ROUND(O292+X292+Y292,0)+GX292</f>
        <v>809</v>
      </c>
      <c r="GN292">
        <f t="shared" ref="GN292:GN297" si="284">IF(OR(BI292=0,BI292=1),ROUND(O292+X292+Y292,0),0)</f>
        <v>809</v>
      </c>
      <c r="GO292">
        <f t="shared" ref="GO292:GO297" si="285">IF(BI292=2,ROUND(O292+X292+Y292,0),0)</f>
        <v>0</v>
      </c>
      <c r="GP292">
        <f t="shared" ref="GP292:GP297" si="286">IF(BI292=4,ROUND(O292+X292+Y292,0)+GX292,0)</f>
        <v>0</v>
      </c>
      <c r="GR292">
        <v>0</v>
      </c>
      <c r="GS292">
        <v>3</v>
      </c>
      <c r="GT292">
        <v>0</v>
      </c>
      <c r="GU292" t="s">
        <v>3</v>
      </c>
      <c r="GV292">
        <f t="shared" ref="GV292:GV297" si="287">ROUND((GT292),6)</f>
        <v>0</v>
      </c>
      <c r="GW292">
        <v>1</v>
      </c>
      <c r="GX292">
        <f t="shared" ref="GX292:GX297" si="288">ROUND(HC292*I292,0)</f>
        <v>0</v>
      </c>
      <c r="HA292">
        <v>0</v>
      </c>
      <c r="HB292">
        <v>0</v>
      </c>
      <c r="HC292">
        <f t="shared" ref="HC292:HC297" si="289">GV292*GW292</f>
        <v>0</v>
      </c>
      <c r="HE292" t="s">
        <v>3</v>
      </c>
      <c r="HF292" t="s">
        <v>3</v>
      </c>
      <c r="HM292" t="s">
        <v>3</v>
      </c>
      <c r="HN292" t="s">
        <v>3</v>
      </c>
      <c r="HO292" t="s">
        <v>3</v>
      </c>
      <c r="HP292" t="s">
        <v>3</v>
      </c>
      <c r="HQ292" t="s">
        <v>3</v>
      </c>
      <c r="IK292">
        <v>0</v>
      </c>
    </row>
    <row r="293" spans="1:245" x14ac:dyDescent="0.2">
      <c r="A293">
        <v>17</v>
      </c>
      <c r="B293">
        <v>1</v>
      </c>
      <c r="C293">
        <f>ROW(SmtRes!A198)</f>
        <v>198</v>
      </c>
      <c r="D293">
        <f>ROW(EtalonRes!A185)</f>
        <v>185</v>
      </c>
      <c r="E293" t="s">
        <v>26</v>
      </c>
      <c r="F293" t="s">
        <v>129</v>
      </c>
      <c r="G293" t="s">
        <v>130</v>
      </c>
      <c r="H293" t="s">
        <v>131</v>
      </c>
      <c r="I293">
        <v>4.0999999999999996</v>
      </c>
      <c r="J293">
        <v>0</v>
      </c>
      <c r="K293">
        <v>4.0999999999999996</v>
      </c>
      <c r="O293">
        <f t="shared" si="259"/>
        <v>9197</v>
      </c>
      <c r="P293">
        <f t="shared" si="260"/>
        <v>2855</v>
      </c>
      <c r="Q293">
        <f t="shared" si="261"/>
        <v>1833</v>
      </c>
      <c r="R293">
        <f t="shared" si="262"/>
        <v>462</v>
      </c>
      <c r="S293">
        <f t="shared" si="263"/>
        <v>4509</v>
      </c>
      <c r="T293">
        <f t="shared" si="264"/>
        <v>0</v>
      </c>
      <c r="U293">
        <f t="shared" si="265"/>
        <v>16.078149999999997</v>
      </c>
      <c r="V293">
        <f t="shared" si="266"/>
        <v>1.4144999999999999</v>
      </c>
      <c r="W293">
        <f t="shared" si="267"/>
        <v>0</v>
      </c>
      <c r="X293">
        <f t="shared" si="268"/>
        <v>6114</v>
      </c>
      <c r="Y293">
        <f t="shared" si="268"/>
        <v>3728</v>
      </c>
      <c r="AA293">
        <v>46416371</v>
      </c>
      <c r="AB293">
        <f t="shared" si="269"/>
        <v>149.10300000000001</v>
      </c>
      <c r="AC293">
        <f t="shared" si="270"/>
        <v>83.99</v>
      </c>
      <c r="AD293">
        <f>ROUND(((((ET293*1.15))-((EU293*1.15)))+AE293),6)</f>
        <v>33.465000000000003</v>
      </c>
      <c r="AE293">
        <f>ROUND(((EU293*1.15)),6)</f>
        <v>3.2429999999999999</v>
      </c>
      <c r="AF293">
        <f>ROUND(((EV293*1.15)),6)</f>
        <v>31.648</v>
      </c>
      <c r="AG293">
        <f t="shared" si="271"/>
        <v>0</v>
      </c>
      <c r="AH293">
        <f>((EW293*1.15))</f>
        <v>3.9215</v>
      </c>
      <c r="AI293">
        <f>((EX293*1.15))</f>
        <v>0.34499999999999997</v>
      </c>
      <c r="AJ293">
        <f t="shared" si="272"/>
        <v>0</v>
      </c>
      <c r="AK293">
        <v>140.61000000000001</v>
      </c>
      <c r="AL293">
        <v>83.99</v>
      </c>
      <c r="AM293">
        <v>29.1</v>
      </c>
      <c r="AN293">
        <v>2.82</v>
      </c>
      <c r="AO293">
        <v>27.52</v>
      </c>
      <c r="AP293">
        <v>0</v>
      </c>
      <c r="AQ293">
        <v>3.41</v>
      </c>
      <c r="AR293">
        <v>0.3</v>
      </c>
      <c r="AS293">
        <v>0</v>
      </c>
      <c r="AT293">
        <v>123</v>
      </c>
      <c r="AU293">
        <v>75</v>
      </c>
      <c r="AV293">
        <v>1</v>
      </c>
      <c r="AW293">
        <v>1</v>
      </c>
      <c r="AZ293">
        <v>1</v>
      </c>
      <c r="BA293">
        <v>34.75</v>
      </c>
      <c r="BB293">
        <v>13.36</v>
      </c>
      <c r="BC293">
        <v>8.2899999999999991</v>
      </c>
      <c r="BD293" t="s">
        <v>3</v>
      </c>
      <c r="BE293" t="s">
        <v>3</v>
      </c>
      <c r="BF293" t="s">
        <v>3</v>
      </c>
      <c r="BG293" t="s">
        <v>3</v>
      </c>
      <c r="BH293">
        <v>0</v>
      </c>
      <c r="BI293">
        <v>1</v>
      </c>
      <c r="BJ293" t="s">
        <v>132</v>
      </c>
      <c r="BM293">
        <v>11001</v>
      </c>
      <c r="BN293">
        <v>0</v>
      </c>
      <c r="BO293" t="s">
        <v>3</v>
      </c>
      <c r="BP293">
        <v>0</v>
      </c>
      <c r="BQ293">
        <v>2</v>
      </c>
      <c r="BR293">
        <v>0</v>
      </c>
      <c r="BS293">
        <v>34.75</v>
      </c>
      <c r="BT293">
        <v>1</v>
      </c>
      <c r="BU293">
        <v>1</v>
      </c>
      <c r="BV293">
        <v>1</v>
      </c>
      <c r="BW293">
        <v>1</v>
      </c>
      <c r="BX293">
        <v>1</v>
      </c>
      <c r="BY293" t="s">
        <v>3</v>
      </c>
      <c r="BZ293">
        <v>123</v>
      </c>
      <c r="CA293">
        <v>75</v>
      </c>
      <c r="CB293" t="s">
        <v>3</v>
      </c>
      <c r="CE293">
        <v>0</v>
      </c>
      <c r="CF293">
        <v>0</v>
      </c>
      <c r="CG293">
        <v>0</v>
      </c>
      <c r="CM293">
        <v>0</v>
      </c>
      <c r="CN293" t="s">
        <v>678</v>
      </c>
      <c r="CO293">
        <v>0</v>
      </c>
      <c r="CP293">
        <f t="shared" si="273"/>
        <v>9197</v>
      </c>
      <c r="CQ293">
        <f t="shared" si="274"/>
        <v>696.2770999999999</v>
      </c>
      <c r="CR293">
        <f t="shared" si="275"/>
        <v>447.09240000000005</v>
      </c>
      <c r="CS293">
        <f t="shared" si="276"/>
        <v>112.69425</v>
      </c>
      <c r="CT293">
        <f t="shared" si="277"/>
        <v>1099.768</v>
      </c>
      <c r="CU293">
        <f t="shared" si="278"/>
        <v>0</v>
      </c>
      <c r="CV293">
        <f t="shared" si="278"/>
        <v>3.9215</v>
      </c>
      <c r="CW293">
        <f t="shared" si="278"/>
        <v>0.34499999999999997</v>
      </c>
      <c r="CX293">
        <f t="shared" si="278"/>
        <v>0</v>
      </c>
      <c r="CY293">
        <f t="shared" si="279"/>
        <v>6114.33</v>
      </c>
      <c r="CZ293">
        <f t="shared" si="280"/>
        <v>3728.25</v>
      </c>
      <c r="DC293" t="s">
        <v>3</v>
      </c>
      <c r="DD293" t="s">
        <v>3</v>
      </c>
      <c r="DE293" t="s">
        <v>31</v>
      </c>
      <c r="DF293" t="s">
        <v>31</v>
      </c>
      <c r="DG293" t="s">
        <v>31</v>
      </c>
      <c r="DH293" t="s">
        <v>3</v>
      </c>
      <c r="DI293" t="s">
        <v>31</v>
      </c>
      <c r="DJ293" t="s">
        <v>31</v>
      </c>
      <c r="DK293" t="s">
        <v>3</v>
      </c>
      <c r="DL293" t="s">
        <v>3</v>
      </c>
      <c r="DM293" t="s">
        <v>3</v>
      </c>
      <c r="DN293">
        <v>0</v>
      </c>
      <c r="DO293">
        <v>0</v>
      </c>
      <c r="DP293">
        <v>1</v>
      </c>
      <c r="DQ293">
        <v>1</v>
      </c>
      <c r="DU293">
        <v>1013</v>
      </c>
      <c r="DV293" t="s">
        <v>131</v>
      </c>
      <c r="DW293" t="s">
        <v>131</v>
      </c>
      <c r="DX293">
        <v>1</v>
      </c>
      <c r="DZ293" t="s">
        <v>3</v>
      </c>
      <c r="EA293" t="s">
        <v>3</v>
      </c>
      <c r="EB293" t="s">
        <v>3</v>
      </c>
      <c r="EC293" t="s">
        <v>3</v>
      </c>
      <c r="EE293">
        <v>42475910</v>
      </c>
      <c r="EF293">
        <v>2</v>
      </c>
      <c r="EG293" t="s">
        <v>22</v>
      </c>
      <c r="EH293">
        <v>0</v>
      </c>
      <c r="EI293" t="s">
        <v>3</v>
      </c>
      <c r="EJ293">
        <v>1</v>
      </c>
      <c r="EK293">
        <v>11001</v>
      </c>
      <c r="EL293" t="s">
        <v>133</v>
      </c>
      <c r="EM293" t="s">
        <v>134</v>
      </c>
      <c r="EO293" t="s">
        <v>135</v>
      </c>
      <c r="EQ293">
        <v>0</v>
      </c>
      <c r="ER293">
        <v>140.61000000000001</v>
      </c>
      <c r="ES293">
        <v>83.99</v>
      </c>
      <c r="ET293">
        <v>29.1</v>
      </c>
      <c r="EU293">
        <v>2.82</v>
      </c>
      <c r="EV293">
        <v>27.52</v>
      </c>
      <c r="EW293">
        <v>3.41</v>
      </c>
      <c r="EX293">
        <v>0.3</v>
      </c>
      <c r="EY293">
        <v>0</v>
      </c>
      <c r="FQ293">
        <v>0</v>
      </c>
      <c r="FR293">
        <f t="shared" si="281"/>
        <v>0</v>
      </c>
      <c r="FS293">
        <v>0</v>
      </c>
      <c r="FX293">
        <v>123</v>
      </c>
      <c r="FY293">
        <v>75</v>
      </c>
      <c r="GA293" t="s">
        <v>3</v>
      </c>
      <c r="GD293">
        <v>1</v>
      </c>
      <c r="GF293">
        <v>-1993022624</v>
      </c>
      <c r="GG293">
        <v>2</v>
      </c>
      <c r="GH293">
        <v>1</v>
      </c>
      <c r="GI293">
        <v>4</v>
      </c>
      <c r="GJ293">
        <v>0</v>
      </c>
      <c r="GK293">
        <v>0</v>
      </c>
      <c r="GL293">
        <f t="shared" si="282"/>
        <v>0</v>
      </c>
      <c r="GM293">
        <f t="shared" si="283"/>
        <v>19039</v>
      </c>
      <c r="GN293">
        <f t="shared" si="284"/>
        <v>19039</v>
      </c>
      <c r="GO293">
        <f t="shared" si="285"/>
        <v>0</v>
      </c>
      <c r="GP293">
        <f t="shared" si="286"/>
        <v>0</v>
      </c>
      <c r="GR293">
        <v>0</v>
      </c>
      <c r="GS293">
        <v>3</v>
      </c>
      <c r="GT293">
        <v>0</v>
      </c>
      <c r="GU293" t="s">
        <v>3</v>
      </c>
      <c r="GV293">
        <f t="shared" si="287"/>
        <v>0</v>
      </c>
      <c r="GW293">
        <v>1</v>
      </c>
      <c r="GX293">
        <f t="shared" si="288"/>
        <v>0</v>
      </c>
      <c r="HA293">
        <v>0</v>
      </c>
      <c r="HB293">
        <v>0</v>
      </c>
      <c r="HC293">
        <f t="shared" si="289"/>
        <v>0</v>
      </c>
      <c r="HE293" t="s">
        <v>3</v>
      </c>
      <c r="HF293" t="s">
        <v>3</v>
      </c>
      <c r="HM293" t="s">
        <v>3</v>
      </c>
      <c r="HN293" t="s">
        <v>3</v>
      </c>
      <c r="HO293" t="s">
        <v>3</v>
      </c>
      <c r="HP293" t="s">
        <v>3</v>
      </c>
      <c r="HQ293" t="s">
        <v>3</v>
      </c>
      <c r="IK293">
        <v>0</v>
      </c>
    </row>
    <row r="294" spans="1:245" x14ac:dyDescent="0.2">
      <c r="A294">
        <v>18</v>
      </c>
      <c r="B294">
        <v>1</v>
      </c>
      <c r="C294">
        <v>196</v>
      </c>
      <c r="E294" t="s">
        <v>200</v>
      </c>
      <c r="F294" t="s">
        <v>137</v>
      </c>
      <c r="G294" t="s">
        <v>138</v>
      </c>
      <c r="H294" t="s">
        <v>139</v>
      </c>
      <c r="I294">
        <f>I293*J294</f>
        <v>-4.92</v>
      </c>
      <c r="J294">
        <v>-1.2000000000000002</v>
      </c>
      <c r="K294">
        <v>-1.2</v>
      </c>
      <c r="O294">
        <f t="shared" si="259"/>
        <v>-2848</v>
      </c>
      <c r="P294">
        <f t="shared" si="260"/>
        <v>-2848</v>
      </c>
      <c r="Q294">
        <f t="shared" si="261"/>
        <v>0</v>
      </c>
      <c r="R294">
        <f t="shared" si="262"/>
        <v>0</v>
      </c>
      <c r="S294">
        <f t="shared" si="263"/>
        <v>0</v>
      </c>
      <c r="T294">
        <f t="shared" si="264"/>
        <v>0</v>
      </c>
      <c r="U294">
        <f t="shared" si="265"/>
        <v>0</v>
      </c>
      <c r="V294">
        <f t="shared" si="266"/>
        <v>0</v>
      </c>
      <c r="W294">
        <f t="shared" si="267"/>
        <v>0</v>
      </c>
      <c r="X294">
        <f t="shared" si="268"/>
        <v>0</v>
      </c>
      <c r="Y294">
        <f t="shared" si="268"/>
        <v>0</v>
      </c>
      <c r="AA294">
        <v>46416371</v>
      </c>
      <c r="AB294">
        <f t="shared" si="269"/>
        <v>69.83</v>
      </c>
      <c r="AC294">
        <f t="shared" si="270"/>
        <v>69.83</v>
      </c>
      <c r="AD294">
        <f>ROUND((((ET294)-(EU294))+AE294),6)</f>
        <v>0</v>
      </c>
      <c r="AE294">
        <f>ROUND((EU294),6)</f>
        <v>0</v>
      </c>
      <c r="AF294">
        <f>ROUND((EV294),6)</f>
        <v>0</v>
      </c>
      <c r="AG294">
        <f t="shared" si="271"/>
        <v>0</v>
      </c>
      <c r="AH294">
        <f>(EW294)</f>
        <v>0</v>
      </c>
      <c r="AI294">
        <f>(EX294)</f>
        <v>0</v>
      </c>
      <c r="AJ294">
        <f t="shared" si="272"/>
        <v>0</v>
      </c>
      <c r="AK294">
        <v>69.83</v>
      </c>
      <c r="AL294">
        <v>69.83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1</v>
      </c>
      <c r="AW294">
        <v>1</v>
      </c>
      <c r="AZ294">
        <v>1</v>
      </c>
      <c r="BA294">
        <v>1</v>
      </c>
      <c r="BB294">
        <v>1</v>
      </c>
      <c r="BC294">
        <v>8.2899999999999991</v>
      </c>
      <c r="BD294" t="s">
        <v>3</v>
      </c>
      <c r="BE294" t="s">
        <v>3</v>
      </c>
      <c r="BF294" t="s">
        <v>3</v>
      </c>
      <c r="BG294" t="s">
        <v>3</v>
      </c>
      <c r="BH294">
        <v>3</v>
      </c>
      <c r="BI294">
        <v>1</v>
      </c>
      <c r="BJ294" t="s">
        <v>140</v>
      </c>
      <c r="BM294">
        <v>500001</v>
      </c>
      <c r="BN294">
        <v>0</v>
      </c>
      <c r="BO294" t="s">
        <v>3</v>
      </c>
      <c r="BP294">
        <v>0</v>
      </c>
      <c r="BQ294">
        <v>8</v>
      </c>
      <c r="BR294">
        <v>1</v>
      </c>
      <c r="BS294">
        <v>1</v>
      </c>
      <c r="BT294">
        <v>1</v>
      </c>
      <c r="BU294">
        <v>1</v>
      </c>
      <c r="BV294">
        <v>1</v>
      </c>
      <c r="BW294">
        <v>1</v>
      </c>
      <c r="BX294">
        <v>1</v>
      </c>
      <c r="BY294" t="s">
        <v>3</v>
      </c>
      <c r="BZ294">
        <v>0</v>
      </c>
      <c r="CA294">
        <v>0</v>
      </c>
      <c r="CB294" t="s">
        <v>3</v>
      </c>
      <c r="CE294">
        <v>0</v>
      </c>
      <c r="CF294">
        <v>0</v>
      </c>
      <c r="CG294">
        <v>0</v>
      </c>
      <c r="CM294">
        <v>0</v>
      </c>
      <c r="CN294" t="s">
        <v>3</v>
      </c>
      <c r="CO294">
        <v>0</v>
      </c>
      <c r="CP294">
        <f t="shared" si="273"/>
        <v>-2848</v>
      </c>
      <c r="CQ294">
        <f t="shared" si="274"/>
        <v>578.89069999999992</v>
      </c>
      <c r="CR294">
        <f t="shared" si="275"/>
        <v>0</v>
      </c>
      <c r="CS294">
        <f t="shared" si="276"/>
        <v>0</v>
      </c>
      <c r="CT294">
        <f t="shared" si="277"/>
        <v>0</v>
      </c>
      <c r="CU294">
        <f t="shared" si="278"/>
        <v>0</v>
      </c>
      <c r="CV294">
        <f t="shared" si="278"/>
        <v>0</v>
      </c>
      <c r="CW294">
        <f t="shared" si="278"/>
        <v>0</v>
      </c>
      <c r="CX294">
        <f t="shared" si="278"/>
        <v>0</v>
      </c>
      <c r="CY294">
        <f t="shared" si="279"/>
        <v>0</v>
      </c>
      <c r="CZ294">
        <f t="shared" si="280"/>
        <v>0</v>
      </c>
      <c r="DC294" t="s">
        <v>3</v>
      </c>
      <c r="DD294" t="s">
        <v>3</v>
      </c>
      <c r="DE294" t="s">
        <v>3</v>
      </c>
      <c r="DF294" t="s">
        <v>3</v>
      </c>
      <c r="DG294" t="s">
        <v>3</v>
      </c>
      <c r="DH294" t="s">
        <v>3</v>
      </c>
      <c r="DI294" t="s">
        <v>3</v>
      </c>
      <c r="DJ294" t="s">
        <v>3</v>
      </c>
      <c r="DK294" t="s">
        <v>3</v>
      </c>
      <c r="DL294" t="s">
        <v>3</v>
      </c>
      <c r="DM294" t="s">
        <v>3</v>
      </c>
      <c r="DN294">
        <v>0</v>
      </c>
      <c r="DO294">
        <v>0</v>
      </c>
      <c r="DP294">
        <v>1</v>
      </c>
      <c r="DQ294">
        <v>1</v>
      </c>
      <c r="DU294">
        <v>1007</v>
      </c>
      <c r="DV294" t="s">
        <v>139</v>
      </c>
      <c r="DW294" t="s">
        <v>139</v>
      </c>
      <c r="DX294">
        <v>1</v>
      </c>
      <c r="DZ294" t="s">
        <v>3</v>
      </c>
      <c r="EA294" t="s">
        <v>3</v>
      </c>
      <c r="EB294" t="s">
        <v>3</v>
      </c>
      <c r="EC294" t="s">
        <v>3</v>
      </c>
      <c r="EE294">
        <v>42475842</v>
      </c>
      <c r="EF294">
        <v>8</v>
      </c>
      <c r="EG294" t="s">
        <v>141</v>
      </c>
      <c r="EH294">
        <v>0</v>
      </c>
      <c r="EI294" t="s">
        <v>3</v>
      </c>
      <c r="EJ294">
        <v>1</v>
      </c>
      <c r="EK294">
        <v>500001</v>
      </c>
      <c r="EL294" t="s">
        <v>142</v>
      </c>
      <c r="EM294" t="s">
        <v>143</v>
      </c>
      <c r="EO294" t="s">
        <v>3</v>
      </c>
      <c r="EQ294">
        <v>32768</v>
      </c>
      <c r="ER294">
        <v>69.83</v>
      </c>
      <c r="ES294">
        <v>69.83</v>
      </c>
      <c r="ET294">
        <v>0</v>
      </c>
      <c r="EU294">
        <v>0</v>
      </c>
      <c r="EV294">
        <v>0</v>
      </c>
      <c r="EW294">
        <v>0</v>
      </c>
      <c r="EX294">
        <v>0</v>
      </c>
      <c r="FQ294">
        <v>0</v>
      </c>
      <c r="FR294">
        <f t="shared" si="281"/>
        <v>0</v>
      </c>
      <c r="FS294">
        <v>0</v>
      </c>
      <c r="FX294">
        <v>0</v>
      </c>
      <c r="FY294">
        <v>0</v>
      </c>
      <c r="GA294" t="s">
        <v>3</v>
      </c>
      <c r="GD294">
        <v>1</v>
      </c>
      <c r="GF294">
        <v>894824937</v>
      </c>
      <c r="GG294">
        <v>2</v>
      </c>
      <c r="GH294">
        <v>1</v>
      </c>
      <c r="GI294">
        <v>4</v>
      </c>
      <c r="GJ294">
        <v>0</v>
      </c>
      <c r="GK294">
        <v>0</v>
      </c>
      <c r="GL294">
        <f t="shared" si="282"/>
        <v>0</v>
      </c>
      <c r="GM294">
        <f t="shared" si="283"/>
        <v>-2848</v>
      </c>
      <c r="GN294">
        <f t="shared" si="284"/>
        <v>-2848</v>
      </c>
      <c r="GO294">
        <f t="shared" si="285"/>
        <v>0</v>
      </c>
      <c r="GP294">
        <f t="shared" si="286"/>
        <v>0</v>
      </c>
      <c r="GR294">
        <v>0</v>
      </c>
      <c r="GS294">
        <v>3</v>
      </c>
      <c r="GT294">
        <v>0</v>
      </c>
      <c r="GU294" t="s">
        <v>3</v>
      </c>
      <c r="GV294">
        <f t="shared" si="287"/>
        <v>0</v>
      </c>
      <c r="GW294">
        <v>1</v>
      </c>
      <c r="GX294">
        <f t="shared" si="288"/>
        <v>0</v>
      </c>
      <c r="HA294">
        <v>0</v>
      </c>
      <c r="HB294">
        <v>0</v>
      </c>
      <c r="HC294">
        <f t="shared" si="289"/>
        <v>0</v>
      </c>
      <c r="HE294" t="s">
        <v>3</v>
      </c>
      <c r="HF294" t="s">
        <v>3</v>
      </c>
      <c r="HM294" t="s">
        <v>3</v>
      </c>
      <c r="HN294" t="s">
        <v>3</v>
      </c>
      <c r="HO294" t="s">
        <v>3</v>
      </c>
      <c r="HP294" t="s">
        <v>3</v>
      </c>
      <c r="HQ294" t="s">
        <v>3</v>
      </c>
      <c r="IK294">
        <v>0</v>
      </c>
    </row>
    <row r="295" spans="1:245" x14ac:dyDescent="0.2">
      <c r="A295">
        <v>18</v>
      </c>
      <c r="B295">
        <v>1</v>
      </c>
      <c r="C295">
        <v>198</v>
      </c>
      <c r="E295" t="s">
        <v>201</v>
      </c>
      <c r="F295" t="s">
        <v>145</v>
      </c>
      <c r="G295" t="s">
        <v>146</v>
      </c>
      <c r="H295" t="s">
        <v>139</v>
      </c>
      <c r="I295">
        <f>I293*J295</f>
        <v>4.92</v>
      </c>
      <c r="J295">
        <v>1.2000000000000002</v>
      </c>
      <c r="K295">
        <v>1.2</v>
      </c>
      <c r="O295">
        <f t="shared" si="259"/>
        <v>4100</v>
      </c>
      <c r="P295">
        <f t="shared" si="260"/>
        <v>4100</v>
      </c>
      <c r="Q295">
        <f t="shared" si="261"/>
        <v>0</v>
      </c>
      <c r="R295">
        <f t="shared" si="262"/>
        <v>0</v>
      </c>
      <c r="S295">
        <f t="shared" si="263"/>
        <v>0</v>
      </c>
      <c r="T295">
        <f t="shared" si="264"/>
        <v>0</v>
      </c>
      <c r="U295">
        <f t="shared" si="265"/>
        <v>0</v>
      </c>
      <c r="V295">
        <f t="shared" si="266"/>
        <v>0</v>
      </c>
      <c r="W295">
        <f t="shared" si="267"/>
        <v>0</v>
      </c>
      <c r="X295">
        <f t="shared" si="268"/>
        <v>0</v>
      </c>
      <c r="Y295">
        <f t="shared" si="268"/>
        <v>0</v>
      </c>
      <c r="AA295">
        <v>46416371</v>
      </c>
      <c r="AB295">
        <f t="shared" si="269"/>
        <v>833.33</v>
      </c>
      <c r="AC295">
        <f t="shared" si="270"/>
        <v>833.33</v>
      </c>
      <c r="AD295">
        <f>ROUND((((ET295)-(EU295))+AE295),6)</f>
        <v>0</v>
      </c>
      <c r="AE295">
        <f>ROUND((EU295),6)</f>
        <v>0</v>
      </c>
      <c r="AF295">
        <f>ROUND((EV295),6)</f>
        <v>0</v>
      </c>
      <c r="AG295">
        <f t="shared" si="271"/>
        <v>0</v>
      </c>
      <c r="AH295">
        <f>(EW295)</f>
        <v>0</v>
      </c>
      <c r="AI295">
        <f>(EX295)</f>
        <v>0</v>
      </c>
      <c r="AJ295">
        <f t="shared" si="272"/>
        <v>0</v>
      </c>
      <c r="AK295">
        <v>833.33</v>
      </c>
      <c r="AL295">
        <v>833.33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1</v>
      </c>
      <c r="AW295">
        <v>1</v>
      </c>
      <c r="AZ295">
        <v>1</v>
      </c>
      <c r="BA295">
        <v>1</v>
      </c>
      <c r="BB295">
        <v>1</v>
      </c>
      <c r="BC295">
        <v>1</v>
      </c>
      <c r="BD295" t="s">
        <v>3</v>
      </c>
      <c r="BE295" t="s">
        <v>3</v>
      </c>
      <c r="BF295" t="s">
        <v>3</v>
      </c>
      <c r="BG295" t="s">
        <v>3</v>
      </c>
      <c r="BH295">
        <v>3</v>
      </c>
      <c r="BI295">
        <v>4</v>
      </c>
      <c r="BJ295" t="s">
        <v>3</v>
      </c>
      <c r="BM295">
        <v>0</v>
      </c>
      <c r="BN295">
        <v>0</v>
      </c>
      <c r="BO295" t="s">
        <v>3</v>
      </c>
      <c r="BP295">
        <v>0</v>
      </c>
      <c r="BQ295">
        <v>16</v>
      </c>
      <c r="BR295">
        <v>0</v>
      </c>
      <c r="BS295">
        <v>1</v>
      </c>
      <c r="BT295">
        <v>1</v>
      </c>
      <c r="BU295">
        <v>1</v>
      </c>
      <c r="BV295">
        <v>1</v>
      </c>
      <c r="BW295">
        <v>1</v>
      </c>
      <c r="BX295">
        <v>1</v>
      </c>
      <c r="BY295" t="s">
        <v>3</v>
      </c>
      <c r="BZ295">
        <v>0</v>
      </c>
      <c r="CA295">
        <v>0</v>
      </c>
      <c r="CB295" t="s">
        <v>3</v>
      </c>
      <c r="CE295">
        <v>0</v>
      </c>
      <c r="CF295">
        <v>0</v>
      </c>
      <c r="CG295">
        <v>0</v>
      </c>
      <c r="CM295">
        <v>0</v>
      </c>
      <c r="CN295" t="s">
        <v>3</v>
      </c>
      <c r="CO295">
        <v>0</v>
      </c>
      <c r="CP295">
        <f t="shared" si="273"/>
        <v>4100</v>
      </c>
      <c r="CQ295">
        <f t="shared" si="274"/>
        <v>833.33</v>
      </c>
      <c r="CR295">
        <f t="shared" si="275"/>
        <v>0</v>
      </c>
      <c r="CS295">
        <f t="shared" si="276"/>
        <v>0</v>
      </c>
      <c r="CT295">
        <f t="shared" si="277"/>
        <v>0</v>
      </c>
      <c r="CU295">
        <f t="shared" si="278"/>
        <v>0</v>
      </c>
      <c r="CV295">
        <f t="shared" si="278"/>
        <v>0</v>
      </c>
      <c r="CW295">
        <f t="shared" si="278"/>
        <v>0</v>
      </c>
      <c r="CX295">
        <f t="shared" si="278"/>
        <v>0</v>
      </c>
      <c r="CY295">
        <f t="shared" si="279"/>
        <v>0</v>
      </c>
      <c r="CZ295">
        <f t="shared" si="280"/>
        <v>0</v>
      </c>
      <c r="DC295" t="s">
        <v>3</v>
      </c>
      <c r="DD295" t="s">
        <v>3</v>
      </c>
      <c r="DE295" t="s">
        <v>3</v>
      </c>
      <c r="DF295" t="s">
        <v>3</v>
      </c>
      <c r="DG295" t="s">
        <v>3</v>
      </c>
      <c r="DH295" t="s">
        <v>3</v>
      </c>
      <c r="DI295" t="s">
        <v>3</v>
      </c>
      <c r="DJ295" t="s">
        <v>3</v>
      </c>
      <c r="DK295" t="s">
        <v>3</v>
      </c>
      <c r="DL295" t="s">
        <v>3</v>
      </c>
      <c r="DM295" t="s">
        <v>3</v>
      </c>
      <c r="DN295">
        <v>0</v>
      </c>
      <c r="DO295">
        <v>0</v>
      </c>
      <c r="DP295">
        <v>1</v>
      </c>
      <c r="DQ295">
        <v>1</v>
      </c>
      <c r="DU295">
        <v>1007</v>
      </c>
      <c r="DV295" t="s">
        <v>139</v>
      </c>
      <c r="DW295" t="s">
        <v>139</v>
      </c>
      <c r="DX295">
        <v>1</v>
      </c>
      <c r="DZ295" t="s">
        <v>3</v>
      </c>
      <c r="EA295" t="s">
        <v>3</v>
      </c>
      <c r="EB295" t="s">
        <v>3</v>
      </c>
      <c r="EC295" t="s">
        <v>3</v>
      </c>
      <c r="EE295">
        <v>42475850</v>
      </c>
      <c r="EF295">
        <v>16</v>
      </c>
      <c r="EG295" t="s">
        <v>147</v>
      </c>
      <c r="EH295">
        <v>0</v>
      </c>
      <c r="EI295" t="s">
        <v>3</v>
      </c>
      <c r="EJ295">
        <v>4</v>
      </c>
      <c r="EK295">
        <v>0</v>
      </c>
      <c r="EL295" t="s">
        <v>148</v>
      </c>
      <c r="EM295" t="s">
        <v>149</v>
      </c>
      <c r="EO295" t="s">
        <v>3</v>
      </c>
      <c r="EQ295">
        <v>0</v>
      </c>
      <c r="ER295">
        <v>833.33</v>
      </c>
      <c r="ES295">
        <v>833.33</v>
      </c>
      <c r="ET295">
        <v>0</v>
      </c>
      <c r="EU295">
        <v>0</v>
      </c>
      <c r="EV295">
        <v>0</v>
      </c>
      <c r="EW295">
        <v>0</v>
      </c>
      <c r="EX295">
        <v>0</v>
      </c>
      <c r="EZ295">
        <v>5</v>
      </c>
      <c r="FC295">
        <v>1</v>
      </c>
      <c r="FD295">
        <v>18</v>
      </c>
      <c r="FF295">
        <v>1000</v>
      </c>
      <c r="FQ295">
        <v>0</v>
      </c>
      <c r="FR295">
        <f t="shared" si="281"/>
        <v>0</v>
      </c>
      <c r="FS295">
        <v>0</v>
      </c>
      <c r="FX295">
        <v>0</v>
      </c>
      <c r="FY295">
        <v>0</v>
      </c>
      <c r="GA295" t="s">
        <v>150</v>
      </c>
      <c r="GD295">
        <v>1</v>
      </c>
      <c r="GF295">
        <v>-1718654303</v>
      </c>
      <c r="GG295">
        <v>2</v>
      </c>
      <c r="GH295">
        <v>3</v>
      </c>
      <c r="GI295">
        <v>4</v>
      </c>
      <c r="GJ295">
        <v>0</v>
      </c>
      <c r="GK295">
        <v>0</v>
      </c>
      <c r="GL295">
        <f t="shared" si="282"/>
        <v>0</v>
      </c>
      <c r="GM295">
        <f t="shared" si="283"/>
        <v>4100</v>
      </c>
      <c r="GN295">
        <f t="shared" si="284"/>
        <v>0</v>
      </c>
      <c r="GO295">
        <f t="shared" si="285"/>
        <v>0</v>
      </c>
      <c r="GP295">
        <f t="shared" si="286"/>
        <v>4100</v>
      </c>
      <c r="GR295">
        <v>1</v>
      </c>
      <c r="GS295">
        <v>1</v>
      </c>
      <c r="GT295">
        <v>0</v>
      </c>
      <c r="GU295" t="s">
        <v>3</v>
      </c>
      <c r="GV295">
        <f t="shared" si="287"/>
        <v>0</v>
      </c>
      <c r="GW295">
        <v>1</v>
      </c>
      <c r="GX295">
        <f t="shared" si="288"/>
        <v>0</v>
      </c>
      <c r="HA295">
        <v>0</v>
      </c>
      <c r="HB295">
        <v>0</v>
      </c>
      <c r="HC295">
        <f t="shared" si="289"/>
        <v>0</v>
      </c>
      <c r="HE295" t="s">
        <v>151</v>
      </c>
      <c r="HF295" t="s">
        <v>151</v>
      </c>
      <c r="HM295" t="s">
        <v>3</v>
      </c>
      <c r="HN295" t="s">
        <v>3</v>
      </c>
      <c r="HO295" t="s">
        <v>3</v>
      </c>
      <c r="HP295" t="s">
        <v>3</v>
      </c>
      <c r="HQ295" t="s">
        <v>3</v>
      </c>
      <c r="IK295">
        <v>0</v>
      </c>
    </row>
    <row r="296" spans="1:245" s="53" customFormat="1" x14ac:dyDescent="0.2">
      <c r="A296" s="53">
        <v>17</v>
      </c>
      <c r="B296" s="53">
        <v>1</v>
      </c>
      <c r="C296" s="53">
        <f>ROW(SmtRes!A207)</f>
        <v>207</v>
      </c>
      <c r="D296" s="53">
        <f>ROW(EtalonRes!A194)</f>
        <v>194</v>
      </c>
      <c r="E296" s="53" t="s">
        <v>56</v>
      </c>
      <c r="F296" s="53" t="s">
        <v>244</v>
      </c>
      <c r="G296" s="53" t="s">
        <v>245</v>
      </c>
      <c r="H296" s="53" t="s">
        <v>246</v>
      </c>
      <c r="I296" s="53">
        <v>2.6</v>
      </c>
      <c r="J296" s="53">
        <v>0</v>
      </c>
      <c r="K296" s="53">
        <f>ROUND(58/100,9)</f>
        <v>0.57999999999999996</v>
      </c>
      <c r="O296" s="53">
        <f t="shared" si="259"/>
        <v>139072</v>
      </c>
      <c r="P296" s="53">
        <f t="shared" si="260"/>
        <v>64118</v>
      </c>
      <c r="Q296" s="53">
        <f t="shared" si="261"/>
        <v>3138</v>
      </c>
      <c r="R296" s="53">
        <f t="shared" si="262"/>
        <v>1114</v>
      </c>
      <c r="S296" s="53">
        <f t="shared" si="263"/>
        <v>71816</v>
      </c>
      <c r="T296" s="53">
        <f t="shared" si="264"/>
        <v>0</v>
      </c>
      <c r="U296" s="53">
        <f t="shared" si="265"/>
        <v>261.60107999999997</v>
      </c>
      <c r="V296" s="53">
        <f t="shared" si="266"/>
        <v>2.5415000000000001</v>
      </c>
      <c r="W296" s="53">
        <f t="shared" si="267"/>
        <v>0</v>
      </c>
      <c r="X296" s="53">
        <f t="shared" si="268"/>
        <v>103561</v>
      </c>
      <c r="Y296" s="53">
        <f t="shared" si="268"/>
        <v>69284</v>
      </c>
      <c r="AA296" s="53">
        <v>46416371</v>
      </c>
      <c r="AB296" s="53">
        <f t="shared" si="269"/>
        <v>3859.9646750000002</v>
      </c>
      <c r="AC296" s="53">
        <f t="shared" si="270"/>
        <v>2974.77</v>
      </c>
      <c r="AD296" s="53">
        <f>ROUND((((((ET296*1.25)*1.15))-(((EU296*1.25)*1.15)))+AE296),6)</f>
        <v>90.332499999999996</v>
      </c>
      <c r="AE296" s="53">
        <f>ROUND((((EU296*1.25)*1.15)),6)</f>
        <v>12.33375</v>
      </c>
      <c r="AF296" s="53">
        <f>ROUND((((EV296*1.15)*1.15)),6)</f>
        <v>794.86217499999998</v>
      </c>
      <c r="AG296" s="53">
        <f t="shared" si="271"/>
        <v>0</v>
      </c>
      <c r="AH296" s="53">
        <f>(((EW296*1.15)*1.15))</f>
        <v>100.61579999999998</v>
      </c>
      <c r="AI296" s="53">
        <f>(((EX296*1.25)*1.15))</f>
        <v>0.97750000000000004</v>
      </c>
      <c r="AJ296" s="53">
        <f t="shared" si="272"/>
        <v>0</v>
      </c>
      <c r="AK296" s="53">
        <v>3638.64</v>
      </c>
      <c r="AL296" s="53">
        <v>2974.77</v>
      </c>
      <c r="AM296" s="53">
        <v>62.84</v>
      </c>
      <c r="AN296" s="53">
        <v>8.58</v>
      </c>
      <c r="AO296" s="53">
        <v>601.03</v>
      </c>
      <c r="AP296" s="53">
        <v>0</v>
      </c>
      <c r="AQ296" s="53">
        <v>76.08</v>
      </c>
      <c r="AR296" s="53">
        <v>0.68</v>
      </c>
      <c r="AS296" s="53">
        <v>0</v>
      </c>
      <c r="AT296" s="53">
        <v>142</v>
      </c>
      <c r="AU296" s="53">
        <v>95</v>
      </c>
      <c r="AV296" s="53">
        <v>1</v>
      </c>
      <c r="AW296" s="53">
        <v>1</v>
      </c>
      <c r="AZ296" s="53">
        <v>1</v>
      </c>
      <c r="BA296" s="53">
        <v>34.75</v>
      </c>
      <c r="BB296" s="53">
        <v>13.36</v>
      </c>
      <c r="BC296" s="53">
        <v>8.2899999999999991</v>
      </c>
      <c r="BD296" s="53" t="s">
        <v>3</v>
      </c>
      <c r="BE296" s="53" t="s">
        <v>3</v>
      </c>
      <c r="BF296" s="53" t="s">
        <v>3</v>
      </c>
      <c r="BG296" s="53" t="s">
        <v>3</v>
      </c>
      <c r="BH296" s="53">
        <v>0</v>
      </c>
      <c r="BI296" s="53">
        <v>1</v>
      </c>
      <c r="BJ296" s="53" t="s">
        <v>247</v>
      </c>
      <c r="BM296" s="53">
        <v>27001</v>
      </c>
      <c r="BN296" s="53">
        <v>0</v>
      </c>
      <c r="BO296" s="53" t="s">
        <v>3</v>
      </c>
      <c r="BP296" s="53">
        <v>0</v>
      </c>
      <c r="BQ296" s="53">
        <v>2</v>
      </c>
      <c r="BR296" s="53">
        <v>0</v>
      </c>
      <c r="BS296" s="53">
        <v>34.75</v>
      </c>
      <c r="BT296" s="53">
        <v>1</v>
      </c>
      <c r="BU296" s="53">
        <v>1</v>
      </c>
      <c r="BV296" s="53">
        <v>1</v>
      </c>
      <c r="BW296" s="53">
        <v>1</v>
      </c>
      <c r="BX296" s="53">
        <v>1</v>
      </c>
      <c r="BY296" s="53" t="s">
        <v>3</v>
      </c>
      <c r="BZ296" s="53">
        <v>142</v>
      </c>
      <c r="CA296" s="53">
        <v>95</v>
      </c>
      <c r="CB296" s="53" t="s">
        <v>3</v>
      </c>
      <c r="CE296" s="53">
        <v>0</v>
      </c>
      <c r="CF296" s="53">
        <v>0</v>
      </c>
      <c r="CG296" s="53">
        <v>0</v>
      </c>
      <c r="CM296" s="53">
        <v>0</v>
      </c>
      <c r="CN296" s="53" t="s">
        <v>683</v>
      </c>
      <c r="CO296" s="53">
        <v>0</v>
      </c>
      <c r="CP296" s="53">
        <f t="shared" si="273"/>
        <v>139072</v>
      </c>
      <c r="CQ296" s="53">
        <f t="shared" si="274"/>
        <v>24660.843299999997</v>
      </c>
      <c r="CR296" s="53">
        <f t="shared" si="275"/>
        <v>1206.8421999999998</v>
      </c>
      <c r="CS296" s="53">
        <f t="shared" si="276"/>
        <v>428.59781250000003</v>
      </c>
      <c r="CT296" s="53">
        <f t="shared" si="277"/>
        <v>27621.460581249998</v>
      </c>
      <c r="CU296" s="53">
        <f t="shared" si="278"/>
        <v>0</v>
      </c>
      <c r="CV296" s="53">
        <f t="shared" si="278"/>
        <v>100.61579999999998</v>
      </c>
      <c r="CW296" s="53">
        <f t="shared" si="278"/>
        <v>0.97750000000000004</v>
      </c>
      <c r="CX296" s="53">
        <f t="shared" si="278"/>
        <v>0</v>
      </c>
      <c r="CY296" s="53">
        <f t="shared" si="279"/>
        <v>103560.6</v>
      </c>
      <c r="CZ296" s="53">
        <f t="shared" si="280"/>
        <v>69283.5</v>
      </c>
      <c r="DC296" s="53" t="s">
        <v>3</v>
      </c>
      <c r="DD296" s="53" t="s">
        <v>3</v>
      </c>
      <c r="DE296" s="53" t="s">
        <v>170</v>
      </c>
      <c r="DF296" s="53" t="s">
        <v>170</v>
      </c>
      <c r="DG296" s="53" t="s">
        <v>161</v>
      </c>
      <c r="DH296" s="53" t="s">
        <v>3</v>
      </c>
      <c r="DI296" s="53" t="s">
        <v>161</v>
      </c>
      <c r="DJ296" s="53" t="s">
        <v>170</v>
      </c>
      <c r="DK296" s="53" t="s">
        <v>3</v>
      </c>
      <c r="DL296" s="53" t="s">
        <v>3</v>
      </c>
      <c r="DM296" s="53" t="s">
        <v>3</v>
      </c>
      <c r="DN296" s="53">
        <v>0</v>
      </c>
      <c r="DO296" s="53">
        <v>0</v>
      </c>
      <c r="DP296" s="53">
        <v>1</v>
      </c>
      <c r="DQ296" s="53">
        <v>1</v>
      </c>
      <c r="DU296" s="53">
        <v>1013</v>
      </c>
      <c r="DV296" s="53" t="s">
        <v>246</v>
      </c>
      <c r="DW296" s="53" t="s">
        <v>246</v>
      </c>
      <c r="DX296" s="53">
        <v>1</v>
      </c>
      <c r="DZ296" s="53" t="s">
        <v>3</v>
      </c>
      <c r="EA296" s="53" t="s">
        <v>3</v>
      </c>
      <c r="EB296" s="53" t="s">
        <v>3</v>
      </c>
      <c r="EC296" s="53" t="s">
        <v>3</v>
      </c>
      <c r="EE296" s="53">
        <v>42475950</v>
      </c>
      <c r="EF296" s="53">
        <v>2</v>
      </c>
      <c r="EG296" s="53" t="s">
        <v>22</v>
      </c>
      <c r="EH296" s="53">
        <v>0</v>
      </c>
      <c r="EI296" s="53" t="s">
        <v>3</v>
      </c>
      <c r="EJ296" s="53">
        <v>1</v>
      </c>
      <c r="EK296" s="53">
        <v>27001</v>
      </c>
      <c r="EL296" s="53" t="s">
        <v>248</v>
      </c>
      <c r="EM296" s="53" t="s">
        <v>249</v>
      </c>
      <c r="EO296" s="53" t="s">
        <v>250</v>
      </c>
      <c r="EQ296" s="53">
        <v>0</v>
      </c>
      <c r="ER296" s="53">
        <v>3638.64</v>
      </c>
      <c r="ES296" s="53">
        <v>2974.77</v>
      </c>
      <c r="ET296" s="53">
        <v>62.84</v>
      </c>
      <c r="EU296" s="53">
        <v>8.58</v>
      </c>
      <c r="EV296" s="53">
        <v>601.03</v>
      </c>
      <c r="EW296" s="53">
        <v>76.08</v>
      </c>
      <c r="EX296" s="53">
        <v>0.68</v>
      </c>
      <c r="EY296" s="53">
        <v>0</v>
      </c>
      <c r="FQ296" s="53">
        <v>0</v>
      </c>
      <c r="FR296" s="53">
        <f t="shared" si="281"/>
        <v>0</v>
      </c>
      <c r="FS296" s="53">
        <v>0</v>
      </c>
      <c r="FX296" s="53">
        <v>142</v>
      </c>
      <c r="FY296" s="53">
        <v>95</v>
      </c>
      <c r="GA296" s="53" t="s">
        <v>3</v>
      </c>
      <c r="GD296" s="53">
        <v>1</v>
      </c>
      <c r="GF296" s="53">
        <v>1848288086</v>
      </c>
      <c r="GG296" s="53">
        <v>2</v>
      </c>
      <c r="GH296" s="53">
        <v>1</v>
      </c>
      <c r="GI296" s="53">
        <v>4</v>
      </c>
      <c r="GJ296" s="53">
        <v>0</v>
      </c>
      <c r="GK296" s="53">
        <v>0</v>
      </c>
      <c r="GL296" s="53">
        <f t="shared" si="282"/>
        <v>0</v>
      </c>
      <c r="GM296" s="53">
        <f t="shared" si="283"/>
        <v>311917</v>
      </c>
      <c r="GN296" s="53">
        <f t="shared" si="284"/>
        <v>311917</v>
      </c>
      <c r="GO296" s="53">
        <f t="shared" si="285"/>
        <v>0</v>
      </c>
      <c r="GP296" s="53">
        <f t="shared" si="286"/>
        <v>0</v>
      </c>
      <c r="GR296" s="53">
        <v>0</v>
      </c>
      <c r="GS296" s="53">
        <v>3</v>
      </c>
      <c r="GT296" s="53">
        <v>0</v>
      </c>
      <c r="GU296" s="53" t="s">
        <v>3</v>
      </c>
      <c r="GV296" s="53">
        <f t="shared" si="287"/>
        <v>0</v>
      </c>
      <c r="GW296" s="53">
        <v>1</v>
      </c>
      <c r="GX296" s="53">
        <f t="shared" si="288"/>
        <v>0</v>
      </c>
      <c r="HA296" s="53">
        <v>0</v>
      </c>
      <c r="HB296" s="53">
        <v>0</v>
      </c>
      <c r="HC296" s="53">
        <f t="shared" si="289"/>
        <v>0</v>
      </c>
      <c r="HE296" s="53" t="s">
        <v>3</v>
      </c>
      <c r="HF296" s="53" t="s">
        <v>3</v>
      </c>
      <c r="HM296" s="53" t="s">
        <v>3</v>
      </c>
      <c r="HN296" s="53" t="s">
        <v>3</v>
      </c>
      <c r="HO296" s="53" t="s">
        <v>3</v>
      </c>
      <c r="HP296" s="53" t="s">
        <v>3</v>
      </c>
      <c r="HQ296" s="53" t="s">
        <v>3</v>
      </c>
      <c r="IK296" s="53">
        <v>0</v>
      </c>
    </row>
    <row r="297" spans="1:245" x14ac:dyDescent="0.2">
      <c r="A297">
        <v>18</v>
      </c>
      <c r="B297">
        <v>1</v>
      </c>
      <c r="C297">
        <v>207</v>
      </c>
      <c r="E297" t="s">
        <v>136</v>
      </c>
      <c r="F297" t="s">
        <v>145</v>
      </c>
      <c r="G297" t="s">
        <v>251</v>
      </c>
      <c r="H297" t="s">
        <v>252</v>
      </c>
      <c r="I297">
        <f>I296*J297</f>
        <v>260</v>
      </c>
      <c r="J297">
        <v>100</v>
      </c>
      <c r="K297">
        <v>100</v>
      </c>
      <c r="O297">
        <f t="shared" si="259"/>
        <v>121327</v>
      </c>
      <c r="P297">
        <f t="shared" si="260"/>
        <v>121327</v>
      </c>
      <c r="Q297">
        <f t="shared" si="261"/>
        <v>0</v>
      </c>
      <c r="R297">
        <f t="shared" si="262"/>
        <v>0</v>
      </c>
      <c r="S297">
        <f t="shared" si="263"/>
        <v>0</v>
      </c>
      <c r="T297">
        <f t="shared" si="264"/>
        <v>0</v>
      </c>
      <c r="U297">
        <f t="shared" si="265"/>
        <v>0</v>
      </c>
      <c r="V297">
        <f t="shared" si="266"/>
        <v>0</v>
      </c>
      <c r="W297">
        <f t="shared" si="267"/>
        <v>0</v>
      </c>
      <c r="X297">
        <f t="shared" si="268"/>
        <v>0</v>
      </c>
      <c r="Y297">
        <f t="shared" si="268"/>
        <v>0</v>
      </c>
      <c r="AA297">
        <v>46416371</v>
      </c>
      <c r="AB297">
        <f t="shared" si="269"/>
        <v>56.29</v>
      </c>
      <c r="AC297">
        <f t="shared" si="270"/>
        <v>56.29</v>
      </c>
      <c r="AD297">
        <f>ROUND((((ET297)-(EU297))+AE297),6)</f>
        <v>0</v>
      </c>
      <c r="AE297">
        <f>ROUND((EU297),6)</f>
        <v>0</v>
      </c>
      <c r="AF297">
        <f>ROUND((EV297),6)</f>
        <v>0</v>
      </c>
      <c r="AG297">
        <f t="shared" si="271"/>
        <v>0</v>
      </c>
      <c r="AH297">
        <f>(EW297)</f>
        <v>0</v>
      </c>
      <c r="AI297">
        <f>(EX297)</f>
        <v>0</v>
      </c>
      <c r="AJ297">
        <f t="shared" si="272"/>
        <v>0</v>
      </c>
      <c r="AK297">
        <v>56.29</v>
      </c>
      <c r="AL297">
        <v>56.29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1</v>
      </c>
      <c r="AW297">
        <v>1</v>
      </c>
      <c r="AZ297">
        <v>1</v>
      </c>
      <c r="BA297">
        <v>1</v>
      </c>
      <c r="BB297">
        <v>1</v>
      </c>
      <c r="BC297">
        <v>8.2899999999999991</v>
      </c>
      <c r="BD297" t="s">
        <v>3</v>
      </c>
      <c r="BE297" t="s">
        <v>3</v>
      </c>
      <c r="BF297" t="s">
        <v>3</v>
      </c>
      <c r="BG297" t="s">
        <v>3</v>
      </c>
      <c r="BH297">
        <v>3</v>
      </c>
      <c r="BI297">
        <v>1</v>
      </c>
      <c r="BJ297" t="s">
        <v>253</v>
      </c>
      <c r="BM297">
        <v>500001</v>
      </c>
      <c r="BN297">
        <v>0</v>
      </c>
      <c r="BO297" t="s">
        <v>3</v>
      </c>
      <c r="BP297">
        <v>0</v>
      </c>
      <c r="BQ297">
        <v>8</v>
      </c>
      <c r="BR297">
        <v>0</v>
      </c>
      <c r="BS297">
        <v>1</v>
      </c>
      <c r="BT297">
        <v>1</v>
      </c>
      <c r="BU297">
        <v>1</v>
      </c>
      <c r="BV297">
        <v>1</v>
      </c>
      <c r="BW297">
        <v>1</v>
      </c>
      <c r="BX297">
        <v>1</v>
      </c>
      <c r="BY297" t="s">
        <v>3</v>
      </c>
      <c r="BZ297">
        <v>0</v>
      </c>
      <c r="CA297">
        <v>0</v>
      </c>
      <c r="CB297" t="s">
        <v>3</v>
      </c>
      <c r="CE297">
        <v>0</v>
      </c>
      <c r="CF297">
        <v>0</v>
      </c>
      <c r="CG297">
        <v>0</v>
      </c>
      <c r="CM297">
        <v>0</v>
      </c>
      <c r="CN297" t="s">
        <v>3</v>
      </c>
      <c r="CO297">
        <v>0</v>
      </c>
      <c r="CP297">
        <f t="shared" si="273"/>
        <v>121327</v>
      </c>
      <c r="CQ297">
        <f t="shared" si="274"/>
        <v>466.64409999999992</v>
      </c>
      <c r="CR297">
        <f t="shared" si="275"/>
        <v>0</v>
      </c>
      <c r="CS297">
        <f t="shared" si="276"/>
        <v>0</v>
      </c>
      <c r="CT297">
        <f t="shared" si="277"/>
        <v>0</v>
      </c>
      <c r="CU297">
        <f t="shared" si="278"/>
        <v>0</v>
      </c>
      <c r="CV297">
        <f t="shared" si="278"/>
        <v>0</v>
      </c>
      <c r="CW297">
        <f t="shared" si="278"/>
        <v>0</v>
      </c>
      <c r="CX297">
        <f t="shared" si="278"/>
        <v>0</v>
      </c>
      <c r="CY297">
        <f t="shared" si="279"/>
        <v>0</v>
      </c>
      <c r="CZ297">
        <f t="shared" si="280"/>
        <v>0</v>
      </c>
      <c r="DC297" t="s">
        <v>3</v>
      </c>
      <c r="DD297" t="s">
        <v>3</v>
      </c>
      <c r="DE297" t="s">
        <v>3</v>
      </c>
      <c r="DF297" t="s">
        <v>3</v>
      </c>
      <c r="DG297" t="s">
        <v>3</v>
      </c>
      <c r="DH297" t="s">
        <v>3</v>
      </c>
      <c r="DI297" t="s">
        <v>3</v>
      </c>
      <c r="DJ297" t="s">
        <v>3</v>
      </c>
      <c r="DK297" t="s">
        <v>3</v>
      </c>
      <c r="DL297" t="s">
        <v>3</v>
      </c>
      <c r="DM297" t="s">
        <v>3</v>
      </c>
      <c r="DN297">
        <v>0</v>
      </c>
      <c r="DO297">
        <v>0</v>
      </c>
      <c r="DP297">
        <v>1</v>
      </c>
      <c r="DQ297">
        <v>1</v>
      </c>
      <c r="DU297">
        <v>1013</v>
      </c>
      <c r="DV297" t="s">
        <v>252</v>
      </c>
      <c r="DW297" t="s">
        <v>252</v>
      </c>
      <c r="DX297">
        <v>1</v>
      </c>
      <c r="DZ297" t="s">
        <v>3</v>
      </c>
      <c r="EA297" t="s">
        <v>3</v>
      </c>
      <c r="EB297" t="s">
        <v>3</v>
      </c>
      <c r="EC297" t="s">
        <v>3</v>
      </c>
      <c r="EE297">
        <v>42475842</v>
      </c>
      <c r="EF297">
        <v>8</v>
      </c>
      <c r="EG297" t="s">
        <v>141</v>
      </c>
      <c r="EH297">
        <v>0</v>
      </c>
      <c r="EI297" t="s">
        <v>3</v>
      </c>
      <c r="EJ297">
        <v>1</v>
      </c>
      <c r="EK297">
        <v>500001</v>
      </c>
      <c r="EL297" t="s">
        <v>142</v>
      </c>
      <c r="EM297" t="s">
        <v>143</v>
      </c>
      <c r="EO297" t="s">
        <v>3</v>
      </c>
      <c r="EQ297">
        <v>0</v>
      </c>
      <c r="ER297">
        <v>56.29</v>
      </c>
      <c r="ES297">
        <v>56.29</v>
      </c>
      <c r="ET297">
        <v>0</v>
      </c>
      <c r="EU297">
        <v>0</v>
      </c>
      <c r="EV297">
        <v>0</v>
      </c>
      <c r="EW297">
        <v>0</v>
      </c>
      <c r="EX297">
        <v>0</v>
      </c>
      <c r="EZ297">
        <v>5</v>
      </c>
      <c r="FC297">
        <v>1</v>
      </c>
      <c r="FD297">
        <v>18</v>
      </c>
      <c r="FF297">
        <v>560</v>
      </c>
      <c r="FQ297">
        <v>0</v>
      </c>
      <c r="FR297">
        <f t="shared" si="281"/>
        <v>0</v>
      </c>
      <c r="FS297">
        <v>0</v>
      </c>
      <c r="FX297">
        <v>0</v>
      </c>
      <c r="FY297">
        <v>0</v>
      </c>
      <c r="GA297" t="s">
        <v>254</v>
      </c>
      <c r="GD297">
        <v>1</v>
      </c>
      <c r="GF297">
        <v>-274124682</v>
      </c>
      <c r="GG297">
        <v>2</v>
      </c>
      <c r="GH297">
        <v>3</v>
      </c>
      <c r="GI297">
        <v>4</v>
      </c>
      <c r="GJ297">
        <v>0</v>
      </c>
      <c r="GK297">
        <v>0</v>
      </c>
      <c r="GL297">
        <f t="shared" si="282"/>
        <v>0</v>
      </c>
      <c r="GM297">
        <f t="shared" si="283"/>
        <v>121327</v>
      </c>
      <c r="GN297">
        <f t="shared" si="284"/>
        <v>121327</v>
      </c>
      <c r="GO297">
        <f t="shared" si="285"/>
        <v>0</v>
      </c>
      <c r="GP297">
        <f t="shared" si="286"/>
        <v>0</v>
      </c>
      <c r="GR297">
        <v>1</v>
      </c>
      <c r="GS297">
        <v>1</v>
      </c>
      <c r="GT297">
        <v>0</v>
      </c>
      <c r="GU297" t="s">
        <v>3</v>
      </c>
      <c r="GV297">
        <f t="shared" si="287"/>
        <v>0</v>
      </c>
      <c r="GW297">
        <v>1</v>
      </c>
      <c r="GX297">
        <f t="shared" si="288"/>
        <v>0</v>
      </c>
      <c r="HA297">
        <v>0</v>
      </c>
      <c r="HB297">
        <v>0</v>
      </c>
      <c r="HC297">
        <f t="shared" si="289"/>
        <v>0</v>
      </c>
      <c r="HE297" t="s">
        <v>151</v>
      </c>
      <c r="HF297" t="s">
        <v>151</v>
      </c>
      <c r="HM297" t="s">
        <v>3</v>
      </c>
      <c r="HN297" t="s">
        <v>3</v>
      </c>
      <c r="HO297" t="s">
        <v>3</v>
      </c>
      <c r="HP297" t="s">
        <v>3</v>
      </c>
      <c r="HQ297" t="s">
        <v>3</v>
      </c>
      <c r="IK297">
        <v>0</v>
      </c>
    </row>
    <row r="299" spans="1:245" x14ac:dyDescent="0.2">
      <c r="A299" s="2">
        <v>51</v>
      </c>
      <c r="B299" s="2">
        <f>B288</f>
        <v>1</v>
      </c>
      <c r="C299" s="2">
        <f>A288</f>
        <v>5</v>
      </c>
      <c r="D299" s="2">
        <f>ROW(A288)</f>
        <v>288</v>
      </c>
      <c r="E299" s="2"/>
      <c r="F299" s="2" t="str">
        <f>IF(F288&lt;&gt;"",F288,"")</f>
        <v>Новый подраздел</v>
      </c>
      <c r="G299" s="2" t="str">
        <f>IF(G288&lt;&gt;"",G288,"")</f>
        <v>Устройство бортового камня</v>
      </c>
      <c r="H299" s="2">
        <v>0</v>
      </c>
      <c r="I299" s="2"/>
      <c r="J299" s="2"/>
      <c r="K299" s="2"/>
      <c r="L299" s="2"/>
      <c r="M299" s="2"/>
      <c r="N299" s="2"/>
      <c r="O299" s="2">
        <f t="shared" ref="O299:T299" si="290">ROUND(AB299,0)</f>
        <v>271284</v>
      </c>
      <c r="P299" s="2">
        <f t="shared" si="290"/>
        <v>189552</v>
      </c>
      <c r="Q299" s="2">
        <f t="shared" si="290"/>
        <v>5207</v>
      </c>
      <c r="R299" s="2">
        <f t="shared" si="290"/>
        <v>1633</v>
      </c>
      <c r="S299" s="2">
        <f t="shared" si="290"/>
        <v>76525</v>
      </c>
      <c r="T299" s="2">
        <f t="shared" si="290"/>
        <v>0</v>
      </c>
      <c r="U299" s="2">
        <f>AH299</f>
        <v>278.39970499999998</v>
      </c>
      <c r="V299" s="2">
        <f>AI299</f>
        <v>4.1307999999999998</v>
      </c>
      <c r="W299" s="2">
        <f>ROUND(AJ299,0)</f>
        <v>0</v>
      </c>
      <c r="X299" s="2">
        <f>ROUND(AK299,0)</f>
        <v>109919</v>
      </c>
      <c r="Y299" s="2">
        <f>ROUND(AL299,0)</f>
        <v>73141</v>
      </c>
      <c r="Z299" s="2"/>
      <c r="AA299" s="2"/>
      <c r="AB299" s="2">
        <f>ROUND(SUMIF(AA292:AA297,"=46416371",O292:O297),0)</f>
        <v>271284</v>
      </c>
      <c r="AC299" s="2">
        <f>ROUND(SUMIF(AA292:AA297,"=46416371",P292:P297),0)</f>
        <v>189552</v>
      </c>
      <c r="AD299" s="2">
        <f>ROUND(SUMIF(AA292:AA297,"=46416371",Q292:Q297),0)</f>
        <v>5207</v>
      </c>
      <c r="AE299" s="2">
        <f>ROUND(SUMIF(AA292:AA297,"=46416371",R292:R297),0)</f>
        <v>1633</v>
      </c>
      <c r="AF299" s="2">
        <f>ROUND(SUMIF(AA292:AA297,"=46416371",S292:S297),0)</f>
        <v>76525</v>
      </c>
      <c r="AG299" s="2">
        <f>ROUND(SUMIF(AA292:AA297,"=46416371",T292:T297),0)</f>
        <v>0</v>
      </c>
      <c r="AH299" s="2">
        <f>SUMIF(AA292:AA297,"=46416371",U292:U297)</f>
        <v>278.39970499999998</v>
      </c>
      <c r="AI299" s="2">
        <f>SUMIF(AA292:AA297,"=46416371",V292:V297)</f>
        <v>4.1307999999999998</v>
      </c>
      <c r="AJ299" s="2">
        <f>ROUND(SUMIF(AA292:AA297,"=46416371",W292:W297),0)</f>
        <v>0</v>
      </c>
      <c r="AK299" s="2">
        <f>ROUND(SUMIF(AA292:AA297,"=46416371",X292:X297),0)</f>
        <v>109919</v>
      </c>
      <c r="AL299" s="2">
        <f>ROUND(SUMIF(AA292:AA297,"=46416371",Y292:Y297),0)</f>
        <v>73141</v>
      </c>
      <c r="AM299" s="2"/>
      <c r="AN299" s="2"/>
      <c r="AO299" s="2">
        <f t="shared" ref="AO299:BD299" si="291">ROUND(BX299,0)</f>
        <v>0</v>
      </c>
      <c r="AP299" s="2">
        <f t="shared" si="291"/>
        <v>0</v>
      </c>
      <c r="AQ299" s="2">
        <f t="shared" si="291"/>
        <v>0</v>
      </c>
      <c r="AR299" s="2">
        <f t="shared" si="291"/>
        <v>454344</v>
      </c>
      <c r="AS299" s="2">
        <f t="shared" si="291"/>
        <v>450244</v>
      </c>
      <c r="AT299" s="2">
        <f t="shared" si="291"/>
        <v>0</v>
      </c>
      <c r="AU299" s="2">
        <f t="shared" si="291"/>
        <v>4100</v>
      </c>
      <c r="AV299" s="2">
        <f t="shared" si="291"/>
        <v>189552</v>
      </c>
      <c r="AW299" s="2">
        <f t="shared" si="291"/>
        <v>189552</v>
      </c>
      <c r="AX299" s="2">
        <f t="shared" si="291"/>
        <v>0</v>
      </c>
      <c r="AY299" s="2">
        <f t="shared" si="291"/>
        <v>189552</v>
      </c>
      <c r="AZ299" s="2">
        <f t="shared" si="291"/>
        <v>0</v>
      </c>
      <c r="BA299" s="2">
        <f t="shared" si="291"/>
        <v>0</v>
      </c>
      <c r="BB299" s="2">
        <f t="shared" si="291"/>
        <v>0</v>
      </c>
      <c r="BC299" s="2">
        <f t="shared" si="291"/>
        <v>0</v>
      </c>
      <c r="BD299" s="2">
        <f t="shared" si="291"/>
        <v>0</v>
      </c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>
        <f>ROUND(SUMIF(AA292:AA297,"=46416371",FQ292:FQ297),0)</f>
        <v>0</v>
      </c>
      <c r="BY299" s="2">
        <f>ROUND(SUMIF(AA292:AA297,"=46416371",FR292:FR297),0)</f>
        <v>0</v>
      </c>
      <c r="BZ299" s="2">
        <f>ROUND(SUMIF(AA292:AA297,"=46416371",GL292:GL297),0)</f>
        <v>0</v>
      </c>
      <c r="CA299" s="2">
        <f>ROUND(SUMIF(AA292:AA297,"=46416371",GM292:GM297),0)</f>
        <v>454344</v>
      </c>
      <c r="CB299" s="2">
        <f>ROUND(SUMIF(AA292:AA297,"=46416371",GN292:GN297),0)</f>
        <v>450244</v>
      </c>
      <c r="CC299" s="2">
        <f>ROUND(SUMIF(AA292:AA297,"=46416371",GO292:GO297),0)</f>
        <v>0</v>
      </c>
      <c r="CD299" s="2">
        <f>ROUND(SUMIF(AA292:AA297,"=46416371",GP292:GP297),0)</f>
        <v>4100</v>
      </c>
      <c r="CE299" s="2">
        <f>AC299-BX299</f>
        <v>189552</v>
      </c>
      <c r="CF299" s="2">
        <f>AC299-BY299</f>
        <v>189552</v>
      </c>
      <c r="CG299" s="2">
        <f>BX299-BZ299</f>
        <v>0</v>
      </c>
      <c r="CH299" s="2">
        <f>AC299-BX299-BY299+BZ299</f>
        <v>189552</v>
      </c>
      <c r="CI299" s="2">
        <f>BY299-BZ299</f>
        <v>0</v>
      </c>
      <c r="CJ299" s="2">
        <f>ROUND(SUMIF(AA292:AA297,"=46416371",GX292:GX297),0)</f>
        <v>0</v>
      </c>
      <c r="CK299" s="2">
        <f>ROUND(SUMIF(AA292:AA297,"=46416371",GY292:GY297),0)</f>
        <v>0</v>
      </c>
      <c r="CL299" s="2">
        <f>ROUND(SUMIF(AA292:AA297,"=46416371",GZ292:GZ297),0)</f>
        <v>0</v>
      </c>
      <c r="CM299" s="2">
        <f>ROUND(SUMIF(AA292:AA297,"=46416371",HD292:HD297),0)</f>
        <v>0</v>
      </c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>
        <v>0</v>
      </c>
    </row>
    <row r="301" spans="1:245" x14ac:dyDescent="0.2">
      <c r="A301" s="4">
        <v>50</v>
      </c>
      <c r="B301" s="4">
        <v>0</v>
      </c>
      <c r="C301" s="4">
        <v>0</v>
      </c>
      <c r="D301" s="4">
        <v>1</v>
      </c>
      <c r="E301" s="4">
        <v>201</v>
      </c>
      <c r="F301" s="4">
        <f>ROUND(Source!O299,O301)</f>
        <v>271284</v>
      </c>
      <c r="G301" s="4" t="s">
        <v>68</v>
      </c>
      <c r="H301" s="4" t="s">
        <v>69</v>
      </c>
      <c r="I301" s="4"/>
      <c r="J301" s="4"/>
      <c r="K301" s="4">
        <v>201</v>
      </c>
      <c r="L301" s="4">
        <v>1</v>
      </c>
      <c r="M301" s="4">
        <v>3</v>
      </c>
      <c r="N301" s="4" t="s">
        <v>3</v>
      </c>
      <c r="O301" s="4">
        <v>0</v>
      </c>
      <c r="P301" s="4"/>
      <c r="Q301" s="4"/>
      <c r="R301" s="4"/>
      <c r="S301" s="4"/>
      <c r="T301" s="4"/>
      <c r="U301" s="4"/>
      <c r="V301" s="4"/>
      <c r="W301" s="4">
        <v>68973</v>
      </c>
      <c r="X301" s="4">
        <v>1</v>
      </c>
      <c r="Y301" s="4">
        <v>68973</v>
      </c>
      <c r="Z301" s="4"/>
      <c r="AA301" s="4"/>
      <c r="AB301" s="4"/>
    </row>
    <row r="302" spans="1:245" x14ac:dyDescent="0.2">
      <c r="A302" s="4">
        <v>50</v>
      </c>
      <c r="B302" s="4">
        <v>0</v>
      </c>
      <c r="C302" s="4">
        <v>0</v>
      </c>
      <c r="D302" s="4">
        <v>1</v>
      </c>
      <c r="E302" s="4">
        <v>202</v>
      </c>
      <c r="F302" s="4">
        <f>ROUND(Source!P299,O302)</f>
        <v>189552</v>
      </c>
      <c r="G302" s="4" t="s">
        <v>70</v>
      </c>
      <c r="H302" s="4" t="s">
        <v>71</v>
      </c>
      <c r="I302" s="4"/>
      <c r="J302" s="4"/>
      <c r="K302" s="4">
        <v>202</v>
      </c>
      <c r="L302" s="4">
        <v>2</v>
      </c>
      <c r="M302" s="4">
        <v>3</v>
      </c>
      <c r="N302" s="4" t="s">
        <v>3</v>
      </c>
      <c r="O302" s="4">
        <v>0</v>
      </c>
      <c r="P302" s="4"/>
      <c r="Q302" s="4"/>
      <c r="R302" s="4"/>
      <c r="S302" s="4"/>
      <c r="T302" s="4"/>
      <c r="U302" s="4"/>
      <c r="V302" s="4"/>
      <c r="W302" s="4">
        <v>45475</v>
      </c>
      <c r="X302" s="4">
        <v>1</v>
      </c>
      <c r="Y302" s="4">
        <v>45475</v>
      </c>
      <c r="Z302" s="4"/>
      <c r="AA302" s="4"/>
      <c r="AB302" s="4"/>
    </row>
    <row r="303" spans="1:245" x14ac:dyDescent="0.2">
      <c r="A303" s="4">
        <v>50</v>
      </c>
      <c r="B303" s="4">
        <v>0</v>
      </c>
      <c r="C303" s="4">
        <v>0</v>
      </c>
      <c r="D303" s="4">
        <v>1</v>
      </c>
      <c r="E303" s="4">
        <v>222</v>
      </c>
      <c r="F303" s="4">
        <f>ROUND(Source!AO299,O303)</f>
        <v>0</v>
      </c>
      <c r="G303" s="4" t="s">
        <v>72</v>
      </c>
      <c r="H303" s="4" t="s">
        <v>73</v>
      </c>
      <c r="I303" s="4"/>
      <c r="J303" s="4"/>
      <c r="K303" s="4">
        <v>222</v>
      </c>
      <c r="L303" s="4">
        <v>3</v>
      </c>
      <c r="M303" s="4">
        <v>3</v>
      </c>
      <c r="N303" s="4" t="s">
        <v>3</v>
      </c>
      <c r="O303" s="4">
        <v>0</v>
      </c>
      <c r="P303" s="4"/>
      <c r="Q303" s="4"/>
      <c r="R303" s="4"/>
      <c r="S303" s="4"/>
      <c r="T303" s="4"/>
      <c r="U303" s="4"/>
      <c r="V303" s="4"/>
      <c r="W303" s="4">
        <v>0</v>
      </c>
      <c r="X303" s="4">
        <v>1</v>
      </c>
      <c r="Y303" s="4">
        <v>0</v>
      </c>
      <c r="Z303" s="4"/>
      <c r="AA303" s="4"/>
      <c r="AB303" s="4"/>
    </row>
    <row r="304" spans="1:245" x14ac:dyDescent="0.2">
      <c r="A304" s="4">
        <v>50</v>
      </c>
      <c r="B304" s="4">
        <v>0</v>
      </c>
      <c r="C304" s="4">
        <v>0</v>
      </c>
      <c r="D304" s="4">
        <v>1</v>
      </c>
      <c r="E304" s="4">
        <v>225</v>
      </c>
      <c r="F304" s="4">
        <f>ROUND(Source!AV299,O304)</f>
        <v>189552</v>
      </c>
      <c r="G304" s="4" t="s">
        <v>74</v>
      </c>
      <c r="H304" s="4" t="s">
        <v>75</v>
      </c>
      <c r="I304" s="4"/>
      <c r="J304" s="4"/>
      <c r="K304" s="4">
        <v>225</v>
      </c>
      <c r="L304" s="4">
        <v>4</v>
      </c>
      <c r="M304" s="4">
        <v>3</v>
      </c>
      <c r="N304" s="4" t="s">
        <v>3</v>
      </c>
      <c r="O304" s="4">
        <v>0</v>
      </c>
      <c r="P304" s="4"/>
      <c r="Q304" s="4"/>
      <c r="R304" s="4"/>
      <c r="S304" s="4"/>
      <c r="T304" s="4"/>
      <c r="U304" s="4"/>
      <c r="V304" s="4"/>
      <c r="W304" s="4">
        <v>45475</v>
      </c>
      <c r="X304" s="4">
        <v>1</v>
      </c>
      <c r="Y304" s="4">
        <v>45475</v>
      </c>
      <c r="Z304" s="4"/>
      <c r="AA304" s="4"/>
      <c r="AB304" s="4"/>
    </row>
    <row r="305" spans="1:28" x14ac:dyDescent="0.2">
      <c r="A305" s="4">
        <v>50</v>
      </c>
      <c r="B305" s="4">
        <v>0</v>
      </c>
      <c r="C305" s="4">
        <v>0</v>
      </c>
      <c r="D305" s="4">
        <v>1</v>
      </c>
      <c r="E305" s="4">
        <v>226</v>
      </c>
      <c r="F305" s="4">
        <f>ROUND(Source!AW299,O305)</f>
        <v>189552</v>
      </c>
      <c r="G305" s="4" t="s">
        <v>76</v>
      </c>
      <c r="H305" s="4" t="s">
        <v>77</v>
      </c>
      <c r="I305" s="4"/>
      <c r="J305" s="4"/>
      <c r="K305" s="4">
        <v>226</v>
      </c>
      <c r="L305" s="4">
        <v>5</v>
      </c>
      <c r="M305" s="4">
        <v>3</v>
      </c>
      <c r="N305" s="4" t="s">
        <v>3</v>
      </c>
      <c r="O305" s="4">
        <v>0</v>
      </c>
      <c r="P305" s="4"/>
      <c r="Q305" s="4"/>
      <c r="R305" s="4"/>
      <c r="S305" s="4"/>
      <c r="T305" s="4"/>
      <c r="U305" s="4"/>
      <c r="V305" s="4"/>
      <c r="W305" s="4">
        <v>45475</v>
      </c>
      <c r="X305" s="4">
        <v>1</v>
      </c>
      <c r="Y305" s="4">
        <v>45475</v>
      </c>
      <c r="Z305" s="4"/>
      <c r="AA305" s="4"/>
      <c r="AB305" s="4"/>
    </row>
    <row r="306" spans="1:28" x14ac:dyDescent="0.2">
      <c r="A306" s="4">
        <v>50</v>
      </c>
      <c r="B306" s="4">
        <v>0</v>
      </c>
      <c r="C306" s="4">
        <v>0</v>
      </c>
      <c r="D306" s="4">
        <v>1</v>
      </c>
      <c r="E306" s="4">
        <v>227</v>
      </c>
      <c r="F306" s="4">
        <f>ROUND(Source!AX299,O306)</f>
        <v>0</v>
      </c>
      <c r="G306" s="4" t="s">
        <v>78</v>
      </c>
      <c r="H306" s="4" t="s">
        <v>79</v>
      </c>
      <c r="I306" s="4"/>
      <c r="J306" s="4"/>
      <c r="K306" s="4">
        <v>227</v>
      </c>
      <c r="L306" s="4">
        <v>6</v>
      </c>
      <c r="M306" s="4">
        <v>3</v>
      </c>
      <c r="N306" s="4" t="s">
        <v>3</v>
      </c>
      <c r="O306" s="4">
        <v>0</v>
      </c>
      <c r="P306" s="4"/>
      <c r="Q306" s="4"/>
      <c r="R306" s="4"/>
      <c r="S306" s="4"/>
      <c r="T306" s="4"/>
      <c r="U306" s="4"/>
      <c r="V306" s="4"/>
      <c r="W306" s="4">
        <v>0</v>
      </c>
      <c r="X306" s="4">
        <v>1</v>
      </c>
      <c r="Y306" s="4">
        <v>0</v>
      </c>
      <c r="Z306" s="4"/>
      <c r="AA306" s="4"/>
      <c r="AB306" s="4"/>
    </row>
    <row r="307" spans="1:28" x14ac:dyDescent="0.2">
      <c r="A307" s="4">
        <v>50</v>
      </c>
      <c r="B307" s="4">
        <v>0</v>
      </c>
      <c r="C307" s="4">
        <v>0</v>
      </c>
      <c r="D307" s="4">
        <v>1</v>
      </c>
      <c r="E307" s="4">
        <v>228</v>
      </c>
      <c r="F307" s="4">
        <f>ROUND(Source!AY299,O307)</f>
        <v>189552</v>
      </c>
      <c r="G307" s="4" t="s">
        <v>80</v>
      </c>
      <c r="H307" s="4" t="s">
        <v>81</v>
      </c>
      <c r="I307" s="4"/>
      <c r="J307" s="4"/>
      <c r="K307" s="4">
        <v>228</v>
      </c>
      <c r="L307" s="4">
        <v>7</v>
      </c>
      <c r="M307" s="4">
        <v>3</v>
      </c>
      <c r="N307" s="4" t="s">
        <v>3</v>
      </c>
      <c r="O307" s="4">
        <v>0</v>
      </c>
      <c r="P307" s="4"/>
      <c r="Q307" s="4"/>
      <c r="R307" s="4"/>
      <c r="S307" s="4"/>
      <c r="T307" s="4"/>
      <c r="U307" s="4"/>
      <c r="V307" s="4"/>
      <c r="W307" s="4">
        <v>45475</v>
      </c>
      <c r="X307" s="4">
        <v>1</v>
      </c>
      <c r="Y307" s="4">
        <v>45475</v>
      </c>
      <c r="Z307" s="4"/>
      <c r="AA307" s="4"/>
      <c r="AB307" s="4"/>
    </row>
    <row r="308" spans="1:28" x14ac:dyDescent="0.2">
      <c r="A308" s="4">
        <v>50</v>
      </c>
      <c r="B308" s="4">
        <v>0</v>
      </c>
      <c r="C308" s="4">
        <v>0</v>
      </c>
      <c r="D308" s="4">
        <v>1</v>
      </c>
      <c r="E308" s="4">
        <v>216</v>
      </c>
      <c r="F308" s="4">
        <f>ROUND(Source!AP299,O308)</f>
        <v>0</v>
      </c>
      <c r="G308" s="4" t="s">
        <v>82</v>
      </c>
      <c r="H308" s="4" t="s">
        <v>83</v>
      </c>
      <c r="I308" s="4"/>
      <c r="J308" s="4"/>
      <c r="K308" s="4">
        <v>216</v>
      </c>
      <c r="L308" s="4">
        <v>8</v>
      </c>
      <c r="M308" s="4">
        <v>3</v>
      </c>
      <c r="N308" s="4" t="s">
        <v>3</v>
      </c>
      <c r="O308" s="4">
        <v>0</v>
      </c>
      <c r="P308" s="4"/>
      <c r="Q308" s="4"/>
      <c r="R308" s="4"/>
      <c r="S308" s="4"/>
      <c r="T308" s="4"/>
      <c r="U308" s="4"/>
      <c r="V308" s="4"/>
      <c r="W308" s="4">
        <v>0</v>
      </c>
      <c r="X308" s="4">
        <v>1</v>
      </c>
      <c r="Y308" s="4">
        <v>0</v>
      </c>
      <c r="Z308" s="4"/>
      <c r="AA308" s="4"/>
      <c r="AB308" s="4"/>
    </row>
    <row r="309" spans="1:28" x14ac:dyDescent="0.2">
      <c r="A309" s="4">
        <v>50</v>
      </c>
      <c r="B309" s="4">
        <v>0</v>
      </c>
      <c r="C309" s="4">
        <v>0</v>
      </c>
      <c r="D309" s="4">
        <v>1</v>
      </c>
      <c r="E309" s="4">
        <v>223</v>
      </c>
      <c r="F309" s="4">
        <f>ROUND(Source!AQ299,O309)</f>
        <v>0</v>
      </c>
      <c r="G309" s="4" t="s">
        <v>84</v>
      </c>
      <c r="H309" s="4" t="s">
        <v>85</v>
      </c>
      <c r="I309" s="4"/>
      <c r="J309" s="4"/>
      <c r="K309" s="4">
        <v>223</v>
      </c>
      <c r="L309" s="4">
        <v>9</v>
      </c>
      <c r="M309" s="4">
        <v>3</v>
      </c>
      <c r="N309" s="4" t="s">
        <v>3</v>
      </c>
      <c r="O309" s="4">
        <v>0</v>
      </c>
      <c r="P309" s="4"/>
      <c r="Q309" s="4"/>
      <c r="R309" s="4"/>
      <c r="S309" s="4"/>
      <c r="T309" s="4"/>
      <c r="U309" s="4"/>
      <c r="V309" s="4"/>
      <c r="W309" s="4">
        <v>0</v>
      </c>
      <c r="X309" s="4">
        <v>1</v>
      </c>
      <c r="Y309" s="4">
        <v>0</v>
      </c>
      <c r="Z309" s="4"/>
      <c r="AA309" s="4"/>
      <c r="AB309" s="4"/>
    </row>
    <row r="310" spans="1:28" x14ac:dyDescent="0.2">
      <c r="A310" s="4">
        <v>50</v>
      </c>
      <c r="B310" s="4">
        <v>0</v>
      </c>
      <c r="C310" s="4">
        <v>0</v>
      </c>
      <c r="D310" s="4">
        <v>1</v>
      </c>
      <c r="E310" s="4">
        <v>229</v>
      </c>
      <c r="F310" s="4">
        <f>ROUND(Source!AZ299,O310)</f>
        <v>0</v>
      </c>
      <c r="G310" s="4" t="s">
        <v>86</v>
      </c>
      <c r="H310" s="4" t="s">
        <v>87</v>
      </c>
      <c r="I310" s="4"/>
      <c r="J310" s="4"/>
      <c r="K310" s="4">
        <v>229</v>
      </c>
      <c r="L310" s="4">
        <v>10</v>
      </c>
      <c r="M310" s="4">
        <v>3</v>
      </c>
      <c r="N310" s="4" t="s">
        <v>3</v>
      </c>
      <c r="O310" s="4">
        <v>0</v>
      </c>
      <c r="P310" s="4"/>
      <c r="Q310" s="4"/>
      <c r="R310" s="4"/>
      <c r="S310" s="4"/>
      <c r="T310" s="4"/>
      <c r="U310" s="4"/>
      <c r="V310" s="4"/>
      <c r="W310" s="4">
        <v>0</v>
      </c>
      <c r="X310" s="4">
        <v>1</v>
      </c>
      <c r="Y310" s="4">
        <v>0</v>
      </c>
      <c r="Z310" s="4"/>
      <c r="AA310" s="4"/>
      <c r="AB310" s="4"/>
    </row>
    <row r="311" spans="1:28" x14ac:dyDescent="0.2">
      <c r="A311" s="4">
        <v>50</v>
      </c>
      <c r="B311" s="4">
        <v>0</v>
      </c>
      <c r="C311" s="4">
        <v>0</v>
      </c>
      <c r="D311" s="4">
        <v>1</v>
      </c>
      <c r="E311" s="4">
        <v>203</v>
      </c>
      <c r="F311" s="4">
        <f>ROUND(Source!Q299,O311)</f>
        <v>5207</v>
      </c>
      <c r="G311" s="4" t="s">
        <v>88</v>
      </c>
      <c r="H311" s="4" t="s">
        <v>89</v>
      </c>
      <c r="I311" s="4"/>
      <c r="J311" s="4"/>
      <c r="K311" s="4">
        <v>203</v>
      </c>
      <c r="L311" s="4">
        <v>11</v>
      </c>
      <c r="M311" s="4">
        <v>3</v>
      </c>
      <c r="N311" s="4" t="s">
        <v>3</v>
      </c>
      <c r="O311" s="4">
        <v>0</v>
      </c>
      <c r="P311" s="4"/>
      <c r="Q311" s="4"/>
      <c r="R311" s="4"/>
      <c r="S311" s="4"/>
      <c r="T311" s="4"/>
      <c r="U311" s="4"/>
      <c r="V311" s="4"/>
      <c r="W311" s="4">
        <v>2769</v>
      </c>
      <c r="X311" s="4">
        <v>1</v>
      </c>
      <c r="Y311" s="4">
        <v>2769</v>
      </c>
      <c r="Z311" s="4"/>
      <c r="AA311" s="4"/>
      <c r="AB311" s="4"/>
    </row>
    <row r="312" spans="1:28" x14ac:dyDescent="0.2">
      <c r="A312" s="4">
        <v>50</v>
      </c>
      <c r="B312" s="4">
        <v>0</v>
      </c>
      <c r="C312" s="4">
        <v>0</v>
      </c>
      <c r="D312" s="4">
        <v>1</v>
      </c>
      <c r="E312" s="4">
        <v>231</v>
      </c>
      <c r="F312" s="4">
        <f>ROUND(Source!BB299,O312)</f>
        <v>0</v>
      </c>
      <c r="G312" s="4" t="s">
        <v>90</v>
      </c>
      <c r="H312" s="4" t="s">
        <v>91</v>
      </c>
      <c r="I312" s="4"/>
      <c r="J312" s="4"/>
      <c r="K312" s="4">
        <v>231</v>
      </c>
      <c r="L312" s="4">
        <v>12</v>
      </c>
      <c r="M312" s="4">
        <v>3</v>
      </c>
      <c r="N312" s="4" t="s">
        <v>3</v>
      </c>
      <c r="O312" s="4">
        <v>0</v>
      </c>
      <c r="P312" s="4"/>
      <c r="Q312" s="4"/>
      <c r="R312" s="4"/>
      <c r="S312" s="4"/>
      <c r="T312" s="4"/>
      <c r="U312" s="4"/>
      <c r="V312" s="4"/>
      <c r="W312" s="4">
        <v>0</v>
      </c>
      <c r="X312" s="4">
        <v>1</v>
      </c>
      <c r="Y312" s="4">
        <v>0</v>
      </c>
      <c r="Z312" s="4"/>
      <c r="AA312" s="4"/>
      <c r="AB312" s="4"/>
    </row>
    <row r="313" spans="1:28" x14ac:dyDescent="0.2">
      <c r="A313" s="4">
        <v>50</v>
      </c>
      <c r="B313" s="4">
        <v>0</v>
      </c>
      <c r="C313" s="4">
        <v>0</v>
      </c>
      <c r="D313" s="4">
        <v>1</v>
      </c>
      <c r="E313" s="4">
        <v>204</v>
      </c>
      <c r="F313" s="4">
        <f>ROUND(Source!R299,O313)</f>
        <v>1633</v>
      </c>
      <c r="G313" s="4" t="s">
        <v>92</v>
      </c>
      <c r="H313" s="4" t="s">
        <v>93</v>
      </c>
      <c r="I313" s="4"/>
      <c r="J313" s="4"/>
      <c r="K313" s="4">
        <v>204</v>
      </c>
      <c r="L313" s="4">
        <v>13</v>
      </c>
      <c r="M313" s="4">
        <v>3</v>
      </c>
      <c r="N313" s="4" t="s">
        <v>3</v>
      </c>
      <c r="O313" s="4">
        <v>0</v>
      </c>
      <c r="P313" s="4"/>
      <c r="Q313" s="4"/>
      <c r="R313" s="4"/>
      <c r="S313" s="4"/>
      <c r="T313" s="4"/>
      <c r="U313" s="4"/>
      <c r="V313" s="4"/>
      <c r="W313" s="4">
        <v>768</v>
      </c>
      <c r="X313" s="4">
        <v>1</v>
      </c>
      <c r="Y313" s="4">
        <v>768</v>
      </c>
      <c r="Z313" s="4"/>
      <c r="AA313" s="4"/>
      <c r="AB313" s="4"/>
    </row>
    <row r="314" spans="1:28" x14ac:dyDescent="0.2">
      <c r="A314" s="4">
        <v>50</v>
      </c>
      <c r="B314" s="4">
        <v>0</v>
      </c>
      <c r="C314" s="4">
        <v>0</v>
      </c>
      <c r="D314" s="4">
        <v>1</v>
      </c>
      <c r="E314" s="4">
        <v>205</v>
      </c>
      <c r="F314" s="4">
        <f>ROUND(Source!S299,O314)</f>
        <v>76525</v>
      </c>
      <c r="G314" s="4" t="s">
        <v>94</v>
      </c>
      <c r="H314" s="4" t="s">
        <v>95</v>
      </c>
      <c r="I314" s="4"/>
      <c r="J314" s="4"/>
      <c r="K314" s="4">
        <v>205</v>
      </c>
      <c r="L314" s="4">
        <v>14</v>
      </c>
      <c r="M314" s="4">
        <v>3</v>
      </c>
      <c r="N314" s="4" t="s">
        <v>3</v>
      </c>
      <c r="O314" s="4">
        <v>0</v>
      </c>
      <c r="P314" s="4"/>
      <c r="Q314" s="4"/>
      <c r="R314" s="4"/>
      <c r="S314" s="4"/>
      <c r="T314" s="4"/>
      <c r="U314" s="4"/>
      <c r="V314" s="4"/>
      <c r="W314" s="4">
        <v>20729</v>
      </c>
      <c r="X314" s="4">
        <v>1</v>
      </c>
      <c r="Y314" s="4">
        <v>20729</v>
      </c>
      <c r="Z314" s="4"/>
      <c r="AA314" s="4"/>
      <c r="AB314" s="4"/>
    </row>
    <row r="315" spans="1:28" x14ac:dyDescent="0.2">
      <c r="A315" s="4">
        <v>50</v>
      </c>
      <c r="B315" s="4">
        <v>0</v>
      </c>
      <c r="C315" s="4">
        <v>0</v>
      </c>
      <c r="D315" s="4">
        <v>1</v>
      </c>
      <c r="E315" s="4">
        <v>232</v>
      </c>
      <c r="F315" s="4">
        <f>ROUND(Source!BC299,O315)</f>
        <v>0</v>
      </c>
      <c r="G315" s="4" t="s">
        <v>96</v>
      </c>
      <c r="H315" s="4" t="s">
        <v>97</v>
      </c>
      <c r="I315" s="4"/>
      <c r="J315" s="4"/>
      <c r="K315" s="4">
        <v>232</v>
      </c>
      <c r="L315" s="4">
        <v>15</v>
      </c>
      <c r="M315" s="4">
        <v>3</v>
      </c>
      <c r="N315" s="4" t="s">
        <v>3</v>
      </c>
      <c r="O315" s="4">
        <v>0</v>
      </c>
      <c r="P315" s="4"/>
      <c r="Q315" s="4"/>
      <c r="R315" s="4"/>
      <c r="S315" s="4"/>
      <c r="T315" s="4"/>
      <c r="U315" s="4"/>
      <c r="V315" s="4"/>
      <c r="W315" s="4">
        <v>0</v>
      </c>
      <c r="X315" s="4">
        <v>1</v>
      </c>
      <c r="Y315" s="4">
        <v>0</v>
      </c>
      <c r="Z315" s="4"/>
      <c r="AA315" s="4"/>
      <c r="AB315" s="4"/>
    </row>
    <row r="316" spans="1:28" x14ac:dyDescent="0.2">
      <c r="A316" s="4">
        <v>50</v>
      </c>
      <c r="B316" s="4">
        <v>0</v>
      </c>
      <c r="C316" s="4">
        <v>0</v>
      </c>
      <c r="D316" s="4">
        <v>1</v>
      </c>
      <c r="E316" s="4">
        <v>214</v>
      </c>
      <c r="F316" s="4">
        <f>ROUND(Source!AS299,O316)</f>
        <v>450244</v>
      </c>
      <c r="G316" s="4" t="s">
        <v>98</v>
      </c>
      <c r="H316" s="4" t="s">
        <v>99</v>
      </c>
      <c r="I316" s="4"/>
      <c r="J316" s="4"/>
      <c r="K316" s="4">
        <v>214</v>
      </c>
      <c r="L316" s="4">
        <v>16</v>
      </c>
      <c r="M316" s="4">
        <v>3</v>
      </c>
      <c r="N316" s="4" t="s">
        <v>3</v>
      </c>
      <c r="O316" s="4">
        <v>0</v>
      </c>
      <c r="P316" s="4"/>
      <c r="Q316" s="4"/>
      <c r="R316" s="4"/>
      <c r="S316" s="4"/>
      <c r="T316" s="4"/>
      <c r="U316" s="4"/>
      <c r="V316" s="4"/>
      <c r="W316" s="4">
        <v>113646</v>
      </c>
      <c r="X316" s="4">
        <v>1</v>
      </c>
      <c r="Y316" s="4">
        <v>113646</v>
      </c>
      <c r="Z316" s="4"/>
      <c r="AA316" s="4"/>
      <c r="AB316" s="4"/>
    </row>
    <row r="317" spans="1:28" x14ac:dyDescent="0.2">
      <c r="A317" s="4">
        <v>50</v>
      </c>
      <c r="B317" s="4">
        <v>0</v>
      </c>
      <c r="C317" s="4">
        <v>0</v>
      </c>
      <c r="D317" s="4">
        <v>1</v>
      </c>
      <c r="E317" s="4">
        <v>215</v>
      </c>
      <c r="F317" s="4">
        <f>ROUND(Source!AT299,O317)</f>
        <v>0</v>
      </c>
      <c r="G317" s="4" t="s">
        <v>100</v>
      </c>
      <c r="H317" s="4" t="s">
        <v>101</v>
      </c>
      <c r="I317" s="4"/>
      <c r="J317" s="4"/>
      <c r="K317" s="4">
        <v>215</v>
      </c>
      <c r="L317" s="4">
        <v>17</v>
      </c>
      <c r="M317" s="4">
        <v>3</v>
      </c>
      <c r="N317" s="4" t="s">
        <v>3</v>
      </c>
      <c r="O317" s="4">
        <v>0</v>
      </c>
      <c r="P317" s="4"/>
      <c r="Q317" s="4"/>
      <c r="R317" s="4"/>
      <c r="S317" s="4"/>
      <c r="T317" s="4"/>
      <c r="U317" s="4"/>
      <c r="V317" s="4"/>
      <c r="W317" s="4">
        <v>0</v>
      </c>
      <c r="X317" s="4">
        <v>1</v>
      </c>
      <c r="Y317" s="4">
        <v>0</v>
      </c>
      <c r="Z317" s="4"/>
      <c r="AA317" s="4"/>
      <c r="AB317" s="4"/>
    </row>
    <row r="318" spans="1:28" x14ac:dyDescent="0.2">
      <c r="A318" s="4">
        <v>50</v>
      </c>
      <c r="B318" s="4">
        <v>0</v>
      </c>
      <c r="C318" s="4">
        <v>0</v>
      </c>
      <c r="D318" s="4">
        <v>1</v>
      </c>
      <c r="E318" s="4">
        <v>217</v>
      </c>
      <c r="F318" s="4">
        <f>ROUND(Source!AU299,O318)</f>
        <v>4100</v>
      </c>
      <c r="G318" s="4" t="s">
        <v>102</v>
      </c>
      <c r="H318" s="4" t="s">
        <v>103</v>
      </c>
      <c r="I318" s="4"/>
      <c r="J318" s="4"/>
      <c r="K318" s="4">
        <v>217</v>
      </c>
      <c r="L318" s="4">
        <v>18</v>
      </c>
      <c r="M318" s="4">
        <v>3</v>
      </c>
      <c r="N318" s="4" t="s">
        <v>3</v>
      </c>
      <c r="O318" s="4">
        <v>0</v>
      </c>
      <c r="P318" s="4"/>
      <c r="Q318" s="4"/>
      <c r="R318" s="4"/>
      <c r="S318" s="4"/>
      <c r="T318" s="4"/>
      <c r="U318" s="4"/>
      <c r="V318" s="4"/>
      <c r="W318" s="4">
        <v>4100</v>
      </c>
      <c r="X318" s="4">
        <v>1</v>
      </c>
      <c r="Y318" s="4">
        <v>4100</v>
      </c>
      <c r="Z318" s="4"/>
      <c r="AA318" s="4"/>
      <c r="AB318" s="4"/>
    </row>
    <row r="319" spans="1:28" x14ac:dyDescent="0.2">
      <c r="A319" s="4">
        <v>50</v>
      </c>
      <c r="B319" s="4">
        <v>0</v>
      </c>
      <c r="C319" s="4">
        <v>0</v>
      </c>
      <c r="D319" s="4">
        <v>1</v>
      </c>
      <c r="E319" s="4">
        <v>230</v>
      </c>
      <c r="F319" s="4">
        <f>ROUND(Source!BA299,O319)</f>
        <v>0</v>
      </c>
      <c r="G319" s="4" t="s">
        <v>104</v>
      </c>
      <c r="H319" s="4" t="s">
        <v>105</v>
      </c>
      <c r="I319" s="4"/>
      <c r="J319" s="4"/>
      <c r="K319" s="4">
        <v>230</v>
      </c>
      <c r="L319" s="4">
        <v>19</v>
      </c>
      <c r="M319" s="4">
        <v>3</v>
      </c>
      <c r="N319" s="4" t="s">
        <v>3</v>
      </c>
      <c r="O319" s="4">
        <v>0</v>
      </c>
      <c r="P319" s="4"/>
      <c r="Q319" s="4"/>
      <c r="R319" s="4"/>
      <c r="S319" s="4"/>
      <c r="T319" s="4"/>
      <c r="U319" s="4"/>
      <c r="V319" s="4"/>
      <c r="W319" s="4">
        <v>0</v>
      </c>
      <c r="X319" s="4">
        <v>1</v>
      </c>
      <c r="Y319" s="4">
        <v>0</v>
      </c>
      <c r="Z319" s="4"/>
      <c r="AA319" s="4"/>
      <c r="AB319" s="4"/>
    </row>
    <row r="320" spans="1:28" x14ac:dyDescent="0.2">
      <c r="A320" s="4">
        <v>50</v>
      </c>
      <c r="B320" s="4">
        <v>0</v>
      </c>
      <c r="C320" s="4">
        <v>0</v>
      </c>
      <c r="D320" s="4">
        <v>1</v>
      </c>
      <c r="E320" s="4">
        <v>206</v>
      </c>
      <c r="F320" s="4">
        <f>ROUND(Source!T299,O320)</f>
        <v>0</v>
      </c>
      <c r="G320" s="4" t="s">
        <v>106</v>
      </c>
      <c r="H320" s="4" t="s">
        <v>107</v>
      </c>
      <c r="I320" s="4"/>
      <c r="J320" s="4"/>
      <c r="K320" s="4">
        <v>206</v>
      </c>
      <c r="L320" s="4">
        <v>20</v>
      </c>
      <c r="M320" s="4">
        <v>3</v>
      </c>
      <c r="N320" s="4" t="s">
        <v>3</v>
      </c>
      <c r="O320" s="4">
        <v>0</v>
      </c>
      <c r="P320" s="4"/>
      <c r="Q320" s="4"/>
      <c r="R320" s="4"/>
      <c r="S320" s="4"/>
      <c r="T320" s="4"/>
      <c r="U320" s="4"/>
      <c r="V320" s="4"/>
      <c r="W320" s="4">
        <v>0</v>
      </c>
      <c r="X320" s="4">
        <v>1</v>
      </c>
      <c r="Y320" s="4">
        <v>0</v>
      </c>
      <c r="Z320" s="4"/>
      <c r="AA320" s="4"/>
      <c r="AB320" s="4"/>
    </row>
    <row r="321" spans="1:245" x14ac:dyDescent="0.2">
      <c r="A321" s="4">
        <v>50</v>
      </c>
      <c r="B321" s="4">
        <v>0</v>
      </c>
      <c r="C321" s="4">
        <v>0</v>
      </c>
      <c r="D321" s="4">
        <v>1</v>
      </c>
      <c r="E321" s="4">
        <v>207</v>
      </c>
      <c r="F321" s="4">
        <f>Source!U299</f>
        <v>278.39970499999998</v>
      </c>
      <c r="G321" s="4" t="s">
        <v>108</v>
      </c>
      <c r="H321" s="4" t="s">
        <v>109</v>
      </c>
      <c r="I321" s="4"/>
      <c r="J321" s="4"/>
      <c r="K321" s="4">
        <v>207</v>
      </c>
      <c r="L321" s="4">
        <v>21</v>
      </c>
      <c r="M321" s="4">
        <v>3</v>
      </c>
      <c r="N321" s="4" t="s">
        <v>3</v>
      </c>
      <c r="O321" s="4">
        <v>-1</v>
      </c>
      <c r="P321" s="4"/>
      <c r="Q321" s="4"/>
      <c r="R321" s="4"/>
      <c r="S321" s="4"/>
      <c r="T321" s="4"/>
      <c r="U321" s="4"/>
      <c r="V321" s="4"/>
      <c r="W321" s="4">
        <v>75.155788999999999</v>
      </c>
      <c r="X321" s="4">
        <v>1</v>
      </c>
      <c r="Y321" s="4">
        <v>75.155788999999999</v>
      </c>
      <c r="Z321" s="4"/>
      <c r="AA321" s="4"/>
      <c r="AB321" s="4"/>
    </row>
    <row r="322" spans="1:245" x14ac:dyDescent="0.2">
      <c r="A322" s="4">
        <v>50</v>
      </c>
      <c r="B322" s="4">
        <v>0</v>
      </c>
      <c r="C322" s="4">
        <v>0</v>
      </c>
      <c r="D322" s="4">
        <v>1</v>
      </c>
      <c r="E322" s="4">
        <v>208</v>
      </c>
      <c r="F322" s="4">
        <f>Source!V299</f>
        <v>4.1307999999999998</v>
      </c>
      <c r="G322" s="4" t="s">
        <v>110</v>
      </c>
      <c r="H322" s="4" t="s">
        <v>111</v>
      </c>
      <c r="I322" s="4"/>
      <c r="J322" s="4"/>
      <c r="K322" s="4">
        <v>208</v>
      </c>
      <c r="L322" s="4">
        <v>22</v>
      </c>
      <c r="M322" s="4">
        <v>3</v>
      </c>
      <c r="N322" s="4" t="s">
        <v>3</v>
      </c>
      <c r="O322" s="4">
        <v>-1</v>
      </c>
      <c r="P322" s="4"/>
      <c r="Q322" s="4"/>
      <c r="R322" s="4"/>
      <c r="S322" s="4"/>
      <c r="T322" s="4"/>
      <c r="U322" s="4"/>
      <c r="V322" s="4"/>
      <c r="W322" s="4">
        <v>2.15625</v>
      </c>
      <c r="X322" s="4">
        <v>1</v>
      </c>
      <c r="Y322" s="4">
        <v>2.15625</v>
      </c>
      <c r="Z322" s="4"/>
      <c r="AA322" s="4"/>
      <c r="AB322" s="4"/>
    </row>
    <row r="323" spans="1:245" x14ac:dyDescent="0.2">
      <c r="A323" s="4">
        <v>50</v>
      </c>
      <c r="B323" s="4">
        <v>0</v>
      </c>
      <c r="C323" s="4">
        <v>0</v>
      </c>
      <c r="D323" s="4">
        <v>1</v>
      </c>
      <c r="E323" s="4">
        <v>209</v>
      </c>
      <c r="F323" s="4">
        <f>ROUND(Source!W299,O323)</f>
        <v>0</v>
      </c>
      <c r="G323" s="4" t="s">
        <v>112</v>
      </c>
      <c r="H323" s="4" t="s">
        <v>113</v>
      </c>
      <c r="I323" s="4"/>
      <c r="J323" s="4"/>
      <c r="K323" s="4">
        <v>209</v>
      </c>
      <c r="L323" s="4">
        <v>23</v>
      </c>
      <c r="M323" s="4">
        <v>3</v>
      </c>
      <c r="N323" s="4" t="s">
        <v>3</v>
      </c>
      <c r="O323" s="4">
        <v>0</v>
      </c>
      <c r="P323" s="4"/>
      <c r="Q323" s="4"/>
      <c r="R323" s="4"/>
      <c r="S323" s="4"/>
      <c r="T323" s="4"/>
      <c r="U323" s="4"/>
      <c r="V323" s="4"/>
      <c r="W323" s="4">
        <v>0</v>
      </c>
      <c r="X323" s="4">
        <v>1</v>
      </c>
      <c r="Y323" s="4">
        <v>0</v>
      </c>
      <c r="Z323" s="4"/>
      <c r="AA323" s="4"/>
      <c r="AB323" s="4"/>
    </row>
    <row r="324" spans="1:245" x14ac:dyDescent="0.2">
      <c r="A324" s="4">
        <v>50</v>
      </c>
      <c r="B324" s="4">
        <v>0</v>
      </c>
      <c r="C324" s="4">
        <v>0</v>
      </c>
      <c r="D324" s="4">
        <v>1</v>
      </c>
      <c r="E324" s="4">
        <v>233</v>
      </c>
      <c r="F324" s="4">
        <f>ROUND(Source!BD299,O324)</f>
        <v>0</v>
      </c>
      <c r="G324" s="4" t="s">
        <v>114</v>
      </c>
      <c r="H324" s="4" t="s">
        <v>115</v>
      </c>
      <c r="I324" s="4"/>
      <c r="J324" s="4"/>
      <c r="K324" s="4">
        <v>233</v>
      </c>
      <c r="L324" s="4">
        <v>24</v>
      </c>
      <c r="M324" s="4">
        <v>3</v>
      </c>
      <c r="N324" s="4" t="s">
        <v>3</v>
      </c>
      <c r="O324" s="4">
        <v>0</v>
      </c>
      <c r="P324" s="4"/>
      <c r="Q324" s="4"/>
      <c r="R324" s="4"/>
      <c r="S324" s="4"/>
      <c r="T324" s="4"/>
      <c r="U324" s="4"/>
      <c r="V324" s="4"/>
      <c r="W324" s="4">
        <v>0</v>
      </c>
      <c r="X324" s="4">
        <v>1</v>
      </c>
      <c r="Y324" s="4">
        <v>0</v>
      </c>
      <c r="Z324" s="4"/>
      <c r="AA324" s="4"/>
      <c r="AB324" s="4"/>
    </row>
    <row r="325" spans="1:245" x14ac:dyDescent="0.2">
      <c r="A325" s="4">
        <v>50</v>
      </c>
      <c r="B325" s="4">
        <v>0</v>
      </c>
      <c r="C325" s="4">
        <v>0</v>
      </c>
      <c r="D325" s="4">
        <v>1</v>
      </c>
      <c r="E325" s="4">
        <v>210</v>
      </c>
      <c r="F325" s="4">
        <f>ROUND(Source!X299,O325)</f>
        <v>109919</v>
      </c>
      <c r="G325" s="4" t="s">
        <v>116</v>
      </c>
      <c r="H325" s="4" t="s">
        <v>117</v>
      </c>
      <c r="I325" s="4"/>
      <c r="J325" s="4"/>
      <c r="K325" s="4">
        <v>210</v>
      </c>
      <c r="L325" s="4">
        <v>25</v>
      </c>
      <c r="M325" s="4">
        <v>3</v>
      </c>
      <c r="N325" s="4" t="s">
        <v>3</v>
      </c>
      <c r="O325" s="4">
        <v>0</v>
      </c>
      <c r="P325" s="4"/>
      <c r="Q325" s="4"/>
      <c r="R325" s="4"/>
      <c r="S325" s="4"/>
      <c r="T325" s="4"/>
      <c r="U325" s="4"/>
      <c r="V325" s="4"/>
      <c r="W325" s="4">
        <v>29460</v>
      </c>
      <c r="X325" s="4">
        <v>1</v>
      </c>
      <c r="Y325" s="4">
        <v>29460</v>
      </c>
      <c r="Z325" s="4"/>
      <c r="AA325" s="4"/>
      <c r="AB325" s="4"/>
    </row>
    <row r="326" spans="1:245" x14ac:dyDescent="0.2">
      <c r="A326" s="4">
        <v>50</v>
      </c>
      <c r="B326" s="4">
        <v>0</v>
      </c>
      <c r="C326" s="4">
        <v>0</v>
      </c>
      <c r="D326" s="4">
        <v>1</v>
      </c>
      <c r="E326" s="4">
        <v>211</v>
      </c>
      <c r="F326" s="4">
        <f>ROUND(Source!Y299,O326)</f>
        <v>73141</v>
      </c>
      <c r="G326" s="4" t="s">
        <v>118</v>
      </c>
      <c r="H326" s="4" t="s">
        <v>119</v>
      </c>
      <c r="I326" s="4"/>
      <c r="J326" s="4"/>
      <c r="K326" s="4">
        <v>211</v>
      </c>
      <c r="L326" s="4">
        <v>26</v>
      </c>
      <c r="M326" s="4">
        <v>3</v>
      </c>
      <c r="N326" s="4" t="s">
        <v>3</v>
      </c>
      <c r="O326" s="4">
        <v>0</v>
      </c>
      <c r="P326" s="4"/>
      <c r="Q326" s="4"/>
      <c r="R326" s="4"/>
      <c r="S326" s="4"/>
      <c r="T326" s="4"/>
      <c r="U326" s="4"/>
      <c r="V326" s="4"/>
      <c r="W326" s="4">
        <v>19313</v>
      </c>
      <c r="X326" s="4">
        <v>1</v>
      </c>
      <c r="Y326" s="4">
        <v>19313</v>
      </c>
      <c r="Z326" s="4"/>
      <c r="AA326" s="4"/>
      <c r="AB326" s="4"/>
    </row>
    <row r="327" spans="1:245" x14ac:dyDescent="0.2">
      <c r="A327" s="4">
        <v>50</v>
      </c>
      <c r="B327" s="4">
        <v>0</v>
      </c>
      <c r="C327" s="4">
        <v>0</v>
      </c>
      <c r="D327" s="4">
        <v>1</v>
      </c>
      <c r="E327" s="4">
        <v>224</v>
      </c>
      <c r="F327" s="4">
        <f>ROUND(Source!AR299,O327)</f>
        <v>454344</v>
      </c>
      <c r="G327" s="4" t="s">
        <v>120</v>
      </c>
      <c r="H327" s="4" t="s">
        <v>121</v>
      </c>
      <c r="I327" s="4"/>
      <c r="J327" s="4"/>
      <c r="K327" s="4">
        <v>224</v>
      </c>
      <c r="L327" s="4">
        <v>27</v>
      </c>
      <c r="M327" s="4">
        <v>3</v>
      </c>
      <c r="N327" s="4" t="s">
        <v>3</v>
      </c>
      <c r="O327" s="4">
        <v>0</v>
      </c>
      <c r="P327" s="4"/>
      <c r="Q327" s="4"/>
      <c r="R327" s="4"/>
      <c r="S327" s="4"/>
      <c r="T327" s="4"/>
      <c r="U327" s="4"/>
      <c r="V327" s="4"/>
      <c r="W327" s="4">
        <v>117746</v>
      </c>
      <c r="X327" s="4">
        <v>1</v>
      </c>
      <c r="Y327" s="4">
        <v>117746</v>
      </c>
      <c r="Z327" s="4"/>
      <c r="AA327" s="4"/>
      <c r="AB327" s="4"/>
    </row>
    <row r="329" spans="1:245" x14ac:dyDescent="0.2">
      <c r="A329" s="1">
        <v>5</v>
      </c>
      <c r="B329" s="1">
        <v>1</v>
      </c>
      <c r="C329" s="1"/>
      <c r="D329" s="1">
        <f>ROW(A339)</f>
        <v>339</v>
      </c>
      <c r="E329" s="1"/>
      <c r="F329" s="1" t="s">
        <v>123</v>
      </c>
      <c r="G329" s="1" t="s">
        <v>255</v>
      </c>
      <c r="H329" s="1" t="s">
        <v>3</v>
      </c>
      <c r="I329" s="1">
        <v>0</v>
      </c>
      <c r="J329" s="1"/>
      <c r="K329" s="1">
        <v>0</v>
      </c>
      <c r="L329" s="1"/>
      <c r="M329" s="1" t="s">
        <v>3</v>
      </c>
      <c r="N329" s="1"/>
      <c r="O329" s="1"/>
      <c r="P329" s="1"/>
      <c r="Q329" s="1"/>
      <c r="R329" s="1"/>
      <c r="S329" s="1">
        <v>0</v>
      </c>
      <c r="T329" s="1"/>
      <c r="U329" s="1" t="s">
        <v>3</v>
      </c>
      <c r="V329" s="1">
        <v>0</v>
      </c>
      <c r="W329" s="1"/>
      <c r="X329" s="1"/>
      <c r="Y329" s="1"/>
      <c r="Z329" s="1"/>
      <c r="AA329" s="1"/>
      <c r="AB329" s="1" t="s">
        <v>3</v>
      </c>
      <c r="AC329" s="1" t="s">
        <v>3</v>
      </c>
      <c r="AD329" s="1" t="s">
        <v>3</v>
      </c>
      <c r="AE329" s="1" t="s">
        <v>3</v>
      </c>
      <c r="AF329" s="1" t="s">
        <v>3</v>
      </c>
      <c r="AG329" s="1" t="s">
        <v>3</v>
      </c>
      <c r="AH329" s="1"/>
      <c r="AI329" s="1"/>
      <c r="AJ329" s="1"/>
      <c r="AK329" s="1"/>
      <c r="AL329" s="1"/>
      <c r="AM329" s="1"/>
      <c r="AN329" s="1"/>
      <c r="AO329" s="1"/>
      <c r="AP329" s="1" t="s">
        <v>3</v>
      </c>
      <c r="AQ329" s="1" t="s">
        <v>3</v>
      </c>
      <c r="AR329" s="1" t="s">
        <v>3</v>
      </c>
      <c r="AS329" s="1"/>
      <c r="AT329" s="1"/>
      <c r="AU329" s="1"/>
      <c r="AV329" s="1"/>
      <c r="AW329" s="1"/>
      <c r="AX329" s="1"/>
      <c r="AY329" s="1"/>
      <c r="AZ329" s="1" t="s">
        <v>3</v>
      </c>
      <c r="BA329" s="1"/>
      <c r="BB329" s="1" t="s">
        <v>3</v>
      </c>
      <c r="BC329" s="1" t="s">
        <v>3</v>
      </c>
      <c r="BD329" s="1" t="s">
        <v>3</v>
      </c>
      <c r="BE329" s="1" t="s">
        <v>3</v>
      </c>
      <c r="BF329" s="1" t="s">
        <v>3</v>
      </c>
      <c r="BG329" s="1" t="s">
        <v>3</v>
      </c>
      <c r="BH329" s="1" t="s">
        <v>3</v>
      </c>
      <c r="BI329" s="1" t="s">
        <v>3</v>
      </c>
      <c r="BJ329" s="1" t="s">
        <v>3</v>
      </c>
      <c r="BK329" s="1" t="s">
        <v>3</v>
      </c>
      <c r="BL329" s="1" t="s">
        <v>3</v>
      </c>
      <c r="BM329" s="1" t="s">
        <v>3</v>
      </c>
      <c r="BN329" s="1" t="s">
        <v>3</v>
      </c>
      <c r="BO329" s="1" t="s">
        <v>3</v>
      </c>
      <c r="BP329" s="1" t="s">
        <v>3</v>
      </c>
      <c r="BQ329" s="1"/>
      <c r="BR329" s="1"/>
      <c r="BS329" s="1"/>
      <c r="BT329" s="1"/>
      <c r="BU329" s="1"/>
      <c r="BV329" s="1"/>
      <c r="BW329" s="1"/>
      <c r="BX329" s="1">
        <v>0</v>
      </c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>
        <v>0</v>
      </c>
    </row>
    <row r="331" spans="1:245" x14ac:dyDescent="0.2">
      <c r="A331" s="2">
        <v>52</v>
      </c>
      <c r="B331" s="2">
        <f t="shared" ref="B331:G331" si="292">B339</f>
        <v>1</v>
      </c>
      <c r="C331" s="2">
        <f t="shared" si="292"/>
        <v>5</v>
      </c>
      <c r="D331" s="2">
        <f t="shared" si="292"/>
        <v>329</v>
      </c>
      <c r="E331" s="2">
        <f t="shared" si="292"/>
        <v>0</v>
      </c>
      <c r="F331" s="2" t="str">
        <f t="shared" si="292"/>
        <v>Новый подраздел</v>
      </c>
      <c r="G331" s="2" t="str">
        <f t="shared" si="292"/>
        <v>Устройство бетонного лотка</v>
      </c>
      <c r="H331" s="2"/>
      <c r="I331" s="2"/>
      <c r="J331" s="2"/>
      <c r="K331" s="2"/>
      <c r="L331" s="2"/>
      <c r="M331" s="2"/>
      <c r="N331" s="2"/>
      <c r="O331" s="2">
        <f t="shared" ref="O331:AT331" si="293">O339</f>
        <v>1409190</v>
      </c>
      <c r="P331" s="2">
        <f t="shared" si="293"/>
        <v>1327843</v>
      </c>
      <c r="Q331" s="2">
        <f t="shared" si="293"/>
        <v>28454</v>
      </c>
      <c r="R331" s="2">
        <f t="shared" si="293"/>
        <v>10172</v>
      </c>
      <c r="S331" s="2">
        <f t="shared" si="293"/>
        <v>52893</v>
      </c>
      <c r="T331" s="2">
        <f t="shared" si="293"/>
        <v>0</v>
      </c>
      <c r="U331" s="2">
        <f t="shared" si="293"/>
        <v>393.22194374999992</v>
      </c>
      <c r="V331" s="2">
        <f t="shared" si="293"/>
        <v>57.558362499999994</v>
      </c>
      <c r="W331" s="2">
        <f t="shared" si="293"/>
        <v>0</v>
      </c>
      <c r="X331" s="2">
        <f t="shared" si="293"/>
        <v>72069</v>
      </c>
      <c r="Y331" s="2">
        <f t="shared" si="293"/>
        <v>53111</v>
      </c>
      <c r="Z331" s="2">
        <f t="shared" si="293"/>
        <v>0</v>
      </c>
      <c r="AA331" s="2">
        <f t="shared" si="293"/>
        <v>0</v>
      </c>
      <c r="AB331" s="2">
        <f t="shared" si="293"/>
        <v>1409190</v>
      </c>
      <c r="AC331" s="2">
        <f t="shared" si="293"/>
        <v>1327843</v>
      </c>
      <c r="AD331" s="2">
        <f t="shared" si="293"/>
        <v>28454</v>
      </c>
      <c r="AE331" s="2">
        <f t="shared" si="293"/>
        <v>10172</v>
      </c>
      <c r="AF331" s="2">
        <f t="shared" si="293"/>
        <v>52893</v>
      </c>
      <c r="AG331" s="2">
        <f t="shared" si="293"/>
        <v>0</v>
      </c>
      <c r="AH331" s="2">
        <f t="shared" si="293"/>
        <v>393.22194374999992</v>
      </c>
      <c r="AI331" s="2">
        <f t="shared" si="293"/>
        <v>57.558362499999994</v>
      </c>
      <c r="AJ331" s="2">
        <f t="shared" si="293"/>
        <v>0</v>
      </c>
      <c r="AK331" s="2">
        <f t="shared" si="293"/>
        <v>72069</v>
      </c>
      <c r="AL331" s="2">
        <f t="shared" si="293"/>
        <v>53111</v>
      </c>
      <c r="AM331" s="2">
        <f t="shared" si="293"/>
        <v>0</v>
      </c>
      <c r="AN331" s="2">
        <f t="shared" si="293"/>
        <v>0</v>
      </c>
      <c r="AO331" s="2">
        <f t="shared" si="293"/>
        <v>0</v>
      </c>
      <c r="AP331" s="2">
        <f t="shared" si="293"/>
        <v>0</v>
      </c>
      <c r="AQ331" s="2">
        <f t="shared" si="293"/>
        <v>0</v>
      </c>
      <c r="AR331" s="2">
        <f t="shared" si="293"/>
        <v>1534370</v>
      </c>
      <c r="AS331" s="2">
        <f t="shared" si="293"/>
        <v>789977</v>
      </c>
      <c r="AT331" s="2">
        <f t="shared" si="293"/>
        <v>0</v>
      </c>
      <c r="AU331" s="2">
        <f t="shared" ref="AU331:BZ331" si="294">AU339</f>
        <v>744393</v>
      </c>
      <c r="AV331" s="2">
        <f t="shared" si="294"/>
        <v>1327843</v>
      </c>
      <c r="AW331" s="2">
        <f t="shared" si="294"/>
        <v>1327843</v>
      </c>
      <c r="AX331" s="2">
        <f t="shared" si="294"/>
        <v>0</v>
      </c>
      <c r="AY331" s="2">
        <f t="shared" si="294"/>
        <v>1327843</v>
      </c>
      <c r="AZ331" s="2">
        <f t="shared" si="294"/>
        <v>0</v>
      </c>
      <c r="BA331" s="2">
        <f t="shared" si="294"/>
        <v>0</v>
      </c>
      <c r="BB331" s="2">
        <f t="shared" si="294"/>
        <v>0</v>
      </c>
      <c r="BC331" s="2">
        <f t="shared" si="294"/>
        <v>0</v>
      </c>
      <c r="BD331" s="2">
        <f t="shared" si="294"/>
        <v>0</v>
      </c>
      <c r="BE331" s="2">
        <f t="shared" si="294"/>
        <v>0</v>
      </c>
      <c r="BF331" s="2">
        <f t="shared" si="294"/>
        <v>0</v>
      </c>
      <c r="BG331" s="2">
        <f t="shared" si="294"/>
        <v>0</v>
      </c>
      <c r="BH331" s="2">
        <f t="shared" si="294"/>
        <v>0</v>
      </c>
      <c r="BI331" s="2">
        <f t="shared" si="294"/>
        <v>0</v>
      </c>
      <c r="BJ331" s="2">
        <f t="shared" si="294"/>
        <v>0</v>
      </c>
      <c r="BK331" s="2">
        <f t="shared" si="294"/>
        <v>0</v>
      </c>
      <c r="BL331" s="2">
        <f t="shared" si="294"/>
        <v>0</v>
      </c>
      <c r="BM331" s="2">
        <f t="shared" si="294"/>
        <v>0</v>
      </c>
      <c r="BN331" s="2">
        <f t="shared" si="294"/>
        <v>0</v>
      </c>
      <c r="BO331" s="2">
        <f t="shared" si="294"/>
        <v>0</v>
      </c>
      <c r="BP331" s="2">
        <f t="shared" si="294"/>
        <v>0</v>
      </c>
      <c r="BQ331" s="2">
        <f t="shared" si="294"/>
        <v>0</v>
      </c>
      <c r="BR331" s="2">
        <f t="shared" si="294"/>
        <v>0</v>
      </c>
      <c r="BS331" s="2">
        <f t="shared" si="294"/>
        <v>0</v>
      </c>
      <c r="BT331" s="2">
        <f t="shared" si="294"/>
        <v>0</v>
      </c>
      <c r="BU331" s="2">
        <f t="shared" si="294"/>
        <v>0</v>
      </c>
      <c r="BV331" s="2">
        <f t="shared" si="294"/>
        <v>0</v>
      </c>
      <c r="BW331" s="2">
        <f t="shared" si="294"/>
        <v>0</v>
      </c>
      <c r="BX331" s="2">
        <f t="shared" si="294"/>
        <v>0</v>
      </c>
      <c r="BY331" s="2">
        <f t="shared" si="294"/>
        <v>0</v>
      </c>
      <c r="BZ331" s="2">
        <f t="shared" si="294"/>
        <v>0</v>
      </c>
      <c r="CA331" s="2">
        <f t="shared" ref="CA331:DF331" si="295">CA339</f>
        <v>1534370</v>
      </c>
      <c r="CB331" s="2">
        <f t="shared" si="295"/>
        <v>789977</v>
      </c>
      <c r="CC331" s="2">
        <f t="shared" si="295"/>
        <v>0</v>
      </c>
      <c r="CD331" s="2">
        <f t="shared" si="295"/>
        <v>744393</v>
      </c>
      <c r="CE331" s="2">
        <f t="shared" si="295"/>
        <v>1327843</v>
      </c>
      <c r="CF331" s="2">
        <f t="shared" si="295"/>
        <v>1327843</v>
      </c>
      <c r="CG331" s="2">
        <f t="shared" si="295"/>
        <v>0</v>
      </c>
      <c r="CH331" s="2">
        <f t="shared" si="295"/>
        <v>1327843</v>
      </c>
      <c r="CI331" s="2">
        <f t="shared" si="295"/>
        <v>0</v>
      </c>
      <c r="CJ331" s="2">
        <f t="shared" si="295"/>
        <v>0</v>
      </c>
      <c r="CK331" s="2">
        <f t="shared" si="295"/>
        <v>0</v>
      </c>
      <c r="CL331" s="2">
        <f t="shared" si="295"/>
        <v>0</v>
      </c>
      <c r="CM331" s="2">
        <f t="shared" si="295"/>
        <v>0</v>
      </c>
      <c r="CN331" s="2">
        <f t="shared" si="295"/>
        <v>0</v>
      </c>
      <c r="CO331" s="2">
        <f t="shared" si="295"/>
        <v>0</v>
      </c>
      <c r="CP331" s="2">
        <f t="shared" si="295"/>
        <v>0</v>
      </c>
      <c r="CQ331" s="2">
        <f t="shared" si="295"/>
        <v>0</v>
      </c>
      <c r="CR331" s="2">
        <f t="shared" si="295"/>
        <v>0</v>
      </c>
      <c r="CS331" s="2">
        <f t="shared" si="295"/>
        <v>0</v>
      </c>
      <c r="CT331" s="2">
        <f t="shared" si="295"/>
        <v>0</v>
      </c>
      <c r="CU331" s="2">
        <f t="shared" si="295"/>
        <v>0</v>
      </c>
      <c r="CV331" s="2">
        <f t="shared" si="295"/>
        <v>0</v>
      </c>
      <c r="CW331" s="2">
        <f t="shared" si="295"/>
        <v>0</v>
      </c>
      <c r="CX331" s="2">
        <f t="shared" si="295"/>
        <v>0</v>
      </c>
      <c r="CY331" s="2">
        <f t="shared" si="295"/>
        <v>0</v>
      </c>
      <c r="CZ331" s="2">
        <f t="shared" si="295"/>
        <v>0</v>
      </c>
      <c r="DA331" s="2">
        <f t="shared" si="295"/>
        <v>0</v>
      </c>
      <c r="DB331" s="2">
        <f t="shared" si="295"/>
        <v>0</v>
      </c>
      <c r="DC331" s="2">
        <f t="shared" si="295"/>
        <v>0</v>
      </c>
      <c r="DD331" s="2">
        <f t="shared" si="295"/>
        <v>0</v>
      </c>
      <c r="DE331" s="2">
        <f t="shared" si="295"/>
        <v>0</v>
      </c>
      <c r="DF331" s="2">
        <f t="shared" si="295"/>
        <v>0</v>
      </c>
      <c r="DG331" s="3">
        <f t="shared" ref="DG331:EL331" si="296">DG339</f>
        <v>0</v>
      </c>
      <c r="DH331" s="3">
        <f t="shared" si="296"/>
        <v>0</v>
      </c>
      <c r="DI331" s="3">
        <f t="shared" si="296"/>
        <v>0</v>
      </c>
      <c r="DJ331" s="3">
        <f t="shared" si="296"/>
        <v>0</v>
      </c>
      <c r="DK331" s="3">
        <f t="shared" si="296"/>
        <v>0</v>
      </c>
      <c r="DL331" s="3">
        <f t="shared" si="296"/>
        <v>0</v>
      </c>
      <c r="DM331" s="3">
        <f t="shared" si="296"/>
        <v>0</v>
      </c>
      <c r="DN331" s="3">
        <f t="shared" si="296"/>
        <v>0</v>
      </c>
      <c r="DO331" s="3">
        <f t="shared" si="296"/>
        <v>0</v>
      </c>
      <c r="DP331" s="3">
        <f t="shared" si="296"/>
        <v>0</v>
      </c>
      <c r="DQ331" s="3">
        <f t="shared" si="296"/>
        <v>0</v>
      </c>
      <c r="DR331" s="3">
        <f t="shared" si="296"/>
        <v>0</v>
      </c>
      <c r="DS331" s="3">
        <f t="shared" si="296"/>
        <v>0</v>
      </c>
      <c r="DT331" s="3">
        <f t="shared" si="296"/>
        <v>0</v>
      </c>
      <c r="DU331" s="3">
        <f t="shared" si="296"/>
        <v>0</v>
      </c>
      <c r="DV331" s="3">
        <f t="shared" si="296"/>
        <v>0</v>
      </c>
      <c r="DW331" s="3">
        <f t="shared" si="296"/>
        <v>0</v>
      </c>
      <c r="DX331" s="3">
        <f t="shared" si="296"/>
        <v>0</v>
      </c>
      <c r="DY331" s="3">
        <f t="shared" si="296"/>
        <v>0</v>
      </c>
      <c r="DZ331" s="3">
        <f t="shared" si="296"/>
        <v>0</v>
      </c>
      <c r="EA331" s="3">
        <f t="shared" si="296"/>
        <v>0</v>
      </c>
      <c r="EB331" s="3">
        <f t="shared" si="296"/>
        <v>0</v>
      </c>
      <c r="EC331" s="3">
        <f t="shared" si="296"/>
        <v>0</v>
      </c>
      <c r="ED331" s="3">
        <f t="shared" si="296"/>
        <v>0</v>
      </c>
      <c r="EE331" s="3">
        <f t="shared" si="296"/>
        <v>0</v>
      </c>
      <c r="EF331" s="3">
        <f t="shared" si="296"/>
        <v>0</v>
      </c>
      <c r="EG331" s="3">
        <f t="shared" si="296"/>
        <v>0</v>
      </c>
      <c r="EH331" s="3">
        <f t="shared" si="296"/>
        <v>0</v>
      </c>
      <c r="EI331" s="3">
        <f t="shared" si="296"/>
        <v>0</v>
      </c>
      <c r="EJ331" s="3">
        <f t="shared" si="296"/>
        <v>0</v>
      </c>
      <c r="EK331" s="3">
        <f t="shared" si="296"/>
        <v>0</v>
      </c>
      <c r="EL331" s="3">
        <f t="shared" si="296"/>
        <v>0</v>
      </c>
      <c r="EM331" s="3">
        <f t="shared" ref="EM331:FR331" si="297">EM339</f>
        <v>0</v>
      </c>
      <c r="EN331" s="3">
        <f t="shared" si="297"/>
        <v>0</v>
      </c>
      <c r="EO331" s="3">
        <f t="shared" si="297"/>
        <v>0</v>
      </c>
      <c r="EP331" s="3">
        <f t="shared" si="297"/>
        <v>0</v>
      </c>
      <c r="EQ331" s="3">
        <f t="shared" si="297"/>
        <v>0</v>
      </c>
      <c r="ER331" s="3">
        <f t="shared" si="297"/>
        <v>0</v>
      </c>
      <c r="ES331" s="3">
        <f t="shared" si="297"/>
        <v>0</v>
      </c>
      <c r="ET331" s="3">
        <f t="shared" si="297"/>
        <v>0</v>
      </c>
      <c r="EU331" s="3">
        <f t="shared" si="297"/>
        <v>0</v>
      </c>
      <c r="EV331" s="3">
        <f t="shared" si="297"/>
        <v>0</v>
      </c>
      <c r="EW331" s="3">
        <f t="shared" si="297"/>
        <v>0</v>
      </c>
      <c r="EX331" s="3">
        <f t="shared" si="297"/>
        <v>0</v>
      </c>
      <c r="EY331" s="3">
        <f t="shared" si="297"/>
        <v>0</v>
      </c>
      <c r="EZ331" s="3">
        <f t="shared" si="297"/>
        <v>0</v>
      </c>
      <c r="FA331" s="3">
        <f t="shared" si="297"/>
        <v>0</v>
      </c>
      <c r="FB331" s="3">
        <f t="shared" si="297"/>
        <v>0</v>
      </c>
      <c r="FC331" s="3">
        <f t="shared" si="297"/>
        <v>0</v>
      </c>
      <c r="FD331" s="3">
        <f t="shared" si="297"/>
        <v>0</v>
      </c>
      <c r="FE331" s="3">
        <f t="shared" si="297"/>
        <v>0</v>
      </c>
      <c r="FF331" s="3">
        <f t="shared" si="297"/>
        <v>0</v>
      </c>
      <c r="FG331" s="3">
        <f t="shared" si="297"/>
        <v>0</v>
      </c>
      <c r="FH331" s="3">
        <f t="shared" si="297"/>
        <v>0</v>
      </c>
      <c r="FI331" s="3">
        <f t="shared" si="297"/>
        <v>0</v>
      </c>
      <c r="FJ331" s="3">
        <f t="shared" si="297"/>
        <v>0</v>
      </c>
      <c r="FK331" s="3">
        <f t="shared" si="297"/>
        <v>0</v>
      </c>
      <c r="FL331" s="3">
        <f t="shared" si="297"/>
        <v>0</v>
      </c>
      <c r="FM331" s="3">
        <f t="shared" si="297"/>
        <v>0</v>
      </c>
      <c r="FN331" s="3">
        <f t="shared" si="297"/>
        <v>0</v>
      </c>
      <c r="FO331" s="3">
        <f t="shared" si="297"/>
        <v>0</v>
      </c>
      <c r="FP331" s="3">
        <f t="shared" si="297"/>
        <v>0</v>
      </c>
      <c r="FQ331" s="3">
        <f t="shared" si="297"/>
        <v>0</v>
      </c>
      <c r="FR331" s="3">
        <f t="shared" si="297"/>
        <v>0</v>
      </c>
      <c r="FS331" s="3">
        <f t="shared" ref="FS331:GX331" si="298">FS339</f>
        <v>0</v>
      </c>
      <c r="FT331" s="3">
        <f t="shared" si="298"/>
        <v>0</v>
      </c>
      <c r="FU331" s="3">
        <f t="shared" si="298"/>
        <v>0</v>
      </c>
      <c r="FV331" s="3">
        <f t="shared" si="298"/>
        <v>0</v>
      </c>
      <c r="FW331" s="3">
        <f t="shared" si="298"/>
        <v>0</v>
      </c>
      <c r="FX331" s="3">
        <f t="shared" si="298"/>
        <v>0</v>
      </c>
      <c r="FY331" s="3">
        <f t="shared" si="298"/>
        <v>0</v>
      </c>
      <c r="FZ331" s="3">
        <f t="shared" si="298"/>
        <v>0</v>
      </c>
      <c r="GA331" s="3">
        <f t="shared" si="298"/>
        <v>0</v>
      </c>
      <c r="GB331" s="3">
        <f t="shared" si="298"/>
        <v>0</v>
      </c>
      <c r="GC331" s="3">
        <f t="shared" si="298"/>
        <v>0</v>
      </c>
      <c r="GD331" s="3">
        <f t="shared" si="298"/>
        <v>0</v>
      </c>
      <c r="GE331" s="3">
        <f t="shared" si="298"/>
        <v>0</v>
      </c>
      <c r="GF331" s="3">
        <f t="shared" si="298"/>
        <v>0</v>
      </c>
      <c r="GG331" s="3">
        <f t="shared" si="298"/>
        <v>0</v>
      </c>
      <c r="GH331" s="3">
        <f t="shared" si="298"/>
        <v>0</v>
      </c>
      <c r="GI331" s="3">
        <f t="shared" si="298"/>
        <v>0</v>
      </c>
      <c r="GJ331" s="3">
        <f t="shared" si="298"/>
        <v>0</v>
      </c>
      <c r="GK331" s="3">
        <f t="shared" si="298"/>
        <v>0</v>
      </c>
      <c r="GL331" s="3">
        <f t="shared" si="298"/>
        <v>0</v>
      </c>
      <c r="GM331" s="3">
        <f t="shared" si="298"/>
        <v>0</v>
      </c>
      <c r="GN331" s="3">
        <f t="shared" si="298"/>
        <v>0</v>
      </c>
      <c r="GO331" s="3">
        <f t="shared" si="298"/>
        <v>0</v>
      </c>
      <c r="GP331" s="3">
        <f t="shared" si="298"/>
        <v>0</v>
      </c>
      <c r="GQ331" s="3">
        <f t="shared" si="298"/>
        <v>0</v>
      </c>
      <c r="GR331" s="3">
        <f t="shared" si="298"/>
        <v>0</v>
      </c>
      <c r="GS331" s="3">
        <f t="shared" si="298"/>
        <v>0</v>
      </c>
      <c r="GT331" s="3">
        <f t="shared" si="298"/>
        <v>0</v>
      </c>
      <c r="GU331" s="3">
        <f t="shared" si="298"/>
        <v>0</v>
      </c>
      <c r="GV331" s="3">
        <f t="shared" si="298"/>
        <v>0</v>
      </c>
      <c r="GW331" s="3">
        <f t="shared" si="298"/>
        <v>0</v>
      </c>
      <c r="GX331" s="3">
        <f t="shared" si="298"/>
        <v>0</v>
      </c>
    </row>
    <row r="333" spans="1:245" x14ac:dyDescent="0.2">
      <c r="A333">
        <v>17</v>
      </c>
      <c r="B333">
        <v>1</v>
      </c>
      <c r="C333">
        <f>ROW(SmtRes!A211)</f>
        <v>211</v>
      </c>
      <c r="D333">
        <f>ROW(EtalonRes!A198)</f>
        <v>198</v>
      </c>
      <c r="E333" t="s">
        <v>15</v>
      </c>
      <c r="F333" t="s">
        <v>125</v>
      </c>
      <c r="G333" t="s">
        <v>126</v>
      </c>
      <c r="H333" t="s">
        <v>127</v>
      </c>
      <c r="I333">
        <f>ROUND(5/100,9)</f>
        <v>0.05</v>
      </c>
      <c r="J333">
        <v>0</v>
      </c>
      <c r="K333">
        <f>ROUND(5/100,9)</f>
        <v>0.05</v>
      </c>
      <c r="O333">
        <f>ROUND(CP333,0)</f>
        <v>436</v>
      </c>
      <c r="P333">
        <f>ROUND(CQ333*I333,0)</f>
        <v>0</v>
      </c>
      <c r="Q333">
        <f>ROUND(CR333*I333,0)</f>
        <v>236</v>
      </c>
      <c r="R333">
        <f>ROUND(CS333*I333,0)</f>
        <v>57</v>
      </c>
      <c r="S333">
        <f>ROUND(CT333*I333,0)</f>
        <v>200</v>
      </c>
      <c r="T333">
        <f>ROUND(CU333*I333,0)</f>
        <v>0</v>
      </c>
      <c r="U333">
        <f>CV333*I333</f>
        <v>0.72047499999999998</v>
      </c>
      <c r="V333">
        <f>CW333*I333</f>
        <v>0.17479999999999998</v>
      </c>
      <c r="W333">
        <f>ROUND(CX333*I333,0)</f>
        <v>0</v>
      </c>
      <c r="X333">
        <f t="shared" ref="X333:Y337" si="299">ROUND(CY333,0)</f>
        <v>244</v>
      </c>
      <c r="Y333">
        <f t="shared" si="299"/>
        <v>129</v>
      </c>
      <c r="AA333">
        <v>46416371</v>
      </c>
      <c r="AB333">
        <f>ROUND((AC333+AD333+AF333),6)</f>
        <v>468.18799999999999</v>
      </c>
      <c r="AC333">
        <f>ROUND((ES333),6)</f>
        <v>0</v>
      </c>
      <c r="AD333">
        <f>ROUND(((((ET333*1.15))-((EU333*1.15)))+AE333),6)</f>
        <v>353.34899999999999</v>
      </c>
      <c r="AE333">
        <f>ROUND(((EU333*1.15)),6)</f>
        <v>32.866999999999997</v>
      </c>
      <c r="AF333">
        <f>ROUND(((EV333*1.15)),6)</f>
        <v>114.839</v>
      </c>
      <c r="AG333">
        <f>ROUND((AP333),6)</f>
        <v>0</v>
      </c>
      <c r="AH333">
        <f>((EW333*1.15))</f>
        <v>14.409499999999998</v>
      </c>
      <c r="AI333">
        <f>((EX333*1.15))</f>
        <v>3.4959999999999996</v>
      </c>
      <c r="AJ333">
        <f>(AS333)</f>
        <v>0</v>
      </c>
      <c r="AK333">
        <v>407.12</v>
      </c>
      <c r="AL333">
        <v>0</v>
      </c>
      <c r="AM333">
        <v>307.26</v>
      </c>
      <c r="AN333">
        <v>28.58</v>
      </c>
      <c r="AO333">
        <v>99.86</v>
      </c>
      <c r="AP333">
        <v>0</v>
      </c>
      <c r="AQ333">
        <v>12.53</v>
      </c>
      <c r="AR333">
        <v>3.04</v>
      </c>
      <c r="AS333">
        <v>0</v>
      </c>
      <c r="AT333">
        <v>95</v>
      </c>
      <c r="AU333">
        <v>50</v>
      </c>
      <c r="AV333">
        <v>1</v>
      </c>
      <c r="AW333">
        <v>1</v>
      </c>
      <c r="AZ333">
        <v>1</v>
      </c>
      <c r="BA333">
        <v>34.75</v>
      </c>
      <c r="BB333">
        <v>13.36</v>
      </c>
      <c r="BC333">
        <v>8.2899999999999991</v>
      </c>
      <c r="BD333" t="s">
        <v>3</v>
      </c>
      <c r="BE333" t="s">
        <v>3</v>
      </c>
      <c r="BF333" t="s">
        <v>3</v>
      </c>
      <c r="BG333" t="s">
        <v>3</v>
      </c>
      <c r="BH333">
        <v>0</v>
      </c>
      <c r="BI333">
        <v>1</v>
      </c>
      <c r="BJ333" t="s">
        <v>128</v>
      </c>
      <c r="BM333">
        <v>1002</v>
      </c>
      <c r="BN333">
        <v>0</v>
      </c>
      <c r="BO333" t="s">
        <v>3</v>
      </c>
      <c r="BP333">
        <v>0</v>
      </c>
      <c r="BQ333">
        <v>2</v>
      </c>
      <c r="BR333">
        <v>0</v>
      </c>
      <c r="BS333">
        <v>34.75</v>
      </c>
      <c r="BT333">
        <v>1</v>
      </c>
      <c r="BU333">
        <v>1</v>
      </c>
      <c r="BV333">
        <v>1</v>
      </c>
      <c r="BW333">
        <v>1</v>
      </c>
      <c r="BX333">
        <v>1</v>
      </c>
      <c r="BY333" t="s">
        <v>3</v>
      </c>
      <c r="BZ333">
        <v>95</v>
      </c>
      <c r="CA333">
        <v>50</v>
      </c>
      <c r="CB333" t="s">
        <v>3</v>
      </c>
      <c r="CE333">
        <v>0</v>
      </c>
      <c r="CF333">
        <v>0</v>
      </c>
      <c r="CG333">
        <v>0</v>
      </c>
      <c r="CM333">
        <v>0</v>
      </c>
      <c r="CN333" t="s">
        <v>675</v>
      </c>
      <c r="CO333">
        <v>0</v>
      </c>
      <c r="CP333">
        <f>(P333+Q333+S333)</f>
        <v>436</v>
      </c>
      <c r="CQ333">
        <f>AC333*BC333</f>
        <v>0</v>
      </c>
      <c r="CR333">
        <f>AD333*BB333</f>
        <v>4720.7426399999995</v>
      </c>
      <c r="CS333">
        <f>AE333*BS333</f>
        <v>1142.12825</v>
      </c>
      <c r="CT333">
        <f>AF333*BA333</f>
        <v>3990.6552499999998</v>
      </c>
      <c r="CU333">
        <f t="shared" ref="CU333:CX337" si="300">AG333</f>
        <v>0</v>
      </c>
      <c r="CV333">
        <f t="shared" si="300"/>
        <v>14.409499999999998</v>
      </c>
      <c r="CW333">
        <f t="shared" si="300"/>
        <v>3.4959999999999996</v>
      </c>
      <c r="CX333">
        <f t="shared" si="300"/>
        <v>0</v>
      </c>
      <c r="CY333">
        <f>(((S333+R333)*AT333)/100)</f>
        <v>244.15</v>
      </c>
      <c r="CZ333">
        <f>(((S333+R333)*AU333)/100)</f>
        <v>128.5</v>
      </c>
      <c r="DC333" t="s">
        <v>3</v>
      </c>
      <c r="DD333" t="s">
        <v>3</v>
      </c>
      <c r="DE333" t="s">
        <v>31</v>
      </c>
      <c r="DF333" t="s">
        <v>31</v>
      </c>
      <c r="DG333" t="s">
        <v>31</v>
      </c>
      <c r="DH333" t="s">
        <v>3</v>
      </c>
      <c r="DI333" t="s">
        <v>31</v>
      </c>
      <c r="DJ333" t="s">
        <v>31</v>
      </c>
      <c r="DK333" t="s">
        <v>3</v>
      </c>
      <c r="DL333" t="s">
        <v>3</v>
      </c>
      <c r="DM333" t="s">
        <v>3</v>
      </c>
      <c r="DN333">
        <v>0</v>
      </c>
      <c r="DO333">
        <v>0</v>
      </c>
      <c r="DP333">
        <v>1</v>
      </c>
      <c r="DQ333">
        <v>1</v>
      </c>
      <c r="DU333">
        <v>1013</v>
      </c>
      <c r="DV333" t="s">
        <v>127</v>
      </c>
      <c r="DW333" t="s">
        <v>127</v>
      </c>
      <c r="DX333">
        <v>1</v>
      </c>
      <c r="DZ333" t="s">
        <v>3</v>
      </c>
      <c r="EA333" t="s">
        <v>3</v>
      </c>
      <c r="EB333" t="s">
        <v>3</v>
      </c>
      <c r="EC333" t="s">
        <v>3</v>
      </c>
      <c r="EE333">
        <v>42475884</v>
      </c>
      <c r="EF333">
        <v>2</v>
      </c>
      <c r="EG333" t="s">
        <v>22</v>
      </c>
      <c r="EH333">
        <v>0</v>
      </c>
      <c r="EI333" t="s">
        <v>3</v>
      </c>
      <c r="EJ333">
        <v>1</v>
      </c>
      <c r="EK333">
        <v>1002</v>
      </c>
      <c r="EL333" t="s">
        <v>54</v>
      </c>
      <c r="EM333" t="s">
        <v>33</v>
      </c>
      <c r="EO333" t="s">
        <v>34</v>
      </c>
      <c r="EQ333">
        <v>2097152</v>
      </c>
      <c r="ER333">
        <v>407.12</v>
      </c>
      <c r="ES333">
        <v>0</v>
      </c>
      <c r="ET333">
        <v>307.26</v>
      </c>
      <c r="EU333">
        <v>28.58</v>
      </c>
      <c r="EV333">
        <v>99.86</v>
      </c>
      <c r="EW333">
        <v>12.53</v>
      </c>
      <c r="EX333">
        <v>3.04</v>
      </c>
      <c r="EY333">
        <v>0</v>
      </c>
      <c r="FQ333">
        <v>0</v>
      </c>
      <c r="FR333">
        <f>ROUND(IF(AND(BH333=3,BI333=3),P333,0),0)</f>
        <v>0</v>
      </c>
      <c r="FS333">
        <v>0</v>
      </c>
      <c r="FX333">
        <v>95</v>
      </c>
      <c r="FY333">
        <v>50</v>
      </c>
      <c r="GA333" t="s">
        <v>3</v>
      </c>
      <c r="GD333">
        <v>1</v>
      </c>
      <c r="GF333">
        <v>-2137936402</v>
      </c>
      <c r="GG333">
        <v>2</v>
      </c>
      <c r="GH333">
        <v>1</v>
      </c>
      <c r="GI333">
        <v>4</v>
      </c>
      <c r="GJ333">
        <v>0</v>
      </c>
      <c r="GK333">
        <v>0</v>
      </c>
      <c r="GL333">
        <f>ROUND(IF(AND(BH333=3,BI333=3,FS333&lt;&gt;0),P333,0),0)</f>
        <v>0</v>
      </c>
      <c r="GM333">
        <f>ROUND(O333+X333+Y333,0)+GX333</f>
        <v>809</v>
      </c>
      <c r="GN333">
        <f>IF(OR(BI333=0,BI333=1),ROUND(O333+X333+Y333,0),0)</f>
        <v>809</v>
      </c>
      <c r="GO333">
        <f>IF(BI333=2,ROUND(O333+X333+Y333,0),0)</f>
        <v>0</v>
      </c>
      <c r="GP333">
        <f>IF(BI333=4,ROUND(O333+X333+Y333,0)+GX333,0)</f>
        <v>0</v>
      </c>
      <c r="GR333">
        <v>0</v>
      </c>
      <c r="GS333">
        <v>3</v>
      </c>
      <c r="GT333">
        <v>0</v>
      </c>
      <c r="GU333" t="s">
        <v>3</v>
      </c>
      <c r="GV333">
        <f>ROUND((GT333),6)</f>
        <v>0</v>
      </c>
      <c r="GW333">
        <v>1</v>
      </c>
      <c r="GX333">
        <f>ROUND(HC333*I333,0)</f>
        <v>0</v>
      </c>
      <c r="HA333">
        <v>0</v>
      </c>
      <c r="HB333">
        <v>0</v>
      </c>
      <c r="HC333">
        <f>GV333*GW333</f>
        <v>0</v>
      </c>
      <c r="HE333" t="s">
        <v>3</v>
      </c>
      <c r="HF333" t="s">
        <v>3</v>
      </c>
      <c r="HM333" t="s">
        <v>3</v>
      </c>
      <c r="HN333" t="s">
        <v>3</v>
      </c>
      <c r="HO333" t="s">
        <v>3</v>
      </c>
      <c r="HP333" t="s">
        <v>3</v>
      </c>
      <c r="HQ333" t="s">
        <v>3</v>
      </c>
      <c r="IK333">
        <v>0</v>
      </c>
    </row>
    <row r="334" spans="1:245" x14ac:dyDescent="0.2">
      <c r="A334">
        <v>17</v>
      </c>
      <c r="B334">
        <v>1</v>
      </c>
      <c r="C334">
        <f>ROW(SmtRes!A215)</f>
        <v>215</v>
      </c>
      <c r="D334">
        <f>ROW(EtalonRes!A202)</f>
        <v>202</v>
      </c>
      <c r="E334" t="s">
        <v>56</v>
      </c>
      <c r="F334" t="s">
        <v>156</v>
      </c>
      <c r="G334" t="s">
        <v>157</v>
      </c>
      <c r="H334" t="s">
        <v>158</v>
      </c>
      <c r="I334">
        <f>ROUND(50/100,9)</f>
        <v>0.5</v>
      </c>
      <c r="J334">
        <v>0</v>
      </c>
      <c r="K334">
        <f>ROUND(50/100,9)</f>
        <v>0.5</v>
      </c>
      <c r="O334">
        <f>ROUND(CP334,0)</f>
        <v>9458</v>
      </c>
      <c r="P334">
        <f>ROUND(CQ334*I334,0)</f>
        <v>6618</v>
      </c>
      <c r="Q334">
        <f>ROUND(CR334*I334,0)</f>
        <v>144</v>
      </c>
      <c r="R334">
        <f>ROUND(CS334*I334,0)</f>
        <v>0</v>
      </c>
      <c r="S334">
        <f>ROUND(CT334*I334,0)</f>
        <v>2696</v>
      </c>
      <c r="T334">
        <f>ROUND(CU334*I334,0)</f>
        <v>0</v>
      </c>
      <c r="U334">
        <f>CV334*I334</f>
        <v>9.4955499999999997</v>
      </c>
      <c r="V334">
        <f>CW334*I334</f>
        <v>0</v>
      </c>
      <c r="W334">
        <f>ROUND(CX334*I334,0)</f>
        <v>0</v>
      </c>
      <c r="X334">
        <f t="shared" si="299"/>
        <v>2696</v>
      </c>
      <c r="Y334">
        <f t="shared" si="299"/>
        <v>1887</v>
      </c>
      <c r="AA334">
        <v>46416371</v>
      </c>
      <c r="AB334">
        <f>ROUND((AC334+AD334+AF334),6)</f>
        <v>1773.4457</v>
      </c>
      <c r="AC334">
        <f>ROUND((ES334),6)</f>
        <v>1596.67</v>
      </c>
      <c r="AD334">
        <f>ROUND((((((ET334*1.15)*1.25))-(((EU334*1.15)*1.25)))+AE334),6)</f>
        <v>21.62</v>
      </c>
      <c r="AE334">
        <f>ROUND((((EU334*1.15)*1.25)),6)</f>
        <v>0</v>
      </c>
      <c r="AF334">
        <f>ROUND((((EV334*1.15)*1.15)),6)</f>
        <v>155.1557</v>
      </c>
      <c r="AG334">
        <f>ROUND((AP334),6)</f>
        <v>0</v>
      </c>
      <c r="AH334">
        <f>(((EW334*1.15)*1.15))</f>
        <v>18.991099999999999</v>
      </c>
      <c r="AI334">
        <f>(((EX334*1.15)*1.25))</f>
        <v>0</v>
      </c>
      <c r="AJ334">
        <f>(AS334)</f>
        <v>0</v>
      </c>
      <c r="AK334">
        <v>1729.03</v>
      </c>
      <c r="AL334">
        <v>1596.67</v>
      </c>
      <c r="AM334">
        <v>15.04</v>
      </c>
      <c r="AN334">
        <v>0</v>
      </c>
      <c r="AO334">
        <v>117.32</v>
      </c>
      <c r="AP334">
        <v>0</v>
      </c>
      <c r="AQ334">
        <v>14.36</v>
      </c>
      <c r="AR334">
        <v>0</v>
      </c>
      <c r="AS334">
        <v>0</v>
      </c>
      <c r="AT334">
        <v>100</v>
      </c>
      <c r="AU334">
        <v>70</v>
      </c>
      <c r="AV334">
        <v>1</v>
      </c>
      <c r="AW334">
        <v>1</v>
      </c>
      <c r="AZ334">
        <v>1</v>
      </c>
      <c r="BA334">
        <v>34.75</v>
      </c>
      <c r="BB334">
        <v>13.36</v>
      </c>
      <c r="BC334">
        <v>8.2899999999999991</v>
      </c>
      <c r="BD334" t="s">
        <v>3</v>
      </c>
      <c r="BE334" t="s">
        <v>3</v>
      </c>
      <c r="BF334" t="s">
        <v>3</v>
      </c>
      <c r="BG334" t="s">
        <v>3</v>
      </c>
      <c r="BH334">
        <v>0</v>
      </c>
      <c r="BI334">
        <v>1</v>
      </c>
      <c r="BJ334" t="s">
        <v>159</v>
      </c>
      <c r="BM334">
        <v>26001</v>
      </c>
      <c r="BN334">
        <v>0</v>
      </c>
      <c r="BO334" t="s">
        <v>3</v>
      </c>
      <c r="BP334">
        <v>0</v>
      </c>
      <c r="BQ334">
        <v>2</v>
      </c>
      <c r="BR334">
        <v>0</v>
      </c>
      <c r="BS334">
        <v>34.75</v>
      </c>
      <c r="BT334">
        <v>1</v>
      </c>
      <c r="BU334">
        <v>1</v>
      </c>
      <c r="BV334">
        <v>1</v>
      </c>
      <c r="BW334">
        <v>1</v>
      </c>
      <c r="BX334">
        <v>1</v>
      </c>
      <c r="BY334" t="s">
        <v>3</v>
      </c>
      <c r="BZ334">
        <v>100</v>
      </c>
      <c r="CA334">
        <v>70</v>
      </c>
      <c r="CB334" t="s">
        <v>3</v>
      </c>
      <c r="CE334">
        <v>0</v>
      </c>
      <c r="CF334">
        <v>0</v>
      </c>
      <c r="CG334">
        <v>0</v>
      </c>
      <c r="CM334">
        <v>0</v>
      </c>
      <c r="CN334" t="s">
        <v>679</v>
      </c>
      <c r="CO334">
        <v>0</v>
      </c>
      <c r="CP334">
        <f>(P334+Q334+S334)</f>
        <v>9458</v>
      </c>
      <c r="CQ334">
        <f>AC334*BC334</f>
        <v>13236.3943</v>
      </c>
      <c r="CR334">
        <f>AD334*BB334</f>
        <v>288.84320000000002</v>
      </c>
      <c r="CS334">
        <f>AE334*BS334</f>
        <v>0</v>
      </c>
      <c r="CT334">
        <f>AF334*BA334</f>
        <v>5391.6605749999999</v>
      </c>
      <c r="CU334">
        <f t="shared" si="300"/>
        <v>0</v>
      </c>
      <c r="CV334">
        <f t="shared" si="300"/>
        <v>18.991099999999999</v>
      </c>
      <c r="CW334">
        <f t="shared" si="300"/>
        <v>0</v>
      </c>
      <c r="CX334">
        <f t="shared" si="300"/>
        <v>0</v>
      </c>
      <c r="CY334">
        <f>(((S334+R334)*AT334)/100)</f>
        <v>2696</v>
      </c>
      <c r="CZ334">
        <f>(((S334+R334)*AU334)/100)</f>
        <v>1887.2</v>
      </c>
      <c r="DC334" t="s">
        <v>3</v>
      </c>
      <c r="DD334" t="s">
        <v>3</v>
      </c>
      <c r="DE334" t="s">
        <v>160</v>
      </c>
      <c r="DF334" t="s">
        <v>160</v>
      </c>
      <c r="DG334" t="s">
        <v>161</v>
      </c>
      <c r="DH334" t="s">
        <v>3</v>
      </c>
      <c r="DI334" t="s">
        <v>161</v>
      </c>
      <c r="DJ334" t="s">
        <v>160</v>
      </c>
      <c r="DK334" t="s">
        <v>3</v>
      </c>
      <c r="DL334" t="s">
        <v>3</v>
      </c>
      <c r="DM334" t="s">
        <v>3</v>
      </c>
      <c r="DN334">
        <v>0</v>
      </c>
      <c r="DO334">
        <v>0</v>
      </c>
      <c r="DP334">
        <v>1</v>
      </c>
      <c r="DQ334">
        <v>1</v>
      </c>
      <c r="DU334">
        <v>1013</v>
      </c>
      <c r="DV334" t="s">
        <v>158</v>
      </c>
      <c r="DW334" t="s">
        <v>158</v>
      </c>
      <c r="DX334">
        <v>1</v>
      </c>
      <c r="DZ334" t="s">
        <v>3</v>
      </c>
      <c r="EA334" t="s">
        <v>3</v>
      </c>
      <c r="EB334" t="s">
        <v>3</v>
      </c>
      <c r="EC334" t="s">
        <v>3</v>
      </c>
      <c r="EE334">
        <v>42475949</v>
      </c>
      <c r="EF334">
        <v>2</v>
      </c>
      <c r="EG334" t="s">
        <v>22</v>
      </c>
      <c r="EH334">
        <v>0</v>
      </c>
      <c r="EI334" t="s">
        <v>3</v>
      </c>
      <c r="EJ334">
        <v>1</v>
      </c>
      <c r="EK334">
        <v>26001</v>
      </c>
      <c r="EL334" t="s">
        <v>162</v>
      </c>
      <c r="EM334" t="s">
        <v>163</v>
      </c>
      <c r="EO334" t="s">
        <v>164</v>
      </c>
      <c r="EQ334">
        <v>0</v>
      </c>
      <c r="ER334">
        <v>1729.03</v>
      </c>
      <c r="ES334">
        <v>1596.67</v>
      </c>
      <c r="ET334">
        <v>15.04</v>
      </c>
      <c r="EU334">
        <v>0</v>
      </c>
      <c r="EV334">
        <v>117.32</v>
      </c>
      <c r="EW334">
        <v>14.36</v>
      </c>
      <c r="EX334">
        <v>0</v>
      </c>
      <c r="EY334">
        <v>0</v>
      </c>
      <c r="FQ334">
        <v>0</v>
      </c>
      <c r="FR334">
        <f>ROUND(IF(AND(BH334=3,BI334=3),P334,0),0)</f>
        <v>0</v>
      </c>
      <c r="FS334">
        <v>0</v>
      </c>
      <c r="FX334">
        <v>100</v>
      </c>
      <c r="FY334">
        <v>70</v>
      </c>
      <c r="GA334" t="s">
        <v>3</v>
      </c>
      <c r="GD334">
        <v>1</v>
      </c>
      <c r="GF334">
        <v>85753137</v>
      </c>
      <c r="GG334">
        <v>2</v>
      </c>
      <c r="GH334">
        <v>1</v>
      </c>
      <c r="GI334">
        <v>4</v>
      </c>
      <c r="GJ334">
        <v>0</v>
      </c>
      <c r="GK334">
        <v>0</v>
      </c>
      <c r="GL334">
        <f>ROUND(IF(AND(BH334=3,BI334=3,FS334&lt;&gt;0),P334,0),0)</f>
        <v>0</v>
      </c>
      <c r="GM334">
        <f>ROUND(O334+X334+Y334,0)+GX334</f>
        <v>14041</v>
      </c>
      <c r="GN334">
        <f>IF(OR(BI334=0,BI334=1),ROUND(O334+X334+Y334,0),0)</f>
        <v>14041</v>
      </c>
      <c r="GO334">
        <f>IF(BI334=2,ROUND(O334+X334+Y334,0),0)</f>
        <v>0</v>
      </c>
      <c r="GP334">
        <f>IF(BI334=4,ROUND(O334+X334+Y334,0)+GX334,0)</f>
        <v>0</v>
      </c>
      <c r="GR334">
        <v>0</v>
      </c>
      <c r="GS334">
        <v>3</v>
      </c>
      <c r="GT334">
        <v>0</v>
      </c>
      <c r="GU334" t="s">
        <v>3</v>
      </c>
      <c r="GV334">
        <f>ROUND((GT334),6)</f>
        <v>0</v>
      </c>
      <c r="GW334">
        <v>1</v>
      </c>
      <c r="GX334">
        <f>ROUND(HC334*I334,0)</f>
        <v>0</v>
      </c>
      <c r="HA334">
        <v>0</v>
      </c>
      <c r="HB334">
        <v>0</v>
      </c>
      <c r="HC334">
        <f>GV334*GW334</f>
        <v>0</v>
      </c>
      <c r="HE334" t="s">
        <v>3</v>
      </c>
      <c r="HF334" t="s">
        <v>3</v>
      </c>
      <c r="HM334" t="s">
        <v>3</v>
      </c>
      <c r="HN334" t="s">
        <v>3</v>
      </c>
      <c r="HO334" t="s">
        <v>3</v>
      </c>
      <c r="HP334" t="s">
        <v>3</v>
      </c>
      <c r="HQ334" t="s">
        <v>3</v>
      </c>
      <c r="IK334">
        <v>0</v>
      </c>
    </row>
    <row r="335" spans="1:245" x14ac:dyDescent="0.2">
      <c r="A335">
        <v>17</v>
      </c>
      <c r="B335">
        <v>1</v>
      </c>
      <c r="C335">
        <f>ROW(SmtRes!A228)</f>
        <v>228</v>
      </c>
      <c r="D335">
        <f>ROW(EtalonRes!A215)</f>
        <v>215</v>
      </c>
      <c r="E335" t="s">
        <v>155</v>
      </c>
      <c r="F335" t="s">
        <v>256</v>
      </c>
      <c r="G335" t="s">
        <v>257</v>
      </c>
      <c r="H335" t="s">
        <v>258</v>
      </c>
      <c r="I335">
        <v>0.95</v>
      </c>
      <c r="J335">
        <v>0</v>
      </c>
      <c r="K335">
        <f>ROUND(76/100,9)</f>
        <v>0.76</v>
      </c>
      <c r="O335">
        <f>ROUND(CP335,0)</f>
        <v>654903</v>
      </c>
      <c r="P335">
        <f>ROUND(CQ335*I335,0)</f>
        <v>576832</v>
      </c>
      <c r="Q335">
        <f>ROUND(CR335*I335,0)</f>
        <v>28074</v>
      </c>
      <c r="R335">
        <f>ROUND(CS335*I335,0)</f>
        <v>10115</v>
      </c>
      <c r="S335">
        <f>ROUND(CT335*I335,0)</f>
        <v>49997</v>
      </c>
      <c r="T335">
        <f>ROUND(CU335*I335,0)</f>
        <v>0</v>
      </c>
      <c r="U335">
        <f>CV335*I335</f>
        <v>383.00591874999992</v>
      </c>
      <c r="V335">
        <f>CW335*I335</f>
        <v>57.383562499999996</v>
      </c>
      <c r="W335">
        <f>ROUND(CX335*I335,0)</f>
        <v>0</v>
      </c>
      <c r="X335">
        <f t="shared" si="299"/>
        <v>69129</v>
      </c>
      <c r="Y335">
        <f t="shared" si="299"/>
        <v>51095</v>
      </c>
      <c r="AA335">
        <v>46416371</v>
      </c>
      <c r="AB335">
        <f>ROUND((AC335+AD335+AF335),6)</f>
        <v>76970.251250000001</v>
      </c>
      <c r="AC335">
        <f>ROUND((ES335),6)</f>
        <v>73243.820000000007</v>
      </c>
      <c r="AD335">
        <f>ROUND((((((ET335)*1.15))-(((EU335)*1.15)))+AE335),6)*0.5</f>
        <v>2211.9387499999998</v>
      </c>
      <c r="AE335">
        <f>ROUND((((EU335)*1.15)),6)*0.5</f>
        <v>306.40600000000001</v>
      </c>
      <c r="AF335">
        <f>ROUND((((EV335)*1.15)),6)*0.5</f>
        <v>1514.4925000000001</v>
      </c>
      <c r="AG335">
        <f>ROUND((AP335),6)</f>
        <v>0</v>
      </c>
      <c r="AH335">
        <f>(((EW335*1.15)*1.15))</f>
        <v>403.16412499999996</v>
      </c>
      <c r="AI335">
        <f>(((EX335*1.25)*1.15))</f>
        <v>60.403750000000002</v>
      </c>
      <c r="AJ335">
        <f>(AS335)</f>
        <v>0</v>
      </c>
      <c r="AK335">
        <v>79991.009999999995</v>
      </c>
      <c r="AL335">
        <v>73243.820000000007</v>
      </c>
      <c r="AM335">
        <v>4113.29</v>
      </c>
      <c r="AN335">
        <v>532.88</v>
      </c>
      <c r="AO335">
        <v>2633.9</v>
      </c>
      <c r="AP335">
        <v>0</v>
      </c>
      <c r="AQ335">
        <v>304.85000000000002</v>
      </c>
      <c r="AR335">
        <v>42.02</v>
      </c>
      <c r="AS335">
        <v>0</v>
      </c>
      <c r="AT335">
        <v>115</v>
      </c>
      <c r="AU335">
        <v>85</v>
      </c>
      <c r="AV335">
        <v>1</v>
      </c>
      <c r="AW335">
        <v>1</v>
      </c>
      <c r="AZ335">
        <v>1</v>
      </c>
      <c r="BA335">
        <v>34.75</v>
      </c>
      <c r="BB335">
        <v>13.36</v>
      </c>
      <c r="BC335">
        <v>8.2899999999999991</v>
      </c>
      <c r="BD335" t="s">
        <v>3</v>
      </c>
      <c r="BE335" t="s">
        <v>3</v>
      </c>
      <c r="BF335" t="s">
        <v>3</v>
      </c>
      <c r="BG335" t="s">
        <v>3</v>
      </c>
      <c r="BH335">
        <v>0</v>
      </c>
      <c r="BI335">
        <v>1</v>
      </c>
      <c r="BJ335" t="s">
        <v>259</v>
      </c>
      <c r="BM335">
        <v>31001</v>
      </c>
      <c r="BN335">
        <v>0</v>
      </c>
      <c r="BO335" t="s">
        <v>3</v>
      </c>
      <c r="BP335">
        <v>0</v>
      </c>
      <c r="BQ335">
        <v>2</v>
      </c>
      <c r="BR335">
        <v>0</v>
      </c>
      <c r="BS335">
        <v>34.75</v>
      </c>
      <c r="BT335">
        <v>1</v>
      </c>
      <c r="BU335">
        <v>1</v>
      </c>
      <c r="BV335">
        <v>1</v>
      </c>
      <c r="BW335">
        <v>1</v>
      </c>
      <c r="BX335">
        <v>1</v>
      </c>
      <c r="BY335" t="s">
        <v>3</v>
      </c>
      <c r="BZ335">
        <v>115</v>
      </c>
      <c r="CA335">
        <v>85</v>
      </c>
      <c r="CB335" t="s">
        <v>3</v>
      </c>
      <c r="CE335">
        <v>0</v>
      </c>
      <c r="CF335">
        <v>0</v>
      </c>
      <c r="CG335">
        <v>0</v>
      </c>
      <c r="CM335">
        <v>0</v>
      </c>
      <c r="CN335" t="s">
        <v>683</v>
      </c>
      <c r="CO335">
        <v>0</v>
      </c>
      <c r="CP335">
        <f>(P335+Q335+S335)</f>
        <v>654903</v>
      </c>
      <c r="CQ335">
        <f>AC335*BC335</f>
        <v>607191.26780000003</v>
      </c>
      <c r="CR335">
        <f>AD335*BB335</f>
        <v>29551.501699999997</v>
      </c>
      <c r="CS335">
        <f>AE335*BS335</f>
        <v>10647.6085</v>
      </c>
      <c r="CT335">
        <f>AF335*BA335</f>
        <v>52628.614375000005</v>
      </c>
      <c r="CU335">
        <f t="shared" si="300"/>
        <v>0</v>
      </c>
      <c r="CV335">
        <f t="shared" si="300"/>
        <v>403.16412499999996</v>
      </c>
      <c r="CW335">
        <f t="shared" si="300"/>
        <v>60.403750000000002</v>
      </c>
      <c r="CX335">
        <f t="shared" si="300"/>
        <v>0</v>
      </c>
      <c r="CY335">
        <f>(((S335+R335)*AT335)/100)</f>
        <v>69128.800000000003</v>
      </c>
      <c r="CZ335">
        <f>(((S335+R335)*AU335)/100)</f>
        <v>51095.199999999997</v>
      </c>
      <c r="DC335" t="s">
        <v>3</v>
      </c>
      <c r="DD335" t="s">
        <v>3</v>
      </c>
      <c r="DE335" t="s">
        <v>170</v>
      </c>
      <c r="DF335" t="s">
        <v>170</v>
      </c>
      <c r="DG335" t="s">
        <v>161</v>
      </c>
      <c r="DH335" t="s">
        <v>3</v>
      </c>
      <c r="DI335" t="s">
        <v>161</v>
      </c>
      <c r="DJ335" t="s">
        <v>170</v>
      </c>
      <c r="DK335" t="s">
        <v>3</v>
      </c>
      <c r="DL335" t="s">
        <v>3</v>
      </c>
      <c r="DM335" t="s">
        <v>3</v>
      </c>
      <c r="DN335">
        <v>0</v>
      </c>
      <c r="DO335">
        <v>0</v>
      </c>
      <c r="DP335">
        <v>1</v>
      </c>
      <c r="DQ335">
        <v>1</v>
      </c>
      <c r="DU335">
        <v>1003</v>
      </c>
      <c r="DV335" t="s">
        <v>258</v>
      </c>
      <c r="DW335" t="s">
        <v>258</v>
      </c>
      <c r="DX335">
        <v>100</v>
      </c>
      <c r="DZ335" t="s">
        <v>3</v>
      </c>
      <c r="EA335" t="s">
        <v>3</v>
      </c>
      <c r="EB335" t="s">
        <v>3</v>
      </c>
      <c r="EC335" t="s">
        <v>3</v>
      </c>
      <c r="EE335">
        <v>42475962</v>
      </c>
      <c r="EF335">
        <v>2</v>
      </c>
      <c r="EG335" t="s">
        <v>22</v>
      </c>
      <c r="EH335">
        <v>0</v>
      </c>
      <c r="EI335" t="s">
        <v>3</v>
      </c>
      <c r="EJ335">
        <v>1</v>
      </c>
      <c r="EK335">
        <v>31001</v>
      </c>
      <c r="EL335" t="s">
        <v>260</v>
      </c>
      <c r="EM335" t="s">
        <v>261</v>
      </c>
      <c r="EO335" t="s">
        <v>250</v>
      </c>
      <c r="EQ335">
        <v>0</v>
      </c>
      <c r="ER335">
        <v>79991.009999999995</v>
      </c>
      <c r="ES335">
        <v>73243.820000000007</v>
      </c>
      <c r="ET335">
        <v>4113.29</v>
      </c>
      <c r="EU335">
        <v>532.88</v>
      </c>
      <c r="EV335">
        <v>2633.9</v>
      </c>
      <c r="EW335">
        <v>304.85000000000002</v>
      </c>
      <c r="EX335">
        <v>42.02</v>
      </c>
      <c r="EY335">
        <v>0</v>
      </c>
      <c r="FQ335">
        <v>0</v>
      </c>
      <c r="FR335">
        <f>ROUND(IF(AND(BH335=3,BI335=3),P335,0),0)</f>
        <v>0</v>
      </c>
      <c r="FS335">
        <v>0</v>
      </c>
      <c r="FX335">
        <v>115</v>
      </c>
      <c r="FY335">
        <v>85</v>
      </c>
      <c r="GA335" t="s">
        <v>3</v>
      </c>
      <c r="GD335">
        <v>1</v>
      </c>
      <c r="GF335">
        <v>1765840667</v>
      </c>
      <c r="GG335">
        <v>2</v>
      </c>
      <c r="GH335">
        <v>1</v>
      </c>
      <c r="GI335">
        <v>4</v>
      </c>
      <c r="GJ335">
        <v>0</v>
      </c>
      <c r="GK335">
        <v>0</v>
      </c>
      <c r="GL335">
        <f>ROUND(IF(AND(BH335=3,BI335=3,FS335&lt;&gt;0),P335,0),0)</f>
        <v>0</v>
      </c>
      <c r="GM335">
        <f>ROUND(O335+X335+Y335,0)+GX335</f>
        <v>775127</v>
      </c>
      <c r="GN335">
        <f>IF(OR(BI335=0,BI335=1),ROUND(O335+X335+Y335,0),0)</f>
        <v>775127</v>
      </c>
      <c r="GO335">
        <f>IF(BI335=2,ROUND(O335+X335+Y335,0),0)</f>
        <v>0</v>
      </c>
      <c r="GP335">
        <f>IF(BI335=4,ROUND(O335+X335+Y335,0)+GX335,0)</f>
        <v>0</v>
      </c>
      <c r="GR335">
        <v>0</v>
      </c>
      <c r="GS335">
        <v>3</v>
      </c>
      <c r="GT335">
        <v>0</v>
      </c>
      <c r="GU335" t="s">
        <v>3</v>
      </c>
      <c r="GV335">
        <f>ROUND((GT335),6)</f>
        <v>0</v>
      </c>
      <c r="GW335">
        <v>1</v>
      </c>
      <c r="GX335">
        <f>ROUND(HC335*I335,0)</f>
        <v>0</v>
      </c>
      <c r="HA335">
        <v>0</v>
      </c>
      <c r="HB335">
        <v>0</v>
      </c>
      <c r="HC335">
        <f>GV335*GW335</f>
        <v>0</v>
      </c>
      <c r="HE335" t="s">
        <v>3</v>
      </c>
      <c r="HF335" t="s">
        <v>3</v>
      </c>
      <c r="HM335" t="s">
        <v>3</v>
      </c>
      <c r="HN335" t="s">
        <v>3</v>
      </c>
      <c r="HO335" t="s">
        <v>3</v>
      </c>
      <c r="HP335" t="s">
        <v>3</v>
      </c>
      <c r="HQ335" t="s">
        <v>3</v>
      </c>
      <c r="IK335">
        <v>0</v>
      </c>
    </row>
    <row r="336" spans="1:245" x14ac:dyDescent="0.2">
      <c r="A336">
        <v>18</v>
      </c>
      <c r="B336">
        <v>1</v>
      </c>
      <c r="C336">
        <v>228</v>
      </c>
      <c r="E336" t="s">
        <v>219</v>
      </c>
      <c r="F336" t="s">
        <v>145</v>
      </c>
      <c r="G336" t="s">
        <v>146</v>
      </c>
      <c r="H336" t="s">
        <v>139</v>
      </c>
      <c r="I336">
        <v>24.95</v>
      </c>
      <c r="J336">
        <v>5.9210526315789469</v>
      </c>
      <c r="K336">
        <v>5.9210529999999997</v>
      </c>
      <c r="O336">
        <f>ROUND(CP336,0)</f>
        <v>20792</v>
      </c>
      <c r="P336">
        <f>ROUND(CQ336*I336,0)</f>
        <v>20792</v>
      </c>
      <c r="Q336">
        <f>ROUND(CR336*I336,0)</f>
        <v>0</v>
      </c>
      <c r="R336">
        <f>ROUND(CS336*I336,0)</f>
        <v>0</v>
      </c>
      <c r="S336">
        <f>ROUND(CT336*I336,0)</f>
        <v>0</v>
      </c>
      <c r="T336">
        <f>ROUND(CU336*I336,0)</f>
        <v>0</v>
      </c>
      <c r="U336">
        <f>CV336*I336</f>
        <v>0</v>
      </c>
      <c r="V336">
        <f>CW336*I336</f>
        <v>0</v>
      </c>
      <c r="W336">
        <f>ROUND(CX336*I336,0)</f>
        <v>0</v>
      </c>
      <c r="X336">
        <f t="shared" si="299"/>
        <v>0</v>
      </c>
      <c r="Y336">
        <f t="shared" si="299"/>
        <v>0</v>
      </c>
      <c r="AA336">
        <v>46416371</v>
      </c>
      <c r="AB336">
        <f>ROUND((AC336+AD336+AF336),6)</f>
        <v>833.33</v>
      </c>
      <c r="AC336">
        <f>ROUND((ES336),6)</f>
        <v>833.33</v>
      </c>
      <c r="AD336">
        <f>ROUND((((ET336)-(EU336))+AE336),6)</f>
        <v>0</v>
      </c>
      <c r="AE336">
        <f>ROUND((EU336),6)</f>
        <v>0</v>
      </c>
      <c r="AF336">
        <f>ROUND((EV336),6)</f>
        <v>0</v>
      </c>
      <c r="AG336">
        <f>ROUND((AP336),6)</f>
        <v>0</v>
      </c>
      <c r="AH336">
        <f>(EW336)</f>
        <v>0</v>
      </c>
      <c r="AI336">
        <f>(EX336)</f>
        <v>0</v>
      </c>
      <c r="AJ336">
        <f>(AS336)</f>
        <v>0</v>
      </c>
      <c r="AK336">
        <v>833.33</v>
      </c>
      <c r="AL336">
        <v>833.33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1</v>
      </c>
      <c r="AW336">
        <v>1</v>
      </c>
      <c r="AZ336">
        <v>1</v>
      </c>
      <c r="BA336">
        <v>1</v>
      </c>
      <c r="BB336">
        <v>1</v>
      </c>
      <c r="BC336">
        <v>1</v>
      </c>
      <c r="BD336" t="s">
        <v>3</v>
      </c>
      <c r="BE336" t="s">
        <v>3</v>
      </c>
      <c r="BF336" t="s">
        <v>3</v>
      </c>
      <c r="BG336" t="s">
        <v>3</v>
      </c>
      <c r="BH336">
        <v>3</v>
      </c>
      <c r="BI336">
        <v>4</v>
      </c>
      <c r="BJ336" t="s">
        <v>3</v>
      </c>
      <c r="BM336">
        <v>0</v>
      </c>
      <c r="BN336">
        <v>0</v>
      </c>
      <c r="BO336" t="s">
        <v>3</v>
      </c>
      <c r="BP336">
        <v>0</v>
      </c>
      <c r="BQ336">
        <v>16</v>
      </c>
      <c r="BR336">
        <v>0</v>
      </c>
      <c r="BS336">
        <v>1</v>
      </c>
      <c r="BT336">
        <v>1</v>
      </c>
      <c r="BU336">
        <v>1</v>
      </c>
      <c r="BV336">
        <v>1</v>
      </c>
      <c r="BW336">
        <v>1</v>
      </c>
      <c r="BX336">
        <v>1</v>
      </c>
      <c r="BY336" t="s">
        <v>3</v>
      </c>
      <c r="BZ336">
        <v>0</v>
      </c>
      <c r="CA336">
        <v>0</v>
      </c>
      <c r="CB336" t="s">
        <v>3</v>
      </c>
      <c r="CE336">
        <v>0</v>
      </c>
      <c r="CF336">
        <v>0</v>
      </c>
      <c r="CG336">
        <v>0</v>
      </c>
      <c r="CM336">
        <v>0</v>
      </c>
      <c r="CN336" t="s">
        <v>3</v>
      </c>
      <c r="CO336">
        <v>0</v>
      </c>
      <c r="CP336">
        <f>(P336+Q336+S336)</f>
        <v>20792</v>
      </c>
      <c r="CQ336">
        <f>AC336*BC336</f>
        <v>833.33</v>
      </c>
      <c r="CR336">
        <f>AD336*BB336</f>
        <v>0</v>
      </c>
      <c r="CS336">
        <f>AE336*BS336</f>
        <v>0</v>
      </c>
      <c r="CT336">
        <f>AF336*BA336</f>
        <v>0</v>
      </c>
      <c r="CU336">
        <f t="shared" si="300"/>
        <v>0</v>
      </c>
      <c r="CV336">
        <f t="shared" si="300"/>
        <v>0</v>
      </c>
      <c r="CW336">
        <f t="shared" si="300"/>
        <v>0</v>
      </c>
      <c r="CX336">
        <f t="shared" si="300"/>
        <v>0</v>
      </c>
      <c r="CY336">
        <f>(((S336+R336)*AT336)/100)</f>
        <v>0</v>
      </c>
      <c r="CZ336">
        <f>(((S336+R336)*AU336)/100)</f>
        <v>0</v>
      </c>
      <c r="DC336" t="s">
        <v>3</v>
      </c>
      <c r="DD336" t="s">
        <v>3</v>
      </c>
      <c r="DE336" t="s">
        <v>3</v>
      </c>
      <c r="DF336" t="s">
        <v>3</v>
      </c>
      <c r="DG336" t="s">
        <v>3</v>
      </c>
      <c r="DH336" t="s">
        <v>3</v>
      </c>
      <c r="DI336" t="s">
        <v>3</v>
      </c>
      <c r="DJ336" t="s">
        <v>3</v>
      </c>
      <c r="DK336" t="s">
        <v>3</v>
      </c>
      <c r="DL336" t="s">
        <v>3</v>
      </c>
      <c r="DM336" t="s">
        <v>3</v>
      </c>
      <c r="DN336">
        <v>0</v>
      </c>
      <c r="DO336">
        <v>0</v>
      </c>
      <c r="DP336">
        <v>1</v>
      </c>
      <c r="DQ336">
        <v>1</v>
      </c>
      <c r="DU336">
        <v>1007</v>
      </c>
      <c r="DV336" t="s">
        <v>139</v>
      </c>
      <c r="DW336" t="s">
        <v>139</v>
      </c>
      <c r="DX336">
        <v>1</v>
      </c>
      <c r="DZ336" t="s">
        <v>3</v>
      </c>
      <c r="EA336" t="s">
        <v>3</v>
      </c>
      <c r="EB336" t="s">
        <v>3</v>
      </c>
      <c r="EC336" t="s">
        <v>3</v>
      </c>
      <c r="EE336">
        <v>42475850</v>
      </c>
      <c r="EF336">
        <v>16</v>
      </c>
      <c r="EG336" t="s">
        <v>147</v>
      </c>
      <c r="EH336">
        <v>0</v>
      </c>
      <c r="EI336" t="s">
        <v>3</v>
      </c>
      <c r="EJ336">
        <v>4</v>
      </c>
      <c r="EK336">
        <v>0</v>
      </c>
      <c r="EL336" t="s">
        <v>148</v>
      </c>
      <c r="EM336" t="s">
        <v>149</v>
      </c>
      <c r="EO336" t="s">
        <v>3</v>
      </c>
      <c r="EQ336">
        <v>2097152</v>
      </c>
      <c r="ER336">
        <v>833.33</v>
      </c>
      <c r="ES336">
        <v>833.33</v>
      </c>
      <c r="ET336">
        <v>0</v>
      </c>
      <c r="EU336">
        <v>0</v>
      </c>
      <c r="EV336">
        <v>0</v>
      </c>
      <c r="EW336">
        <v>0</v>
      </c>
      <c r="EX336">
        <v>0</v>
      </c>
      <c r="EZ336">
        <v>5</v>
      </c>
      <c r="FC336">
        <v>1</v>
      </c>
      <c r="FD336">
        <v>18</v>
      </c>
      <c r="FF336">
        <v>1000</v>
      </c>
      <c r="FQ336">
        <v>0</v>
      </c>
      <c r="FR336">
        <f>ROUND(IF(AND(BH336=3,BI336=3),P336,0),0)</f>
        <v>0</v>
      </c>
      <c r="FS336">
        <v>0</v>
      </c>
      <c r="FX336">
        <v>0</v>
      </c>
      <c r="FY336">
        <v>0</v>
      </c>
      <c r="GA336" t="s">
        <v>150</v>
      </c>
      <c r="GD336">
        <v>1</v>
      </c>
      <c r="GF336">
        <v>-1718654303</v>
      </c>
      <c r="GG336">
        <v>2</v>
      </c>
      <c r="GH336">
        <v>3</v>
      </c>
      <c r="GI336">
        <v>4</v>
      </c>
      <c r="GJ336">
        <v>0</v>
      </c>
      <c r="GK336">
        <v>0</v>
      </c>
      <c r="GL336">
        <f>ROUND(IF(AND(BH336=3,BI336=3,FS336&lt;&gt;0),P336,0),0)</f>
        <v>0</v>
      </c>
      <c r="GM336">
        <f>ROUND(O336+X336+Y336,0)+GX336</f>
        <v>20792</v>
      </c>
      <c r="GN336">
        <f>IF(OR(BI336=0,BI336=1),ROUND(O336+X336+Y336,0),0)</f>
        <v>0</v>
      </c>
      <c r="GO336">
        <f>IF(BI336=2,ROUND(O336+X336+Y336,0),0)</f>
        <v>0</v>
      </c>
      <c r="GP336">
        <f>IF(BI336=4,ROUND(O336+X336+Y336,0)+GX336,0)</f>
        <v>20792</v>
      </c>
      <c r="GR336">
        <v>1</v>
      </c>
      <c r="GS336">
        <v>1</v>
      </c>
      <c r="GT336">
        <v>0</v>
      </c>
      <c r="GU336" t="s">
        <v>3</v>
      </c>
      <c r="GV336">
        <f>ROUND((GT336),6)</f>
        <v>0</v>
      </c>
      <c r="GW336">
        <v>1</v>
      </c>
      <c r="GX336">
        <f>ROUND(HC336*I336,0)</f>
        <v>0</v>
      </c>
      <c r="HA336">
        <v>0</v>
      </c>
      <c r="HB336">
        <v>0</v>
      </c>
      <c r="HC336">
        <f>GV336*GW336</f>
        <v>0</v>
      </c>
      <c r="HE336" t="s">
        <v>151</v>
      </c>
      <c r="HF336" t="s">
        <v>151</v>
      </c>
      <c r="HM336" t="s">
        <v>3</v>
      </c>
      <c r="HN336" t="s">
        <v>3</v>
      </c>
      <c r="HO336" t="s">
        <v>3</v>
      </c>
      <c r="HP336" t="s">
        <v>3</v>
      </c>
      <c r="HQ336" t="s">
        <v>3</v>
      </c>
      <c r="IK336">
        <v>0</v>
      </c>
    </row>
    <row r="337" spans="1:245" x14ac:dyDescent="0.2">
      <c r="A337">
        <v>18</v>
      </c>
      <c r="B337">
        <v>1</v>
      </c>
      <c r="C337">
        <v>227</v>
      </c>
      <c r="E337" t="s">
        <v>221</v>
      </c>
      <c r="F337" t="s">
        <v>145</v>
      </c>
      <c r="G337" t="s">
        <v>262</v>
      </c>
      <c r="H337" t="s">
        <v>252</v>
      </c>
      <c r="I337">
        <f>I335*J337</f>
        <v>95</v>
      </c>
      <c r="J337">
        <v>100</v>
      </c>
      <c r="K337">
        <v>100</v>
      </c>
      <c r="O337">
        <f>ROUND(CP337,0)</f>
        <v>723601</v>
      </c>
      <c r="P337">
        <f>ROUND(CQ337*I337,0)</f>
        <v>723601</v>
      </c>
      <c r="Q337">
        <f>ROUND(CR337*I337,0)</f>
        <v>0</v>
      </c>
      <c r="R337">
        <f>ROUND(CS337*I337,0)</f>
        <v>0</v>
      </c>
      <c r="S337">
        <f>ROUND(CT337*I337,0)</f>
        <v>0</v>
      </c>
      <c r="T337">
        <f>ROUND(CU337*I337,0)</f>
        <v>0</v>
      </c>
      <c r="U337">
        <f>CV337*I337</f>
        <v>0</v>
      </c>
      <c r="V337">
        <f>CW337*I337</f>
        <v>0</v>
      </c>
      <c r="W337">
        <f>ROUND(CX337*I337,0)</f>
        <v>0</v>
      </c>
      <c r="X337">
        <f t="shared" si="299"/>
        <v>0</v>
      </c>
      <c r="Y337">
        <f t="shared" si="299"/>
        <v>0</v>
      </c>
      <c r="AA337">
        <v>46416371</v>
      </c>
      <c r="AB337">
        <f>ROUND((AC337+AD337+AF337),6)</f>
        <v>7616.85</v>
      </c>
      <c r="AC337">
        <f>ROUND((ES337),6)</f>
        <v>7616.85</v>
      </c>
      <c r="AD337">
        <f>ROUND((((ET337)-(EU337))+AE337),6)</f>
        <v>0</v>
      </c>
      <c r="AE337">
        <f>ROUND((EU337),6)</f>
        <v>0</v>
      </c>
      <c r="AF337">
        <f>ROUND((EV337),6)</f>
        <v>0</v>
      </c>
      <c r="AG337">
        <f>ROUND((AP337),6)</f>
        <v>0</v>
      </c>
      <c r="AH337">
        <f>(EW337)</f>
        <v>0</v>
      </c>
      <c r="AI337">
        <f>(EX337)</f>
        <v>0</v>
      </c>
      <c r="AJ337">
        <f>(AS337)</f>
        <v>0</v>
      </c>
      <c r="AK337">
        <v>7616.85</v>
      </c>
      <c r="AL337">
        <v>7616.85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1</v>
      </c>
      <c r="AW337">
        <v>1</v>
      </c>
      <c r="AZ337">
        <v>1</v>
      </c>
      <c r="BA337">
        <v>1</v>
      </c>
      <c r="BB337">
        <v>1</v>
      </c>
      <c r="BC337">
        <v>1</v>
      </c>
      <c r="BD337" t="s">
        <v>3</v>
      </c>
      <c r="BE337" t="s">
        <v>3</v>
      </c>
      <c r="BF337" t="s">
        <v>3</v>
      </c>
      <c r="BG337" t="s">
        <v>3</v>
      </c>
      <c r="BH337">
        <v>3</v>
      </c>
      <c r="BI337">
        <v>4</v>
      </c>
      <c r="BJ337" t="s">
        <v>3</v>
      </c>
      <c r="BM337">
        <v>0</v>
      </c>
      <c r="BN337">
        <v>0</v>
      </c>
      <c r="BO337" t="s">
        <v>3</v>
      </c>
      <c r="BP337">
        <v>0</v>
      </c>
      <c r="BQ337">
        <v>16</v>
      </c>
      <c r="BR337">
        <v>0</v>
      </c>
      <c r="BS337">
        <v>1</v>
      </c>
      <c r="BT337">
        <v>1</v>
      </c>
      <c r="BU337">
        <v>1</v>
      </c>
      <c r="BV337">
        <v>1</v>
      </c>
      <c r="BW337">
        <v>1</v>
      </c>
      <c r="BX337">
        <v>1</v>
      </c>
      <c r="BY337" t="s">
        <v>3</v>
      </c>
      <c r="BZ337">
        <v>0</v>
      </c>
      <c r="CA337">
        <v>0</v>
      </c>
      <c r="CB337" t="s">
        <v>3</v>
      </c>
      <c r="CE337">
        <v>0</v>
      </c>
      <c r="CF337">
        <v>0</v>
      </c>
      <c r="CG337">
        <v>0</v>
      </c>
      <c r="CM337">
        <v>0</v>
      </c>
      <c r="CN337" t="s">
        <v>3</v>
      </c>
      <c r="CO337">
        <v>0</v>
      </c>
      <c r="CP337">
        <f>(P337+Q337+S337)</f>
        <v>723601</v>
      </c>
      <c r="CQ337">
        <f>AC337*BC337</f>
        <v>7616.85</v>
      </c>
      <c r="CR337">
        <f>AD337*BB337</f>
        <v>0</v>
      </c>
      <c r="CS337">
        <f>AE337*BS337</f>
        <v>0</v>
      </c>
      <c r="CT337">
        <f>AF337*BA337</f>
        <v>0</v>
      </c>
      <c r="CU337">
        <f t="shared" si="300"/>
        <v>0</v>
      </c>
      <c r="CV337">
        <f t="shared" si="300"/>
        <v>0</v>
      </c>
      <c r="CW337">
        <f t="shared" si="300"/>
        <v>0</v>
      </c>
      <c r="CX337">
        <f t="shared" si="300"/>
        <v>0</v>
      </c>
      <c r="CY337">
        <f>(((S337+R337)*AT337)/100)</f>
        <v>0</v>
      </c>
      <c r="CZ337">
        <f>(((S337+R337)*AU337)/100)</f>
        <v>0</v>
      </c>
      <c r="DC337" t="s">
        <v>3</v>
      </c>
      <c r="DD337" t="s">
        <v>3</v>
      </c>
      <c r="DE337" t="s">
        <v>3</v>
      </c>
      <c r="DF337" t="s">
        <v>3</v>
      </c>
      <c r="DG337" t="s">
        <v>3</v>
      </c>
      <c r="DH337" t="s">
        <v>3</v>
      </c>
      <c r="DI337" t="s">
        <v>3</v>
      </c>
      <c r="DJ337" t="s">
        <v>3</v>
      </c>
      <c r="DK337" t="s">
        <v>3</v>
      </c>
      <c r="DL337" t="s">
        <v>3</v>
      </c>
      <c r="DM337" t="s">
        <v>3</v>
      </c>
      <c r="DN337">
        <v>0</v>
      </c>
      <c r="DO337">
        <v>0</v>
      </c>
      <c r="DP337">
        <v>1</v>
      </c>
      <c r="DQ337">
        <v>1</v>
      </c>
      <c r="DU337">
        <v>1013</v>
      </c>
      <c r="DV337" t="s">
        <v>252</v>
      </c>
      <c r="DW337" t="s">
        <v>252</v>
      </c>
      <c r="DX337">
        <v>1</v>
      </c>
      <c r="DZ337" t="s">
        <v>3</v>
      </c>
      <c r="EA337" t="s">
        <v>3</v>
      </c>
      <c r="EB337" t="s">
        <v>3</v>
      </c>
      <c r="EC337" t="s">
        <v>3</v>
      </c>
      <c r="EE337">
        <v>42475850</v>
      </c>
      <c r="EF337">
        <v>16</v>
      </c>
      <c r="EG337" t="s">
        <v>147</v>
      </c>
      <c r="EH337">
        <v>0</v>
      </c>
      <c r="EI337" t="s">
        <v>3</v>
      </c>
      <c r="EJ337">
        <v>4</v>
      </c>
      <c r="EK337">
        <v>0</v>
      </c>
      <c r="EL337" t="s">
        <v>148</v>
      </c>
      <c r="EM337" t="s">
        <v>149</v>
      </c>
      <c r="EO337" t="s">
        <v>3</v>
      </c>
      <c r="EQ337">
        <v>0</v>
      </c>
      <c r="ER337">
        <v>7616.85</v>
      </c>
      <c r="ES337">
        <v>7616.85</v>
      </c>
      <c r="ET337">
        <v>0</v>
      </c>
      <c r="EU337">
        <v>0</v>
      </c>
      <c r="EV337">
        <v>0</v>
      </c>
      <c r="EW337">
        <v>0</v>
      </c>
      <c r="EX337">
        <v>0</v>
      </c>
      <c r="EZ337">
        <v>5</v>
      </c>
      <c r="FC337">
        <v>1</v>
      </c>
      <c r="FD337">
        <v>18</v>
      </c>
      <c r="FF337">
        <v>8700</v>
      </c>
      <c r="FQ337">
        <v>0</v>
      </c>
      <c r="FR337">
        <f>ROUND(IF(AND(BH337=3,BI337=3),P337,0),0)</f>
        <v>0</v>
      </c>
      <c r="FS337">
        <v>0</v>
      </c>
      <c r="FX337">
        <v>0</v>
      </c>
      <c r="FY337">
        <v>0</v>
      </c>
      <c r="GA337" t="s">
        <v>263</v>
      </c>
      <c r="GD337">
        <v>1</v>
      </c>
      <c r="GF337">
        <v>-1621851437</v>
      </c>
      <c r="GG337">
        <v>2</v>
      </c>
      <c r="GH337">
        <v>3</v>
      </c>
      <c r="GI337">
        <v>4</v>
      </c>
      <c r="GJ337">
        <v>0</v>
      </c>
      <c r="GK337">
        <v>0</v>
      </c>
      <c r="GL337">
        <f>ROUND(IF(AND(BH337=3,BI337=3,FS337&lt;&gt;0),P337,0),0)</f>
        <v>0</v>
      </c>
      <c r="GM337">
        <f>ROUND(O337+X337+Y337,0)+GX337</f>
        <v>723601</v>
      </c>
      <c r="GN337">
        <f>IF(OR(BI337=0,BI337=1),ROUND(O337+X337+Y337,0),0)</f>
        <v>0</v>
      </c>
      <c r="GO337">
        <f>IF(BI337=2,ROUND(O337+X337+Y337,0),0)</f>
        <v>0</v>
      </c>
      <c r="GP337">
        <f>IF(BI337=4,ROUND(O337+X337+Y337,0)+GX337,0)</f>
        <v>723601</v>
      </c>
      <c r="GR337">
        <v>1</v>
      </c>
      <c r="GS337">
        <v>1</v>
      </c>
      <c r="GT337">
        <v>0</v>
      </c>
      <c r="GU337" t="s">
        <v>3</v>
      </c>
      <c r="GV337">
        <f>ROUND((GT337),6)</f>
        <v>0</v>
      </c>
      <c r="GW337">
        <v>1</v>
      </c>
      <c r="GX337">
        <f>ROUND(HC337*I337,0)</f>
        <v>0</v>
      </c>
      <c r="HA337">
        <v>0</v>
      </c>
      <c r="HB337">
        <v>0</v>
      </c>
      <c r="HC337">
        <f>GV337*GW337</f>
        <v>0</v>
      </c>
      <c r="HE337" t="s">
        <v>56</v>
      </c>
      <c r="HF337" t="s">
        <v>26</v>
      </c>
      <c r="HM337" t="s">
        <v>3</v>
      </c>
      <c r="HN337" t="s">
        <v>3</v>
      </c>
      <c r="HO337" t="s">
        <v>3</v>
      </c>
      <c r="HP337" t="s">
        <v>3</v>
      </c>
      <c r="HQ337" t="s">
        <v>3</v>
      </c>
      <c r="IK337">
        <v>0</v>
      </c>
    </row>
    <row r="339" spans="1:245" x14ac:dyDescent="0.2">
      <c r="A339" s="2">
        <v>51</v>
      </c>
      <c r="B339" s="2">
        <f>B329</f>
        <v>1</v>
      </c>
      <c r="C339" s="2">
        <f>A329</f>
        <v>5</v>
      </c>
      <c r="D339" s="2">
        <f>ROW(A329)</f>
        <v>329</v>
      </c>
      <c r="E339" s="2"/>
      <c r="F339" s="2" t="str">
        <f>IF(F329&lt;&gt;"",F329,"")</f>
        <v>Новый подраздел</v>
      </c>
      <c r="G339" s="2" t="str">
        <f>IF(G329&lt;&gt;"",G329,"")</f>
        <v>Устройство бетонного лотка</v>
      </c>
      <c r="H339" s="2">
        <v>0</v>
      </c>
      <c r="I339" s="2"/>
      <c r="J339" s="2"/>
      <c r="K339" s="2"/>
      <c r="L339" s="2"/>
      <c r="M339" s="2"/>
      <c r="N339" s="2"/>
      <c r="O339" s="2">
        <f t="shared" ref="O339:T339" si="301">ROUND(AB339,0)</f>
        <v>1409190</v>
      </c>
      <c r="P339" s="2">
        <f t="shared" si="301"/>
        <v>1327843</v>
      </c>
      <c r="Q339" s="2">
        <f t="shared" si="301"/>
        <v>28454</v>
      </c>
      <c r="R339" s="2">
        <f t="shared" si="301"/>
        <v>10172</v>
      </c>
      <c r="S339" s="2">
        <f t="shared" si="301"/>
        <v>52893</v>
      </c>
      <c r="T339" s="2">
        <f t="shared" si="301"/>
        <v>0</v>
      </c>
      <c r="U339" s="2">
        <f>AH339</f>
        <v>393.22194374999992</v>
      </c>
      <c r="V339" s="2">
        <f>AI339</f>
        <v>57.558362499999994</v>
      </c>
      <c r="W339" s="2">
        <f>ROUND(AJ339,0)</f>
        <v>0</v>
      </c>
      <c r="X339" s="2">
        <f>ROUND(AK339,0)</f>
        <v>72069</v>
      </c>
      <c r="Y339" s="2">
        <f>ROUND(AL339,0)</f>
        <v>53111</v>
      </c>
      <c r="Z339" s="2"/>
      <c r="AA339" s="2"/>
      <c r="AB339" s="2">
        <f>ROUND(SUMIF(AA333:AA337,"=46416371",O333:O337),0)</f>
        <v>1409190</v>
      </c>
      <c r="AC339" s="2">
        <f>ROUND(SUMIF(AA333:AA337,"=46416371",P333:P337),0)</f>
        <v>1327843</v>
      </c>
      <c r="AD339" s="2">
        <f>ROUND(SUMIF(AA333:AA337,"=46416371",Q333:Q337),0)</f>
        <v>28454</v>
      </c>
      <c r="AE339" s="2">
        <f>ROUND(SUMIF(AA333:AA337,"=46416371",R333:R337),0)</f>
        <v>10172</v>
      </c>
      <c r="AF339" s="2">
        <f>ROUND(SUMIF(AA333:AA337,"=46416371",S333:S337),0)</f>
        <v>52893</v>
      </c>
      <c r="AG339" s="2">
        <f>ROUND(SUMIF(AA333:AA337,"=46416371",T333:T337),0)</f>
        <v>0</v>
      </c>
      <c r="AH339" s="2">
        <f>SUMIF(AA333:AA337,"=46416371",U333:U337)</f>
        <v>393.22194374999992</v>
      </c>
      <c r="AI339" s="2">
        <f>SUMIF(AA333:AA337,"=46416371",V333:V337)</f>
        <v>57.558362499999994</v>
      </c>
      <c r="AJ339" s="2">
        <f>ROUND(SUMIF(AA333:AA337,"=46416371",W333:W337),0)</f>
        <v>0</v>
      </c>
      <c r="AK339" s="2">
        <f>ROUND(SUMIF(AA333:AA337,"=46416371",X333:X337),0)</f>
        <v>72069</v>
      </c>
      <c r="AL339" s="2">
        <f>ROUND(SUMIF(AA333:AA337,"=46416371",Y333:Y337),0)</f>
        <v>53111</v>
      </c>
      <c r="AM339" s="2"/>
      <c r="AN339" s="2"/>
      <c r="AO339" s="2">
        <f t="shared" ref="AO339:BD339" si="302">ROUND(BX339,0)</f>
        <v>0</v>
      </c>
      <c r="AP339" s="2">
        <f t="shared" si="302"/>
        <v>0</v>
      </c>
      <c r="AQ339" s="2">
        <f t="shared" si="302"/>
        <v>0</v>
      </c>
      <c r="AR339" s="2">
        <f t="shared" si="302"/>
        <v>1534370</v>
      </c>
      <c r="AS339" s="2">
        <f t="shared" si="302"/>
        <v>789977</v>
      </c>
      <c r="AT339" s="2">
        <f t="shared" si="302"/>
        <v>0</v>
      </c>
      <c r="AU339" s="2">
        <f t="shared" si="302"/>
        <v>744393</v>
      </c>
      <c r="AV339" s="2">
        <f t="shared" si="302"/>
        <v>1327843</v>
      </c>
      <c r="AW339" s="2">
        <f t="shared" si="302"/>
        <v>1327843</v>
      </c>
      <c r="AX339" s="2">
        <f t="shared" si="302"/>
        <v>0</v>
      </c>
      <c r="AY339" s="2">
        <f t="shared" si="302"/>
        <v>1327843</v>
      </c>
      <c r="AZ339" s="2">
        <f t="shared" si="302"/>
        <v>0</v>
      </c>
      <c r="BA339" s="2">
        <f t="shared" si="302"/>
        <v>0</v>
      </c>
      <c r="BB339" s="2">
        <f t="shared" si="302"/>
        <v>0</v>
      </c>
      <c r="BC339" s="2">
        <f t="shared" si="302"/>
        <v>0</v>
      </c>
      <c r="BD339" s="2">
        <f t="shared" si="302"/>
        <v>0</v>
      </c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>
        <f>ROUND(SUMIF(AA333:AA337,"=46416371",FQ333:FQ337),0)</f>
        <v>0</v>
      </c>
      <c r="BY339" s="2">
        <f>ROUND(SUMIF(AA333:AA337,"=46416371",FR333:FR337),0)</f>
        <v>0</v>
      </c>
      <c r="BZ339" s="2">
        <f>ROUND(SUMIF(AA333:AA337,"=46416371",GL333:GL337),0)</f>
        <v>0</v>
      </c>
      <c r="CA339" s="2">
        <f>ROUND(SUMIF(AA333:AA337,"=46416371",GM333:GM337),0)</f>
        <v>1534370</v>
      </c>
      <c r="CB339" s="2">
        <f>ROUND(SUMIF(AA333:AA337,"=46416371",GN333:GN337),0)</f>
        <v>789977</v>
      </c>
      <c r="CC339" s="2">
        <f>ROUND(SUMIF(AA333:AA337,"=46416371",GO333:GO337),0)</f>
        <v>0</v>
      </c>
      <c r="CD339" s="2">
        <f>ROUND(SUMIF(AA333:AA337,"=46416371",GP333:GP337),0)</f>
        <v>744393</v>
      </c>
      <c r="CE339" s="2">
        <f>AC339-BX339</f>
        <v>1327843</v>
      </c>
      <c r="CF339" s="2">
        <f>AC339-BY339</f>
        <v>1327843</v>
      </c>
      <c r="CG339" s="2">
        <f>BX339-BZ339</f>
        <v>0</v>
      </c>
      <c r="CH339" s="2">
        <f>AC339-BX339-BY339+BZ339</f>
        <v>1327843</v>
      </c>
      <c r="CI339" s="2">
        <f>BY339-BZ339</f>
        <v>0</v>
      </c>
      <c r="CJ339" s="2">
        <f>ROUND(SUMIF(AA333:AA337,"=46416371",GX333:GX337),0)</f>
        <v>0</v>
      </c>
      <c r="CK339" s="2">
        <f>ROUND(SUMIF(AA333:AA337,"=46416371",GY333:GY337),0)</f>
        <v>0</v>
      </c>
      <c r="CL339" s="2">
        <f>ROUND(SUMIF(AA333:AA337,"=46416371",GZ333:GZ337),0)</f>
        <v>0</v>
      </c>
      <c r="CM339" s="2">
        <f>ROUND(SUMIF(AA333:AA337,"=46416371",HD333:HD337),0)</f>
        <v>0</v>
      </c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>
        <v>0</v>
      </c>
    </row>
    <row r="341" spans="1:245" x14ac:dyDescent="0.2">
      <c r="A341" s="4">
        <v>50</v>
      </c>
      <c r="B341" s="4">
        <v>0</v>
      </c>
      <c r="C341" s="4">
        <v>0</v>
      </c>
      <c r="D341" s="4">
        <v>1</v>
      </c>
      <c r="E341" s="4">
        <v>201</v>
      </c>
      <c r="F341" s="4">
        <f>ROUND(Source!O339,O341)</f>
        <v>1409190</v>
      </c>
      <c r="G341" s="4" t="s">
        <v>68</v>
      </c>
      <c r="H341" s="4" t="s">
        <v>69</v>
      </c>
      <c r="I341" s="4"/>
      <c r="J341" s="4"/>
      <c r="K341" s="4">
        <v>201</v>
      </c>
      <c r="L341" s="4">
        <v>1</v>
      </c>
      <c r="M341" s="4">
        <v>3</v>
      </c>
      <c r="N341" s="4" t="s">
        <v>3</v>
      </c>
      <c r="O341" s="4">
        <v>0</v>
      </c>
      <c r="P341" s="4"/>
      <c r="Q341" s="4"/>
      <c r="R341" s="4"/>
      <c r="S341" s="4"/>
      <c r="T341" s="4"/>
      <c r="U341" s="4"/>
      <c r="V341" s="4"/>
      <c r="W341" s="4">
        <v>1206022</v>
      </c>
      <c r="X341" s="4">
        <v>1</v>
      </c>
      <c r="Y341" s="4">
        <v>1206022</v>
      </c>
      <c r="Z341" s="4"/>
      <c r="AA341" s="4"/>
      <c r="AB341" s="4"/>
    </row>
    <row r="342" spans="1:245" x14ac:dyDescent="0.2">
      <c r="A342" s="4">
        <v>50</v>
      </c>
      <c r="B342" s="4">
        <v>0</v>
      </c>
      <c r="C342" s="4">
        <v>0</v>
      </c>
      <c r="D342" s="4">
        <v>1</v>
      </c>
      <c r="E342" s="4">
        <v>202</v>
      </c>
      <c r="F342" s="4">
        <f>ROUND(Source!P339,O342)</f>
        <v>1327843</v>
      </c>
      <c r="G342" s="4" t="s">
        <v>70</v>
      </c>
      <c r="H342" s="4" t="s">
        <v>71</v>
      </c>
      <c r="I342" s="4"/>
      <c r="J342" s="4"/>
      <c r="K342" s="4">
        <v>202</v>
      </c>
      <c r="L342" s="4">
        <v>2</v>
      </c>
      <c r="M342" s="4">
        <v>3</v>
      </c>
      <c r="N342" s="4" t="s">
        <v>3</v>
      </c>
      <c r="O342" s="4">
        <v>0</v>
      </c>
      <c r="P342" s="4"/>
      <c r="Q342" s="4"/>
      <c r="R342" s="4"/>
      <c r="S342" s="4"/>
      <c r="T342" s="4"/>
      <c r="U342" s="4"/>
      <c r="V342" s="4"/>
      <c r="W342" s="4">
        <v>1050714</v>
      </c>
      <c r="X342" s="4">
        <v>1</v>
      </c>
      <c r="Y342" s="4">
        <v>1050714</v>
      </c>
      <c r="Z342" s="4"/>
      <c r="AA342" s="4"/>
      <c r="AB342" s="4"/>
    </row>
    <row r="343" spans="1:245" x14ac:dyDescent="0.2">
      <c r="A343" s="4">
        <v>50</v>
      </c>
      <c r="B343" s="4">
        <v>0</v>
      </c>
      <c r="C343" s="4">
        <v>0</v>
      </c>
      <c r="D343" s="4">
        <v>1</v>
      </c>
      <c r="E343" s="4">
        <v>222</v>
      </c>
      <c r="F343" s="4">
        <f>ROUND(Source!AO339,O343)</f>
        <v>0</v>
      </c>
      <c r="G343" s="4" t="s">
        <v>72</v>
      </c>
      <c r="H343" s="4" t="s">
        <v>73</v>
      </c>
      <c r="I343" s="4"/>
      <c r="J343" s="4"/>
      <c r="K343" s="4">
        <v>222</v>
      </c>
      <c r="L343" s="4">
        <v>3</v>
      </c>
      <c r="M343" s="4">
        <v>3</v>
      </c>
      <c r="N343" s="4" t="s">
        <v>3</v>
      </c>
      <c r="O343" s="4">
        <v>0</v>
      </c>
      <c r="P343" s="4"/>
      <c r="Q343" s="4"/>
      <c r="R343" s="4"/>
      <c r="S343" s="4"/>
      <c r="T343" s="4"/>
      <c r="U343" s="4"/>
      <c r="V343" s="4"/>
      <c r="W343" s="4">
        <v>0</v>
      </c>
      <c r="X343" s="4">
        <v>1</v>
      </c>
      <c r="Y343" s="4">
        <v>0</v>
      </c>
      <c r="Z343" s="4"/>
      <c r="AA343" s="4"/>
      <c r="AB343" s="4"/>
    </row>
    <row r="344" spans="1:245" x14ac:dyDescent="0.2">
      <c r="A344" s="4">
        <v>50</v>
      </c>
      <c r="B344" s="4">
        <v>0</v>
      </c>
      <c r="C344" s="4">
        <v>0</v>
      </c>
      <c r="D344" s="4">
        <v>1</v>
      </c>
      <c r="E344" s="4">
        <v>225</v>
      </c>
      <c r="F344" s="4">
        <f>ROUND(Source!AV339,O344)</f>
        <v>1327843</v>
      </c>
      <c r="G344" s="4" t="s">
        <v>74</v>
      </c>
      <c r="H344" s="4" t="s">
        <v>75</v>
      </c>
      <c r="I344" s="4"/>
      <c r="J344" s="4"/>
      <c r="K344" s="4">
        <v>225</v>
      </c>
      <c r="L344" s="4">
        <v>4</v>
      </c>
      <c r="M344" s="4">
        <v>3</v>
      </c>
      <c r="N344" s="4" t="s">
        <v>3</v>
      </c>
      <c r="O344" s="4">
        <v>0</v>
      </c>
      <c r="P344" s="4"/>
      <c r="Q344" s="4"/>
      <c r="R344" s="4"/>
      <c r="S344" s="4"/>
      <c r="T344" s="4"/>
      <c r="U344" s="4"/>
      <c r="V344" s="4"/>
      <c r="W344" s="4">
        <v>1050714</v>
      </c>
      <c r="X344" s="4">
        <v>1</v>
      </c>
      <c r="Y344" s="4">
        <v>1050714</v>
      </c>
      <c r="Z344" s="4"/>
      <c r="AA344" s="4"/>
      <c r="AB344" s="4"/>
    </row>
    <row r="345" spans="1:245" x14ac:dyDescent="0.2">
      <c r="A345" s="4">
        <v>50</v>
      </c>
      <c r="B345" s="4">
        <v>0</v>
      </c>
      <c r="C345" s="4">
        <v>0</v>
      </c>
      <c r="D345" s="4">
        <v>1</v>
      </c>
      <c r="E345" s="4">
        <v>226</v>
      </c>
      <c r="F345" s="4">
        <f>ROUND(Source!AW339,O345)</f>
        <v>1327843</v>
      </c>
      <c r="G345" s="4" t="s">
        <v>76</v>
      </c>
      <c r="H345" s="4" t="s">
        <v>77</v>
      </c>
      <c r="I345" s="4"/>
      <c r="J345" s="4"/>
      <c r="K345" s="4">
        <v>226</v>
      </c>
      <c r="L345" s="4">
        <v>5</v>
      </c>
      <c r="M345" s="4">
        <v>3</v>
      </c>
      <c r="N345" s="4" t="s">
        <v>3</v>
      </c>
      <c r="O345" s="4">
        <v>0</v>
      </c>
      <c r="P345" s="4"/>
      <c r="Q345" s="4"/>
      <c r="R345" s="4"/>
      <c r="S345" s="4"/>
      <c r="T345" s="4"/>
      <c r="U345" s="4"/>
      <c r="V345" s="4"/>
      <c r="W345" s="4">
        <v>1050714</v>
      </c>
      <c r="X345" s="4">
        <v>1</v>
      </c>
      <c r="Y345" s="4">
        <v>1050714</v>
      </c>
      <c r="Z345" s="4"/>
      <c r="AA345" s="4"/>
      <c r="AB345" s="4"/>
    </row>
    <row r="346" spans="1:245" x14ac:dyDescent="0.2">
      <c r="A346" s="4">
        <v>50</v>
      </c>
      <c r="B346" s="4">
        <v>0</v>
      </c>
      <c r="C346" s="4">
        <v>0</v>
      </c>
      <c r="D346" s="4">
        <v>1</v>
      </c>
      <c r="E346" s="4">
        <v>227</v>
      </c>
      <c r="F346" s="4">
        <f>ROUND(Source!AX339,O346)</f>
        <v>0</v>
      </c>
      <c r="G346" s="4" t="s">
        <v>78</v>
      </c>
      <c r="H346" s="4" t="s">
        <v>79</v>
      </c>
      <c r="I346" s="4"/>
      <c r="J346" s="4"/>
      <c r="K346" s="4">
        <v>227</v>
      </c>
      <c r="L346" s="4">
        <v>6</v>
      </c>
      <c r="M346" s="4">
        <v>3</v>
      </c>
      <c r="N346" s="4" t="s">
        <v>3</v>
      </c>
      <c r="O346" s="4">
        <v>0</v>
      </c>
      <c r="P346" s="4"/>
      <c r="Q346" s="4"/>
      <c r="R346" s="4"/>
      <c r="S346" s="4"/>
      <c r="T346" s="4"/>
      <c r="U346" s="4"/>
      <c r="V346" s="4"/>
      <c r="W346" s="4">
        <v>0</v>
      </c>
      <c r="X346" s="4">
        <v>1</v>
      </c>
      <c r="Y346" s="4">
        <v>0</v>
      </c>
      <c r="Z346" s="4"/>
      <c r="AA346" s="4"/>
      <c r="AB346" s="4"/>
    </row>
    <row r="347" spans="1:245" x14ac:dyDescent="0.2">
      <c r="A347" s="4">
        <v>50</v>
      </c>
      <c r="B347" s="4">
        <v>0</v>
      </c>
      <c r="C347" s="4">
        <v>0</v>
      </c>
      <c r="D347" s="4">
        <v>1</v>
      </c>
      <c r="E347" s="4">
        <v>228</v>
      </c>
      <c r="F347" s="4">
        <f>ROUND(Source!AY339,O347)</f>
        <v>1327843</v>
      </c>
      <c r="G347" s="4" t="s">
        <v>80</v>
      </c>
      <c r="H347" s="4" t="s">
        <v>81</v>
      </c>
      <c r="I347" s="4"/>
      <c r="J347" s="4"/>
      <c r="K347" s="4">
        <v>228</v>
      </c>
      <c r="L347" s="4">
        <v>7</v>
      </c>
      <c r="M347" s="4">
        <v>3</v>
      </c>
      <c r="N347" s="4" t="s">
        <v>3</v>
      </c>
      <c r="O347" s="4">
        <v>0</v>
      </c>
      <c r="P347" s="4"/>
      <c r="Q347" s="4"/>
      <c r="R347" s="4"/>
      <c r="S347" s="4"/>
      <c r="T347" s="4"/>
      <c r="U347" s="4"/>
      <c r="V347" s="4"/>
      <c r="W347" s="4">
        <v>1050714</v>
      </c>
      <c r="X347" s="4">
        <v>1</v>
      </c>
      <c r="Y347" s="4">
        <v>1050714</v>
      </c>
      <c r="Z347" s="4"/>
      <c r="AA347" s="4"/>
      <c r="AB347" s="4"/>
    </row>
    <row r="348" spans="1:245" x14ac:dyDescent="0.2">
      <c r="A348" s="4">
        <v>50</v>
      </c>
      <c r="B348" s="4">
        <v>0</v>
      </c>
      <c r="C348" s="4">
        <v>0</v>
      </c>
      <c r="D348" s="4">
        <v>1</v>
      </c>
      <c r="E348" s="4">
        <v>216</v>
      </c>
      <c r="F348" s="4">
        <f>ROUND(Source!AP339,O348)</f>
        <v>0</v>
      </c>
      <c r="G348" s="4" t="s">
        <v>82</v>
      </c>
      <c r="H348" s="4" t="s">
        <v>83</v>
      </c>
      <c r="I348" s="4"/>
      <c r="J348" s="4"/>
      <c r="K348" s="4">
        <v>216</v>
      </c>
      <c r="L348" s="4">
        <v>8</v>
      </c>
      <c r="M348" s="4">
        <v>3</v>
      </c>
      <c r="N348" s="4" t="s">
        <v>3</v>
      </c>
      <c r="O348" s="4">
        <v>0</v>
      </c>
      <c r="P348" s="4"/>
      <c r="Q348" s="4"/>
      <c r="R348" s="4"/>
      <c r="S348" s="4"/>
      <c r="T348" s="4"/>
      <c r="U348" s="4"/>
      <c r="V348" s="4"/>
      <c r="W348" s="4">
        <v>0</v>
      </c>
      <c r="X348" s="4">
        <v>1</v>
      </c>
      <c r="Y348" s="4">
        <v>0</v>
      </c>
      <c r="Z348" s="4"/>
      <c r="AA348" s="4"/>
      <c r="AB348" s="4"/>
    </row>
    <row r="349" spans="1:245" x14ac:dyDescent="0.2">
      <c r="A349" s="4">
        <v>50</v>
      </c>
      <c r="B349" s="4">
        <v>0</v>
      </c>
      <c r="C349" s="4">
        <v>0</v>
      </c>
      <c r="D349" s="4">
        <v>1</v>
      </c>
      <c r="E349" s="4">
        <v>223</v>
      </c>
      <c r="F349" s="4">
        <f>ROUND(Source!AQ339,O349)</f>
        <v>0</v>
      </c>
      <c r="G349" s="4" t="s">
        <v>84</v>
      </c>
      <c r="H349" s="4" t="s">
        <v>85</v>
      </c>
      <c r="I349" s="4"/>
      <c r="J349" s="4"/>
      <c r="K349" s="4">
        <v>223</v>
      </c>
      <c r="L349" s="4">
        <v>9</v>
      </c>
      <c r="M349" s="4">
        <v>3</v>
      </c>
      <c r="N349" s="4" t="s">
        <v>3</v>
      </c>
      <c r="O349" s="4">
        <v>0</v>
      </c>
      <c r="P349" s="4"/>
      <c r="Q349" s="4"/>
      <c r="R349" s="4"/>
      <c r="S349" s="4"/>
      <c r="T349" s="4"/>
      <c r="U349" s="4"/>
      <c r="V349" s="4"/>
      <c r="W349" s="4">
        <v>0</v>
      </c>
      <c r="X349" s="4">
        <v>1</v>
      </c>
      <c r="Y349" s="4">
        <v>0</v>
      </c>
      <c r="Z349" s="4"/>
      <c r="AA349" s="4"/>
      <c r="AB349" s="4"/>
    </row>
    <row r="350" spans="1:245" x14ac:dyDescent="0.2">
      <c r="A350" s="4">
        <v>50</v>
      </c>
      <c r="B350" s="4">
        <v>0</v>
      </c>
      <c r="C350" s="4">
        <v>0</v>
      </c>
      <c r="D350" s="4">
        <v>1</v>
      </c>
      <c r="E350" s="4">
        <v>229</v>
      </c>
      <c r="F350" s="4">
        <f>ROUND(Source!AZ339,O350)</f>
        <v>0</v>
      </c>
      <c r="G350" s="4" t="s">
        <v>86</v>
      </c>
      <c r="H350" s="4" t="s">
        <v>87</v>
      </c>
      <c r="I350" s="4"/>
      <c r="J350" s="4"/>
      <c r="K350" s="4">
        <v>229</v>
      </c>
      <c r="L350" s="4">
        <v>10</v>
      </c>
      <c r="M350" s="4">
        <v>3</v>
      </c>
      <c r="N350" s="4" t="s">
        <v>3</v>
      </c>
      <c r="O350" s="4">
        <v>0</v>
      </c>
      <c r="P350" s="4"/>
      <c r="Q350" s="4"/>
      <c r="R350" s="4"/>
      <c r="S350" s="4"/>
      <c r="T350" s="4"/>
      <c r="U350" s="4"/>
      <c r="V350" s="4"/>
      <c r="W350" s="4">
        <v>0</v>
      </c>
      <c r="X350" s="4">
        <v>1</v>
      </c>
      <c r="Y350" s="4">
        <v>0</v>
      </c>
      <c r="Z350" s="4"/>
      <c r="AA350" s="4"/>
      <c r="AB350" s="4"/>
    </row>
    <row r="351" spans="1:245" x14ac:dyDescent="0.2">
      <c r="A351" s="4">
        <v>50</v>
      </c>
      <c r="B351" s="4">
        <v>0</v>
      </c>
      <c r="C351" s="4">
        <v>0</v>
      </c>
      <c r="D351" s="4">
        <v>1</v>
      </c>
      <c r="E351" s="4">
        <v>203</v>
      </c>
      <c r="F351" s="4">
        <f>ROUND(Source!Q339,O351)</f>
        <v>28454</v>
      </c>
      <c r="G351" s="4" t="s">
        <v>88</v>
      </c>
      <c r="H351" s="4" t="s">
        <v>89</v>
      </c>
      <c r="I351" s="4"/>
      <c r="J351" s="4"/>
      <c r="K351" s="4">
        <v>203</v>
      </c>
      <c r="L351" s="4">
        <v>11</v>
      </c>
      <c r="M351" s="4">
        <v>3</v>
      </c>
      <c r="N351" s="4" t="s">
        <v>3</v>
      </c>
      <c r="O351" s="4">
        <v>0</v>
      </c>
      <c r="P351" s="4"/>
      <c r="Q351" s="4"/>
      <c r="R351" s="4"/>
      <c r="S351" s="4"/>
      <c r="T351" s="4"/>
      <c r="U351" s="4"/>
      <c r="V351" s="4"/>
      <c r="W351" s="4">
        <v>60417</v>
      </c>
      <c r="X351" s="4">
        <v>1</v>
      </c>
      <c r="Y351" s="4">
        <v>60417</v>
      </c>
      <c r="Z351" s="4"/>
      <c r="AA351" s="4"/>
      <c r="AB351" s="4"/>
    </row>
    <row r="352" spans="1:245" x14ac:dyDescent="0.2">
      <c r="A352" s="4">
        <v>50</v>
      </c>
      <c r="B352" s="4">
        <v>0</v>
      </c>
      <c r="C352" s="4">
        <v>0</v>
      </c>
      <c r="D352" s="4">
        <v>1</v>
      </c>
      <c r="E352" s="4">
        <v>231</v>
      </c>
      <c r="F352" s="4">
        <f>ROUND(Source!BB339,O352)</f>
        <v>0</v>
      </c>
      <c r="G352" s="4" t="s">
        <v>90</v>
      </c>
      <c r="H352" s="4" t="s">
        <v>91</v>
      </c>
      <c r="I352" s="4"/>
      <c r="J352" s="4"/>
      <c r="K352" s="4">
        <v>231</v>
      </c>
      <c r="L352" s="4">
        <v>12</v>
      </c>
      <c r="M352" s="4">
        <v>3</v>
      </c>
      <c r="N352" s="4" t="s">
        <v>3</v>
      </c>
      <c r="O352" s="4">
        <v>0</v>
      </c>
      <c r="P352" s="4"/>
      <c r="Q352" s="4"/>
      <c r="R352" s="4"/>
      <c r="S352" s="4"/>
      <c r="T352" s="4"/>
      <c r="U352" s="4"/>
      <c r="V352" s="4"/>
      <c r="W352" s="4">
        <v>0</v>
      </c>
      <c r="X352" s="4">
        <v>1</v>
      </c>
      <c r="Y352" s="4">
        <v>0</v>
      </c>
      <c r="Z352" s="4"/>
      <c r="AA352" s="4"/>
      <c r="AB352" s="4"/>
    </row>
    <row r="353" spans="1:28" x14ac:dyDescent="0.2">
      <c r="A353" s="4">
        <v>50</v>
      </c>
      <c r="B353" s="4">
        <v>0</v>
      </c>
      <c r="C353" s="4">
        <v>0</v>
      </c>
      <c r="D353" s="4">
        <v>1</v>
      </c>
      <c r="E353" s="4">
        <v>204</v>
      </c>
      <c r="F353" s="4">
        <f>ROUND(Source!R339,O353)</f>
        <v>10172</v>
      </c>
      <c r="G353" s="4" t="s">
        <v>92</v>
      </c>
      <c r="H353" s="4" t="s">
        <v>93</v>
      </c>
      <c r="I353" s="4"/>
      <c r="J353" s="4"/>
      <c r="K353" s="4">
        <v>204</v>
      </c>
      <c r="L353" s="4">
        <v>13</v>
      </c>
      <c r="M353" s="4">
        <v>3</v>
      </c>
      <c r="N353" s="4" t="s">
        <v>3</v>
      </c>
      <c r="O353" s="4">
        <v>0</v>
      </c>
      <c r="P353" s="4"/>
      <c r="Q353" s="4"/>
      <c r="R353" s="4"/>
      <c r="S353" s="4"/>
      <c r="T353" s="4"/>
      <c r="U353" s="4"/>
      <c r="V353" s="4"/>
      <c r="W353" s="4">
        <v>20287</v>
      </c>
      <c r="X353" s="4">
        <v>1</v>
      </c>
      <c r="Y353" s="4">
        <v>20287</v>
      </c>
      <c r="Z353" s="4"/>
      <c r="AA353" s="4"/>
      <c r="AB353" s="4"/>
    </row>
    <row r="354" spans="1:28" x14ac:dyDescent="0.2">
      <c r="A354" s="4">
        <v>50</v>
      </c>
      <c r="B354" s="4">
        <v>0</v>
      </c>
      <c r="C354" s="4">
        <v>0</v>
      </c>
      <c r="D354" s="4">
        <v>1</v>
      </c>
      <c r="E354" s="4">
        <v>205</v>
      </c>
      <c r="F354" s="4">
        <f>ROUND(Source!S339,O354)</f>
        <v>52893</v>
      </c>
      <c r="G354" s="4" t="s">
        <v>94</v>
      </c>
      <c r="H354" s="4" t="s">
        <v>95</v>
      </c>
      <c r="I354" s="4"/>
      <c r="J354" s="4"/>
      <c r="K354" s="4">
        <v>205</v>
      </c>
      <c r="L354" s="4">
        <v>14</v>
      </c>
      <c r="M354" s="4">
        <v>3</v>
      </c>
      <c r="N354" s="4" t="s">
        <v>3</v>
      </c>
      <c r="O354" s="4">
        <v>0</v>
      </c>
      <c r="P354" s="4"/>
      <c r="Q354" s="4"/>
      <c r="R354" s="4"/>
      <c r="S354" s="4"/>
      <c r="T354" s="4"/>
      <c r="U354" s="4"/>
      <c r="V354" s="4"/>
      <c r="W354" s="4">
        <v>94891</v>
      </c>
      <c r="X354" s="4">
        <v>1</v>
      </c>
      <c r="Y354" s="4">
        <v>94891</v>
      </c>
      <c r="Z354" s="4"/>
      <c r="AA354" s="4"/>
      <c r="AB354" s="4"/>
    </row>
    <row r="355" spans="1:28" x14ac:dyDescent="0.2">
      <c r="A355" s="4">
        <v>50</v>
      </c>
      <c r="B355" s="4">
        <v>0</v>
      </c>
      <c r="C355" s="4">
        <v>0</v>
      </c>
      <c r="D355" s="4">
        <v>1</v>
      </c>
      <c r="E355" s="4">
        <v>232</v>
      </c>
      <c r="F355" s="4">
        <f>ROUND(Source!BC339,O355)</f>
        <v>0</v>
      </c>
      <c r="G355" s="4" t="s">
        <v>96</v>
      </c>
      <c r="H355" s="4" t="s">
        <v>97</v>
      </c>
      <c r="I355" s="4"/>
      <c r="J355" s="4"/>
      <c r="K355" s="4">
        <v>232</v>
      </c>
      <c r="L355" s="4">
        <v>15</v>
      </c>
      <c r="M355" s="4">
        <v>3</v>
      </c>
      <c r="N355" s="4" t="s">
        <v>3</v>
      </c>
      <c r="O355" s="4">
        <v>0</v>
      </c>
      <c r="P355" s="4"/>
      <c r="Q355" s="4"/>
      <c r="R355" s="4"/>
      <c r="S355" s="4"/>
      <c r="T355" s="4"/>
      <c r="U355" s="4"/>
      <c r="V355" s="4"/>
      <c r="W355" s="4">
        <v>0</v>
      </c>
      <c r="X355" s="4">
        <v>1</v>
      </c>
      <c r="Y355" s="4">
        <v>0</v>
      </c>
      <c r="Z355" s="4"/>
      <c r="AA355" s="4"/>
      <c r="AB355" s="4"/>
    </row>
    <row r="356" spans="1:28" x14ac:dyDescent="0.2">
      <c r="A356" s="4">
        <v>50</v>
      </c>
      <c r="B356" s="4">
        <v>0</v>
      </c>
      <c r="C356" s="4">
        <v>0</v>
      </c>
      <c r="D356" s="4">
        <v>1</v>
      </c>
      <c r="E356" s="4">
        <v>214</v>
      </c>
      <c r="F356" s="4">
        <f>ROUND(Source!AS339,O356)</f>
        <v>789977</v>
      </c>
      <c r="G356" s="4" t="s">
        <v>98</v>
      </c>
      <c r="H356" s="4" t="s">
        <v>99</v>
      </c>
      <c r="I356" s="4"/>
      <c r="J356" s="4"/>
      <c r="K356" s="4">
        <v>214</v>
      </c>
      <c r="L356" s="4">
        <v>16</v>
      </c>
      <c r="M356" s="4">
        <v>3</v>
      </c>
      <c r="N356" s="4" t="s">
        <v>3</v>
      </c>
      <c r="O356" s="4">
        <v>0</v>
      </c>
      <c r="P356" s="4"/>
      <c r="Q356" s="4"/>
      <c r="R356" s="4"/>
      <c r="S356" s="4"/>
      <c r="T356" s="4"/>
      <c r="U356" s="4"/>
      <c r="V356" s="4"/>
      <c r="W356" s="4">
        <v>852797</v>
      </c>
      <c r="X356" s="4">
        <v>1</v>
      </c>
      <c r="Y356" s="4">
        <v>852797</v>
      </c>
      <c r="Z356" s="4"/>
      <c r="AA356" s="4"/>
      <c r="AB356" s="4"/>
    </row>
    <row r="357" spans="1:28" x14ac:dyDescent="0.2">
      <c r="A357" s="4">
        <v>50</v>
      </c>
      <c r="B357" s="4">
        <v>0</v>
      </c>
      <c r="C357" s="4">
        <v>0</v>
      </c>
      <c r="D357" s="4">
        <v>1</v>
      </c>
      <c r="E357" s="4">
        <v>215</v>
      </c>
      <c r="F357" s="4">
        <f>ROUND(Source!AT339,O357)</f>
        <v>0</v>
      </c>
      <c r="G357" s="4" t="s">
        <v>100</v>
      </c>
      <c r="H357" s="4" t="s">
        <v>101</v>
      </c>
      <c r="I357" s="4"/>
      <c r="J357" s="4"/>
      <c r="K357" s="4">
        <v>215</v>
      </c>
      <c r="L357" s="4">
        <v>17</v>
      </c>
      <c r="M357" s="4">
        <v>3</v>
      </c>
      <c r="N357" s="4" t="s">
        <v>3</v>
      </c>
      <c r="O357" s="4">
        <v>0</v>
      </c>
      <c r="P357" s="4"/>
      <c r="Q357" s="4"/>
      <c r="R357" s="4"/>
      <c r="S357" s="4"/>
      <c r="T357" s="4"/>
      <c r="U357" s="4"/>
      <c r="V357" s="4"/>
      <c r="W357" s="4">
        <v>0</v>
      </c>
      <c r="X357" s="4">
        <v>1</v>
      </c>
      <c r="Y357" s="4">
        <v>0</v>
      </c>
      <c r="Z357" s="4"/>
      <c r="AA357" s="4"/>
      <c r="AB357" s="4"/>
    </row>
    <row r="358" spans="1:28" x14ac:dyDescent="0.2">
      <c r="A358" s="4">
        <v>50</v>
      </c>
      <c r="B358" s="4">
        <v>0</v>
      </c>
      <c r="C358" s="4">
        <v>0</v>
      </c>
      <c r="D358" s="4">
        <v>1</v>
      </c>
      <c r="E358" s="4">
        <v>217</v>
      </c>
      <c r="F358" s="4">
        <f>ROUND(Source!AU339,O358)</f>
        <v>744393</v>
      </c>
      <c r="G358" s="4" t="s">
        <v>102</v>
      </c>
      <c r="H358" s="4" t="s">
        <v>103</v>
      </c>
      <c r="I358" s="4"/>
      <c r="J358" s="4"/>
      <c r="K358" s="4">
        <v>217</v>
      </c>
      <c r="L358" s="4">
        <v>18</v>
      </c>
      <c r="M358" s="4">
        <v>3</v>
      </c>
      <c r="N358" s="4" t="s">
        <v>3</v>
      </c>
      <c r="O358" s="4">
        <v>0</v>
      </c>
      <c r="P358" s="4"/>
      <c r="Q358" s="4"/>
      <c r="R358" s="4"/>
      <c r="S358" s="4"/>
      <c r="T358" s="4"/>
      <c r="U358" s="4"/>
      <c r="V358" s="4"/>
      <c r="W358" s="4">
        <v>582631</v>
      </c>
      <c r="X358" s="4">
        <v>1</v>
      </c>
      <c r="Y358" s="4">
        <v>582631</v>
      </c>
      <c r="Z358" s="4"/>
      <c r="AA358" s="4"/>
      <c r="AB358" s="4"/>
    </row>
    <row r="359" spans="1:28" x14ac:dyDescent="0.2">
      <c r="A359" s="4">
        <v>50</v>
      </c>
      <c r="B359" s="4">
        <v>0</v>
      </c>
      <c r="C359" s="4">
        <v>0</v>
      </c>
      <c r="D359" s="4">
        <v>1</v>
      </c>
      <c r="E359" s="4">
        <v>230</v>
      </c>
      <c r="F359" s="4">
        <f>ROUND(Source!BA339,O359)</f>
        <v>0</v>
      </c>
      <c r="G359" s="4" t="s">
        <v>104</v>
      </c>
      <c r="H359" s="4" t="s">
        <v>105</v>
      </c>
      <c r="I359" s="4"/>
      <c r="J359" s="4"/>
      <c r="K359" s="4">
        <v>230</v>
      </c>
      <c r="L359" s="4">
        <v>19</v>
      </c>
      <c r="M359" s="4">
        <v>3</v>
      </c>
      <c r="N359" s="4" t="s">
        <v>3</v>
      </c>
      <c r="O359" s="4">
        <v>0</v>
      </c>
      <c r="P359" s="4"/>
      <c r="Q359" s="4"/>
      <c r="R359" s="4"/>
      <c r="S359" s="4"/>
      <c r="T359" s="4"/>
      <c r="U359" s="4"/>
      <c r="V359" s="4"/>
      <c r="W359" s="4">
        <v>0</v>
      </c>
      <c r="X359" s="4">
        <v>1</v>
      </c>
      <c r="Y359" s="4">
        <v>0</v>
      </c>
      <c r="Z359" s="4"/>
      <c r="AA359" s="4"/>
      <c r="AB359" s="4"/>
    </row>
    <row r="360" spans="1:28" x14ac:dyDescent="0.2">
      <c r="A360" s="4">
        <v>50</v>
      </c>
      <c r="B360" s="4">
        <v>0</v>
      </c>
      <c r="C360" s="4">
        <v>0</v>
      </c>
      <c r="D360" s="4">
        <v>1</v>
      </c>
      <c r="E360" s="4">
        <v>206</v>
      </c>
      <c r="F360" s="4">
        <f>ROUND(Source!T339,O360)</f>
        <v>0</v>
      </c>
      <c r="G360" s="4" t="s">
        <v>106</v>
      </c>
      <c r="H360" s="4" t="s">
        <v>107</v>
      </c>
      <c r="I360" s="4"/>
      <c r="J360" s="4"/>
      <c r="K360" s="4">
        <v>206</v>
      </c>
      <c r="L360" s="4">
        <v>20</v>
      </c>
      <c r="M360" s="4">
        <v>3</v>
      </c>
      <c r="N360" s="4" t="s">
        <v>3</v>
      </c>
      <c r="O360" s="4">
        <v>0</v>
      </c>
      <c r="P360" s="4"/>
      <c r="Q360" s="4"/>
      <c r="R360" s="4"/>
      <c r="S360" s="4"/>
      <c r="T360" s="4"/>
      <c r="U360" s="4"/>
      <c r="V360" s="4"/>
      <c r="W360" s="4">
        <v>0</v>
      </c>
      <c r="X360" s="4">
        <v>1</v>
      </c>
      <c r="Y360" s="4">
        <v>0</v>
      </c>
      <c r="Z360" s="4"/>
      <c r="AA360" s="4"/>
      <c r="AB360" s="4"/>
    </row>
    <row r="361" spans="1:28" x14ac:dyDescent="0.2">
      <c r="A361" s="4">
        <v>50</v>
      </c>
      <c r="B361" s="4">
        <v>0</v>
      </c>
      <c r="C361" s="4">
        <v>0</v>
      </c>
      <c r="D361" s="4">
        <v>1</v>
      </c>
      <c r="E361" s="4">
        <v>207</v>
      </c>
      <c r="F361" s="4">
        <f>Source!U339</f>
        <v>393.22194374999992</v>
      </c>
      <c r="G361" s="4" t="s">
        <v>108</v>
      </c>
      <c r="H361" s="4" t="s">
        <v>109</v>
      </c>
      <c r="I361" s="4"/>
      <c r="J361" s="4"/>
      <c r="K361" s="4">
        <v>207</v>
      </c>
      <c r="L361" s="4">
        <v>21</v>
      </c>
      <c r="M361" s="4">
        <v>3</v>
      </c>
      <c r="N361" s="4" t="s">
        <v>3</v>
      </c>
      <c r="O361" s="4">
        <v>-1</v>
      </c>
      <c r="P361" s="4"/>
      <c r="Q361" s="4"/>
      <c r="R361" s="4"/>
      <c r="S361" s="4"/>
      <c r="T361" s="4"/>
      <c r="U361" s="4"/>
      <c r="V361" s="4"/>
      <c r="W361" s="4">
        <v>316.62076000000002</v>
      </c>
      <c r="X361" s="4">
        <v>1</v>
      </c>
      <c r="Y361" s="4">
        <v>316.62076000000002</v>
      </c>
      <c r="Z361" s="4"/>
      <c r="AA361" s="4"/>
      <c r="AB361" s="4"/>
    </row>
    <row r="362" spans="1:28" x14ac:dyDescent="0.2">
      <c r="A362" s="4">
        <v>50</v>
      </c>
      <c r="B362" s="4">
        <v>0</v>
      </c>
      <c r="C362" s="4">
        <v>0</v>
      </c>
      <c r="D362" s="4">
        <v>1</v>
      </c>
      <c r="E362" s="4">
        <v>208</v>
      </c>
      <c r="F362" s="4">
        <f>Source!V339</f>
        <v>57.558362499999994</v>
      </c>
      <c r="G362" s="4" t="s">
        <v>110</v>
      </c>
      <c r="H362" s="4" t="s">
        <v>111</v>
      </c>
      <c r="I362" s="4"/>
      <c r="J362" s="4"/>
      <c r="K362" s="4">
        <v>208</v>
      </c>
      <c r="L362" s="4">
        <v>22</v>
      </c>
      <c r="M362" s="4">
        <v>3</v>
      </c>
      <c r="N362" s="4" t="s">
        <v>3</v>
      </c>
      <c r="O362" s="4">
        <v>-1</v>
      </c>
      <c r="P362" s="4"/>
      <c r="Q362" s="4"/>
      <c r="R362" s="4"/>
      <c r="S362" s="4"/>
      <c r="T362" s="4"/>
      <c r="U362" s="4"/>
      <c r="V362" s="4"/>
      <c r="W362" s="4">
        <v>46.081649999999996</v>
      </c>
      <c r="X362" s="4">
        <v>1</v>
      </c>
      <c r="Y362" s="4">
        <v>46.081649999999996</v>
      </c>
      <c r="Z362" s="4"/>
      <c r="AA362" s="4"/>
      <c r="AB362" s="4"/>
    </row>
    <row r="363" spans="1:28" x14ac:dyDescent="0.2">
      <c r="A363" s="4">
        <v>50</v>
      </c>
      <c r="B363" s="4">
        <v>0</v>
      </c>
      <c r="C363" s="4">
        <v>0</v>
      </c>
      <c r="D363" s="4">
        <v>1</v>
      </c>
      <c r="E363" s="4">
        <v>209</v>
      </c>
      <c r="F363" s="4">
        <f>ROUND(Source!W339,O363)</f>
        <v>0</v>
      </c>
      <c r="G363" s="4" t="s">
        <v>112</v>
      </c>
      <c r="H363" s="4" t="s">
        <v>113</v>
      </c>
      <c r="I363" s="4"/>
      <c r="J363" s="4"/>
      <c r="K363" s="4">
        <v>209</v>
      </c>
      <c r="L363" s="4">
        <v>23</v>
      </c>
      <c r="M363" s="4">
        <v>3</v>
      </c>
      <c r="N363" s="4" t="s">
        <v>3</v>
      </c>
      <c r="O363" s="4">
        <v>0</v>
      </c>
      <c r="P363" s="4"/>
      <c r="Q363" s="4"/>
      <c r="R363" s="4"/>
      <c r="S363" s="4"/>
      <c r="T363" s="4"/>
      <c r="U363" s="4"/>
      <c r="V363" s="4"/>
      <c r="W363" s="4">
        <v>0</v>
      </c>
      <c r="X363" s="4">
        <v>1</v>
      </c>
      <c r="Y363" s="4">
        <v>0</v>
      </c>
      <c r="Z363" s="4"/>
      <c r="AA363" s="4"/>
      <c r="AB363" s="4"/>
    </row>
    <row r="364" spans="1:28" x14ac:dyDescent="0.2">
      <c r="A364" s="4">
        <v>50</v>
      </c>
      <c r="B364" s="4">
        <v>0</v>
      </c>
      <c r="C364" s="4">
        <v>0</v>
      </c>
      <c r="D364" s="4">
        <v>1</v>
      </c>
      <c r="E364" s="4">
        <v>233</v>
      </c>
      <c r="F364" s="4">
        <f>ROUND(Source!BD339,O364)</f>
        <v>0</v>
      </c>
      <c r="G364" s="4" t="s">
        <v>114</v>
      </c>
      <c r="H364" s="4" t="s">
        <v>115</v>
      </c>
      <c r="I364" s="4"/>
      <c r="J364" s="4"/>
      <c r="K364" s="4">
        <v>233</v>
      </c>
      <c r="L364" s="4">
        <v>24</v>
      </c>
      <c r="M364" s="4">
        <v>3</v>
      </c>
      <c r="N364" s="4" t="s">
        <v>3</v>
      </c>
      <c r="O364" s="4">
        <v>0</v>
      </c>
      <c r="P364" s="4"/>
      <c r="Q364" s="4"/>
      <c r="R364" s="4"/>
      <c r="S364" s="4"/>
      <c r="T364" s="4"/>
      <c r="U364" s="4"/>
      <c r="V364" s="4"/>
      <c r="W364" s="4">
        <v>0</v>
      </c>
      <c r="X364" s="4">
        <v>1</v>
      </c>
      <c r="Y364" s="4">
        <v>0</v>
      </c>
      <c r="Z364" s="4"/>
      <c r="AA364" s="4"/>
      <c r="AB364" s="4"/>
    </row>
    <row r="365" spans="1:28" x14ac:dyDescent="0.2">
      <c r="A365" s="4">
        <v>50</v>
      </c>
      <c r="B365" s="4">
        <v>0</v>
      </c>
      <c r="C365" s="4">
        <v>0</v>
      </c>
      <c r="D365" s="4">
        <v>1</v>
      </c>
      <c r="E365" s="4">
        <v>210</v>
      </c>
      <c r="F365" s="4">
        <f>ROUND(Source!X339,O365)</f>
        <v>72069</v>
      </c>
      <c r="G365" s="4" t="s">
        <v>116</v>
      </c>
      <c r="H365" s="4" t="s">
        <v>117</v>
      </c>
      <c r="I365" s="4"/>
      <c r="J365" s="4"/>
      <c r="K365" s="4">
        <v>210</v>
      </c>
      <c r="L365" s="4">
        <v>25</v>
      </c>
      <c r="M365" s="4">
        <v>3</v>
      </c>
      <c r="N365" s="4" t="s">
        <v>3</v>
      </c>
      <c r="O365" s="4">
        <v>0</v>
      </c>
      <c r="P365" s="4"/>
      <c r="Q365" s="4"/>
      <c r="R365" s="4"/>
      <c r="S365" s="4"/>
      <c r="T365" s="4"/>
      <c r="U365" s="4"/>
      <c r="V365" s="4"/>
      <c r="W365" s="4">
        <v>131999</v>
      </c>
      <c r="X365" s="4">
        <v>1</v>
      </c>
      <c r="Y365" s="4">
        <v>131999</v>
      </c>
      <c r="Z365" s="4"/>
      <c r="AA365" s="4"/>
      <c r="AB365" s="4"/>
    </row>
    <row r="366" spans="1:28" x14ac:dyDescent="0.2">
      <c r="A366" s="4">
        <v>50</v>
      </c>
      <c r="B366" s="4">
        <v>0</v>
      </c>
      <c r="C366" s="4">
        <v>0</v>
      </c>
      <c r="D366" s="4">
        <v>1</v>
      </c>
      <c r="E366" s="4">
        <v>211</v>
      </c>
      <c r="F366" s="4">
        <f>ROUND(Source!Y339,O366)</f>
        <v>53111</v>
      </c>
      <c r="G366" s="4" t="s">
        <v>118</v>
      </c>
      <c r="H366" s="4" t="s">
        <v>119</v>
      </c>
      <c r="I366" s="4"/>
      <c r="J366" s="4"/>
      <c r="K366" s="4">
        <v>211</v>
      </c>
      <c r="L366" s="4">
        <v>26</v>
      </c>
      <c r="M366" s="4">
        <v>3</v>
      </c>
      <c r="N366" s="4" t="s">
        <v>3</v>
      </c>
      <c r="O366" s="4">
        <v>0</v>
      </c>
      <c r="P366" s="4"/>
      <c r="Q366" s="4"/>
      <c r="R366" s="4"/>
      <c r="S366" s="4"/>
      <c r="T366" s="4"/>
      <c r="U366" s="4"/>
      <c r="V366" s="4"/>
      <c r="W366" s="4">
        <v>97407</v>
      </c>
      <c r="X366" s="4">
        <v>1</v>
      </c>
      <c r="Y366" s="4">
        <v>97407</v>
      </c>
      <c r="Z366" s="4"/>
      <c r="AA366" s="4"/>
      <c r="AB366" s="4"/>
    </row>
    <row r="367" spans="1:28" x14ac:dyDescent="0.2">
      <c r="A367" s="4">
        <v>50</v>
      </c>
      <c r="B367" s="4">
        <v>0</v>
      </c>
      <c r="C367" s="4">
        <v>0</v>
      </c>
      <c r="D367" s="4">
        <v>1</v>
      </c>
      <c r="E367" s="4">
        <v>224</v>
      </c>
      <c r="F367" s="4">
        <f>ROUND(Source!AR339,O367)</f>
        <v>1534370</v>
      </c>
      <c r="G367" s="4" t="s">
        <v>120</v>
      </c>
      <c r="H367" s="4" t="s">
        <v>121</v>
      </c>
      <c r="I367" s="4"/>
      <c r="J367" s="4"/>
      <c r="K367" s="4">
        <v>224</v>
      </c>
      <c r="L367" s="4">
        <v>27</v>
      </c>
      <c r="M367" s="4">
        <v>3</v>
      </c>
      <c r="N367" s="4" t="s">
        <v>3</v>
      </c>
      <c r="O367" s="4">
        <v>0</v>
      </c>
      <c r="P367" s="4"/>
      <c r="Q367" s="4"/>
      <c r="R367" s="4"/>
      <c r="S367" s="4"/>
      <c r="T367" s="4"/>
      <c r="U367" s="4"/>
      <c r="V367" s="4"/>
      <c r="W367" s="4">
        <v>1435428</v>
      </c>
      <c r="X367" s="4">
        <v>1</v>
      </c>
      <c r="Y367" s="4">
        <v>1435428</v>
      </c>
      <c r="Z367" s="4"/>
      <c r="AA367" s="4"/>
      <c r="AB367" s="4"/>
    </row>
    <row r="369" spans="1:245" x14ac:dyDescent="0.2">
      <c r="A369" s="1">
        <v>5</v>
      </c>
      <c r="B369" s="1">
        <v>1</v>
      </c>
      <c r="C369" s="1"/>
      <c r="D369" s="1">
        <f>ROW(A394)</f>
        <v>394</v>
      </c>
      <c r="E369" s="1"/>
      <c r="F369" s="1" t="s">
        <v>123</v>
      </c>
      <c r="G369" s="1" t="s">
        <v>264</v>
      </c>
      <c r="H369" s="1" t="s">
        <v>3</v>
      </c>
      <c r="I369" s="1">
        <v>0</v>
      </c>
      <c r="J369" s="1"/>
      <c r="K369" s="1">
        <v>0</v>
      </c>
      <c r="L369" s="1"/>
      <c r="M369" s="1" t="s">
        <v>3</v>
      </c>
      <c r="N369" s="1"/>
      <c r="O369" s="1"/>
      <c r="P369" s="1"/>
      <c r="Q369" s="1"/>
      <c r="R369" s="1"/>
      <c r="S369" s="1">
        <v>0</v>
      </c>
      <c r="T369" s="1"/>
      <c r="U369" s="1" t="s">
        <v>3</v>
      </c>
      <c r="V369" s="1">
        <v>0</v>
      </c>
      <c r="W369" s="1"/>
      <c r="X369" s="1"/>
      <c r="Y369" s="1"/>
      <c r="Z369" s="1"/>
      <c r="AA369" s="1"/>
      <c r="AB369" s="1" t="s">
        <v>3</v>
      </c>
      <c r="AC369" s="1" t="s">
        <v>3</v>
      </c>
      <c r="AD369" s="1" t="s">
        <v>3</v>
      </c>
      <c r="AE369" s="1" t="s">
        <v>3</v>
      </c>
      <c r="AF369" s="1" t="s">
        <v>3</v>
      </c>
      <c r="AG369" s="1" t="s">
        <v>3</v>
      </c>
      <c r="AH369" s="1"/>
      <c r="AI369" s="1"/>
      <c r="AJ369" s="1"/>
      <c r="AK369" s="1"/>
      <c r="AL369" s="1"/>
      <c r="AM369" s="1"/>
      <c r="AN369" s="1"/>
      <c r="AO369" s="1"/>
      <c r="AP369" s="1" t="s">
        <v>3</v>
      </c>
      <c r="AQ369" s="1" t="s">
        <v>3</v>
      </c>
      <c r="AR369" s="1" t="s">
        <v>3</v>
      </c>
      <c r="AS369" s="1"/>
      <c r="AT369" s="1"/>
      <c r="AU369" s="1"/>
      <c r="AV369" s="1"/>
      <c r="AW369" s="1"/>
      <c r="AX369" s="1"/>
      <c r="AY369" s="1"/>
      <c r="AZ369" s="1" t="s">
        <v>3</v>
      </c>
      <c r="BA369" s="1"/>
      <c r="BB369" s="1" t="s">
        <v>3</v>
      </c>
      <c r="BC369" s="1" t="s">
        <v>3</v>
      </c>
      <c r="BD369" s="1" t="s">
        <v>3</v>
      </c>
      <c r="BE369" s="1" t="s">
        <v>3</v>
      </c>
      <c r="BF369" s="1" t="s">
        <v>3</v>
      </c>
      <c r="BG369" s="1" t="s">
        <v>3</v>
      </c>
      <c r="BH369" s="1" t="s">
        <v>3</v>
      </c>
      <c r="BI369" s="1" t="s">
        <v>3</v>
      </c>
      <c r="BJ369" s="1" t="s">
        <v>3</v>
      </c>
      <c r="BK369" s="1" t="s">
        <v>3</v>
      </c>
      <c r="BL369" s="1" t="s">
        <v>3</v>
      </c>
      <c r="BM369" s="1" t="s">
        <v>3</v>
      </c>
      <c r="BN369" s="1" t="s">
        <v>3</v>
      </c>
      <c r="BO369" s="1" t="s">
        <v>3</v>
      </c>
      <c r="BP369" s="1" t="s">
        <v>3</v>
      </c>
      <c r="BQ369" s="1"/>
      <c r="BR369" s="1"/>
      <c r="BS369" s="1"/>
      <c r="BT369" s="1"/>
      <c r="BU369" s="1"/>
      <c r="BV369" s="1"/>
      <c r="BW369" s="1"/>
      <c r="BX369" s="1">
        <v>0</v>
      </c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>
        <v>0</v>
      </c>
    </row>
    <row r="371" spans="1:245" x14ac:dyDescent="0.2">
      <c r="A371" s="2">
        <v>52</v>
      </c>
      <c r="B371" s="2">
        <f t="shared" ref="B371:G371" si="303">B394</f>
        <v>1</v>
      </c>
      <c r="C371" s="2">
        <f t="shared" si="303"/>
        <v>5</v>
      </c>
      <c r="D371" s="2">
        <f t="shared" si="303"/>
        <v>369</v>
      </c>
      <c r="E371" s="2">
        <f t="shared" si="303"/>
        <v>0</v>
      </c>
      <c r="F371" s="2" t="str">
        <f t="shared" si="303"/>
        <v>Новый подраздел</v>
      </c>
      <c r="G371" s="2" t="str">
        <f t="shared" si="303"/>
        <v>Устройство асфальтированного покрытия</v>
      </c>
      <c r="H371" s="2"/>
      <c r="I371" s="2"/>
      <c r="J371" s="2"/>
      <c r="K371" s="2"/>
      <c r="L371" s="2"/>
      <c r="M371" s="2"/>
      <c r="N371" s="2"/>
      <c r="O371" s="2">
        <f t="shared" ref="O371:AT371" si="304">O394</f>
        <v>6395341</v>
      </c>
      <c r="P371" s="2">
        <f t="shared" si="304"/>
        <v>3859378</v>
      </c>
      <c r="Q371" s="2">
        <f t="shared" si="304"/>
        <v>2449784</v>
      </c>
      <c r="R371" s="2">
        <f t="shared" si="304"/>
        <v>241894</v>
      </c>
      <c r="S371" s="2">
        <f t="shared" si="304"/>
        <v>86179</v>
      </c>
      <c r="T371" s="2">
        <f t="shared" si="304"/>
        <v>0</v>
      </c>
      <c r="U371" s="2">
        <f t="shared" si="304"/>
        <v>335.96549765000003</v>
      </c>
      <c r="V371" s="2">
        <f t="shared" si="304"/>
        <v>622.29463549999991</v>
      </c>
      <c r="W371" s="2">
        <f t="shared" si="304"/>
        <v>0</v>
      </c>
      <c r="X371" s="2">
        <f t="shared" si="304"/>
        <v>461931</v>
      </c>
      <c r="Y371" s="2">
        <f t="shared" si="304"/>
        <v>307904</v>
      </c>
      <c r="Z371" s="2">
        <f t="shared" si="304"/>
        <v>0</v>
      </c>
      <c r="AA371" s="2">
        <f t="shared" si="304"/>
        <v>0</v>
      </c>
      <c r="AB371" s="2">
        <f t="shared" si="304"/>
        <v>6395341</v>
      </c>
      <c r="AC371" s="2">
        <f t="shared" si="304"/>
        <v>3859378</v>
      </c>
      <c r="AD371" s="2">
        <f t="shared" si="304"/>
        <v>2449784</v>
      </c>
      <c r="AE371" s="2">
        <f t="shared" si="304"/>
        <v>241894</v>
      </c>
      <c r="AF371" s="2">
        <f t="shared" si="304"/>
        <v>86179</v>
      </c>
      <c r="AG371" s="2">
        <f t="shared" si="304"/>
        <v>0</v>
      </c>
      <c r="AH371" s="2">
        <f t="shared" si="304"/>
        <v>335.96549765000003</v>
      </c>
      <c r="AI371" s="2">
        <f t="shared" si="304"/>
        <v>622.29463549999991</v>
      </c>
      <c r="AJ371" s="2">
        <f t="shared" si="304"/>
        <v>0</v>
      </c>
      <c r="AK371" s="2">
        <f t="shared" si="304"/>
        <v>461931</v>
      </c>
      <c r="AL371" s="2">
        <f t="shared" si="304"/>
        <v>307904</v>
      </c>
      <c r="AM371" s="2">
        <f t="shared" si="304"/>
        <v>0</v>
      </c>
      <c r="AN371" s="2">
        <f t="shared" si="304"/>
        <v>0</v>
      </c>
      <c r="AO371" s="2">
        <f t="shared" si="304"/>
        <v>0</v>
      </c>
      <c r="AP371" s="2">
        <f t="shared" si="304"/>
        <v>0</v>
      </c>
      <c r="AQ371" s="2">
        <f t="shared" si="304"/>
        <v>0</v>
      </c>
      <c r="AR371" s="2">
        <f t="shared" si="304"/>
        <v>7165176</v>
      </c>
      <c r="AS371" s="2">
        <f t="shared" si="304"/>
        <v>3343619</v>
      </c>
      <c r="AT371" s="2">
        <f t="shared" si="304"/>
        <v>0</v>
      </c>
      <c r="AU371" s="2">
        <f t="shared" ref="AU371:BZ371" si="305">AU394</f>
        <v>3821557</v>
      </c>
      <c r="AV371" s="2">
        <f t="shared" si="305"/>
        <v>3859378</v>
      </c>
      <c r="AW371" s="2">
        <f t="shared" si="305"/>
        <v>3859378</v>
      </c>
      <c r="AX371" s="2">
        <f t="shared" si="305"/>
        <v>0</v>
      </c>
      <c r="AY371" s="2">
        <f t="shared" si="305"/>
        <v>3859378</v>
      </c>
      <c r="AZ371" s="2">
        <f t="shared" si="305"/>
        <v>0</v>
      </c>
      <c r="BA371" s="2">
        <f t="shared" si="305"/>
        <v>0</v>
      </c>
      <c r="BB371" s="2">
        <f t="shared" si="305"/>
        <v>0</v>
      </c>
      <c r="BC371" s="2">
        <f t="shared" si="305"/>
        <v>0</v>
      </c>
      <c r="BD371" s="2">
        <f t="shared" si="305"/>
        <v>59722</v>
      </c>
      <c r="BE371" s="2">
        <f t="shared" si="305"/>
        <v>0</v>
      </c>
      <c r="BF371" s="2">
        <f t="shared" si="305"/>
        <v>0</v>
      </c>
      <c r="BG371" s="2">
        <f t="shared" si="305"/>
        <v>0</v>
      </c>
      <c r="BH371" s="2">
        <f t="shared" si="305"/>
        <v>0</v>
      </c>
      <c r="BI371" s="2">
        <f t="shared" si="305"/>
        <v>0</v>
      </c>
      <c r="BJ371" s="2">
        <f t="shared" si="305"/>
        <v>0</v>
      </c>
      <c r="BK371" s="2">
        <f t="shared" si="305"/>
        <v>0</v>
      </c>
      <c r="BL371" s="2">
        <f t="shared" si="305"/>
        <v>0</v>
      </c>
      <c r="BM371" s="2">
        <f t="shared" si="305"/>
        <v>0</v>
      </c>
      <c r="BN371" s="2">
        <f t="shared" si="305"/>
        <v>0</v>
      </c>
      <c r="BO371" s="2">
        <f t="shared" si="305"/>
        <v>0</v>
      </c>
      <c r="BP371" s="2">
        <f t="shared" si="305"/>
        <v>0</v>
      </c>
      <c r="BQ371" s="2">
        <f t="shared" si="305"/>
        <v>0</v>
      </c>
      <c r="BR371" s="2">
        <f t="shared" si="305"/>
        <v>0</v>
      </c>
      <c r="BS371" s="2">
        <f t="shared" si="305"/>
        <v>0</v>
      </c>
      <c r="BT371" s="2">
        <f t="shared" si="305"/>
        <v>0</v>
      </c>
      <c r="BU371" s="2">
        <f t="shared" si="305"/>
        <v>0</v>
      </c>
      <c r="BV371" s="2">
        <f t="shared" si="305"/>
        <v>0</v>
      </c>
      <c r="BW371" s="2">
        <f t="shared" si="305"/>
        <v>0</v>
      </c>
      <c r="BX371" s="2">
        <f t="shared" si="305"/>
        <v>0</v>
      </c>
      <c r="BY371" s="2">
        <f t="shared" si="305"/>
        <v>0</v>
      </c>
      <c r="BZ371" s="2">
        <f t="shared" si="305"/>
        <v>0</v>
      </c>
      <c r="CA371" s="2">
        <f t="shared" ref="CA371:DF371" si="306">CA394</f>
        <v>7165176</v>
      </c>
      <c r="CB371" s="2">
        <f t="shared" si="306"/>
        <v>3343619</v>
      </c>
      <c r="CC371" s="2">
        <f t="shared" si="306"/>
        <v>0</v>
      </c>
      <c r="CD371" s="2">
        <f t="shared" si="306"/>
        <v>3821557</v>
      </c>
      <c r="CE371" s="2">
        <f t="shared" si="306"/>
        <v>3859378</v>
      </c>
      <c r="CF371" s="2">
        <f t="shared" si="306"/>
        <v>3859378</v>
      </c>
      <c r="CG371" s="2">
        <f t="shared" si="306"/>
        <v>0</v>
      </c>
      <c r="CH371" s="2">
        <f t="shared" si="306"/>
        <v>3859378</v>
      </c>
      <c r="CI371" s="2">
        <f t="shared" si="306"/>
        <v>0</v>
      </c>
      <c r="CJ371" s="2">
        <f t="shared" si="306"/>
        <v>0</v>
      </c>
      <c r="CK371" s="2">
        <f t="shared" si="306"/>
        <v>0</v>
      </c>
      <c r="CL371" s="2">
        <f t="shared" si="306"/>
        <v>0</v>
      </c>
      <c r="CM371" s="2">
        <f t="shared" si="306"/>
        <v>59722</v>
      </c>
      <c r="CN371" s="2">
        <f t="shared" si="306"/>
        <v>0</v>
      </c>
      <c r="CO371" s="2">
        <f t="shared" si="306"/>
        <v>0</v>
      </c>
      <c r="CP371" s="2">
        <f t="shared" si="306"/>
        <v>0</v>
      </c>
      <c r="CQ371" s="2">
        <f t="shared" si="306"/>
        <v>0</v>
      </c>
      <c r="CR371" s="2">
        <f t="shared" si="306"/>
        <v>0</v>
      </c>
      <c r="CS371" s="2">
        <f t="shared" si="306"/>
        <v>0</v>
      </c>
      <c r="CT371" s="2">
        <f t="shared" si="306"/>
        <v>0</v>
      </c>
      <c r="CU371" s="2">
        <f t="shared" si="306"/>
        <v>0</v>
      </c>
      <c r="CV371" s="2">
        <f t="shared" si="306"/>
        <v>0</v>
      </c>
      <c r="CW371" s="2">
        <f t="shared" si="306"/>
        <v>0</v>
      </c>
      <c r="CX371" s="2">
        <f t="shared" si="306"/>
        <v>0</v>
      </c>
      <c r="CY371" s="2">
        <f t="shared" si="306"/>
        <v>0</v>
      </c>
      <c r="CZ371" s="2">
        <f t="shared" si="306"/>
        <v>0</v>
      </c>
      <c r="DA371" s="2">
        <f t="shared" si="306"/>
        <v>0</v>
      </c>
      <c r="DB371" s="2">
        <f t="shared" si="306"/>
        <v>0</v>
      </c>
      <c r="DC371" s="2">
        <f t="shared" si="306"/>
        <v>0</v>
      </c>
      <c r="DD371" s="2">
        <f t="shared" si="306"/>
        <v>0</v>
      </c>
      <c r="DE371" s="2">
        <f t="shared" si="306"/>
        <v>0</v>
      </c>
      <c r="DF371" s="2">
        <f t="shared" si="306"/>
        <v>0</v>
      </c>
      <c r="DG371" s="3">
        <f t="shared" ref="DG371:EL371" si="307">DG394</f>
        <v>0</v>
      </c>
      <c r="DH371" s="3">
        <f t="shared" si="307"/>
        <v>0</v>
      </c>
      <c r="DI371" s="3">
        <f t="shared" si="307"/>
        <v>0</v>
      </c>
      <c r="DJ371" s="3">
        <f t="shared" si="307"/>
        <v>0</v>
      </c>
      <c r="DK371" s="3">
        <f t="shared" si="307"/>
        <v>0</v>
      </c>
      <c r="DL371" s="3">
        <f t="shared" si="307"/>
        <v>0</v>
      </c>
      <c r="DM371" s="3">
        <f t="shared" si="307"/>
        <v>0</v>
      </c>
      <c r="DN371" s="3">
        <f t="shared" si="307"/>
        <v>0</v>
      </c>
      <c r="DO371" s="3">
        <f t="shared" si="307"/>
        <v>0</v>
      </c>
      <c r="DP371" s="3">
        <f t="shared" si="307"/>
        <v>0</v>
      </c>
      <c r="DQ371" s="3">
        <f t="shared" si="307"/>
        <v>0</v>
      </c>
      <c r="DR371" s="3">
        <f t="shared" si="307"/>
        <v>0</v>
      </c>
      <c r="DS371" s="3">
        <f t="shared" si="307"/>
        <v>0</v>
      </c>
      <c r="DT371" s="3">
        <f t="shared" si="307"/>
        <v>0</v>
      </c>
      <c r="DU371" s="3">
        <f t="shared" si="307"/>
        <v>0</v>
      </c>
      <c r="DV371" s="3">
        <f t="shared" si="307"/>
        <v>0</v>
      </c>
      <c r="DW371" s="3">
        <f t="shared" si="307"/>
        <v>0</v>
      </c>
      <c r="DX371" s="3">
        <f t="shared" si="307"/>
        <v>0</v>
      </c>
      <c r="DY371" s="3">
        <f t="shared" si="307"/>
        <v>0</v>
      </c>
      <c r="DZ371" s="3">
        <f t="shared" si="307"/>
        <v>0</v>
      </c>
      <c r="EA371" s="3">
        <f t="shared" si="307"/>
        <v>0</v>
      </c>
      <c r="EB371" s="3">
        <f t="shared" si="307"/>
        <v>0</v>
      </c>
      <c r="EC371" s="3">
        <f t="shared" si="307"/>
        <v>0</v>
      </c>
      <c r="ED371" s="3">
        <f t="shared" si="307"/>
        <v>0</v>
      </c>
      <c r="EE371" s="3">
        <f t="shared" si="307"/>
        <v>0</v>
      </c>
      <c r="EF371" s="3">
        <f t="shared" si="307"/>
        <v>0</v>
      </c>
      <c r="EG371" s="3">
        <f t="shared" si="307"/>
        <v>0</v>
      </c>
      <c r="EH371" s="3">
        <f t="shared" si="307"/>
        <v>0</v>
      </c>
      <c r="EI371" s="3">
        <f t="shared" si="307"/>
        <v>0</v>
      </c>
      <c r="EJ371" s="3">
        <f t="shared" si="307"/>
        <v>0</v>
      </c>
      <c r="EK371" s="3">
        <f t="shared" si="307"/>
        <v>0</v>
      </c>
      <c r="EL371" s="3">
        <f t="shared" si="307"/>
        <v>0</v>
      </c>
      <c r="EM371" s="3">
        <f t="shared" ref="EM371:FR371" si="308">EM394</f>
        <v>0</v>
      </c>
      <c r="EN371" s="3">
        <f t="shared" si="308"/>
        <v>0</v>
      </c>
      <c r="EO371" s="3">
        <f t="shared" si="308"/>
        <v>0</v>
      </c>
      <c r="EP371" s="3">
        <f t="shared" si="308"/>
        <v>0</v>
      </c>
      <c r="EQ371" s="3">
        <f t="shared" si="308"/>
        <v>0</v>
      </c>
      <c r="ER371" s="3">
        <f t="shared" si="308"/>
        <v>0</v>
      </c>
      <c r="ES371" s="3">
        <f t="shared" si="308"/>
        <v>0</v>
      </c>
      <c r="ET371" s="3">
        <f t="shared" si="308"/>
        <v>0</v>
      </c>
      <c r="EU371" s="3">
        <f t="shared" si="308"/>
        <v>0</v>
      </c>
      <c r="EV371" s="3">
        <f t="shared" si="308"/>
        <v>0</v>
      </c>
      <c r="EW371" s="3">
        <f t="shared" si="308"/>
        <v>0</v>
      </c>
      <c r="EX371" s="3">
        <f t="shared" si="308"/>
        <v>0</v>
      </c>
      <c r="EY371" s="3">
        <f t="shared" si="308"/>
        <v>0</v>
      </c>
      <c r="EZ371" s="3">
        <f t="shared" si="308"/>
        <v>0</v>
      </c>
      <c r="FA371" s="3">
        <f t="shared" si="308"/>
        <v>0</v>
      </c>
      <c r="FB371" s="3">
        <f t="shared" si="308"/>
        <v>0</v>
      </c>
      <c r="FC371" s="3">
        <f t="shared" si="308"/>
        <v>0</v>
      </c>
      <c r="FD371" s="3">
        <f t="shared" si="308"/>
        <v>0</v>
      </c>
      <c r="FE371" s="3">
        <f t="shared" si="308"/>
        <v>0</v>
      </c>
      <c r="FF371" s="3">
        <f t="shared" si="308"/>
        <v>0</v>
      </c>
      <c r="FG371" s="3">
        <f t="shared" si="308"/>
        <v>0</v>
      </c>
      <c r="FH371" s="3">
        <f t="shared" si="308"/>
        <v>0</v>
      </c>
      <c r="FI371" s="3">
        <f t="shared" si="308"/>
        <v>0</v>
      </c>
      <c r="FJ371" s="3">
        <f t="shared" si="308"/>
        <v>0</v>
      </c>
      <c r="FK371" s="3">
        <f t="shared" si="308"/>
        <v>0</v>
      </c>
      <c r="FL371" s="3">
        <f t="shared" si="308"/>
        <v>0</v>
      </c>
      <c r="FM371" s="3">
        <f t="shared" si="308"/>
        <v>0</v>
      </c>
      <c r="FN371" s="3">
        <f t="shared" si="308"/>
        <v>0</v>
      </c>
      <c r="FO371" s="3">
        <f t="shared" si="308"/>
        <v>0</v>
      </c>
      <c r="FP371" s="3">
        <f t="shared" si="308"/>
        <v>0</v>
      </c>
      <c r="FQ371" s="3">
        <f t="shared" si="308"/>
        <v>0</v>
      </c>
      <c r="FR371" s="3">
        <f t="shared" si="308"/>
        <v>0</v>
      </c>
      <c r="FS371" s="3">
        <f t="shared" ref="FS371:GX371" si="309">FS394</f>
        <v>0</v>
      </c>
      <c r="FT371" s="3">
        <f t="shared" si="309"/>
        <v>0</v>
      </c>
      <c r="FU371" s="3">
        <f t="shared" si="309"/>
        <v>0</v>
      </c>
      <c r="FV371" s="3">
        <f t="shared" si="309"/>
        <v>0</v>
      </c>
      <c r="FW371" s="3">
        <f t="shared" si="309"/>
        <v>0</v>
      </c>
      <c r="FX371" s="3">
        <f t="shared" si="309"/>
        <v>0</v>
      </c>
      <c r="FY371" s="3">
        <f t="shared" si="309"/>
        <v>0</v>
      </c>
      <c r="FZ371" s="3">
        <f t="shared" si="309"/>
        <v>0</v>
      </c>
      <c r="GA371" s="3">
        <f t="shared" si="309"/>
        <v>0</v>
      </c>
      <c r="GB371" s="3">
        <f t="shared" si="309"/>
        <v>0</v>
      </c>
      <c r="GC371" s="3">
        <f t="shared" si="309"/>
        <v>0</v>
      </c>
      <c r="GD371" s="3">
        <f t="shared" si="309"/>
        <v>0</v>
      </c>
      <c r="GE371" s="3">
        <f t="shared" si="309"/>
        <v>0</v>
      </c>
      <c r="GF371" s="3">
        <f t="shared" si="309"/>
        <v>0</v>
      </c>
      <c r="GG371" s="3">
        <f t="shared" si="309"/>
        <v>0</v>
      </c>
      <c r="GH371" s="3">
        <f t="shared" si="309"/>
        <v>0</v>
      </c>
      <c r="GI371" s="3">
        <f t="shared" si="309"/>
        <v>0</v>
      </c>
      <c r="GJ371" s="3">
        <f t="shared" si="309"/>
        <v>0</v>
      </c>
      <c r="GK371" s="3">
        <f t="shared" si="309"/>
        <v>0</v>
      </c>
      <c r="GL371" s="3">
        <f t="shared" si="309"/>
        <v>0</v>
      </c>
      <c r="GM371" s="3">
        <f t="shared" si="309"/>
        <v>0</v>
      </c>
      <c r="GN371" s="3">
        <f t="shared" si="309"/>
        <v>0</v>
      </c>
      <c r="GO371" s="3">
        <f t="shared" si="309"/>
        <v>0</v>
      </c>
      <c r="GP371" s="3">
        <f t="shared" si="309"/>
        <v>0</v>
      </c>
      <c r="GQ371" s="3">
        <f t="shared" si="309"/>
        <v>0</v>
      </c>
      <c r="GR371" s="3">
        <f t="shared" si="309"/>
        <v>0</v>
      </c>
      <c r="GS371" s="3">
        <f t="shared" si="309"/>
        <v>0</v>
      </c>
      <c r="GT371" s="3">
        <f t="shared" si="309"/>
        <v>0</v>
      </c>
      <c r="GU371" s="3">
        <f t="shared" si="309"/>
        <v>0</v>
      </c>
      <c r="GV371" s="3">
        <f t="shared" si="309"/>
        <v>0</v>
      </c>
      <c r="GW371" s="3">
        <f t="shared" si="309"/>
        <v>0</v>
      </c>
      <c r="GX371" s="3">
        <f t="shared" si="309"/>
        <v>0</v>
      </c>
    </row>
    <row r="373" spans="1:245" x14ac:dyDescent="0.2">
      <c r="A373">
        <v>17</v>
      </c>
      <c r="B373">
        <v>1</v>
      </c>
      <c r="C373">
        <f>ROW(SmtRes!A230)</f>
        <v>230</v>
      </c>
      <c r="D373">
        <f>ROW(EtalonRes!A217)</f>
        <v>217</v>
      </c>
      <c r="E373" t="s">
        <v>15</v>
      </c>
      <c r="F373" t="s">
        <v>265</v>
      </c>
      <c r="G373" t="s">
        <v>266</v>
      </c>
      <c r="H373" t="s">
        <v>52</v>
      </c>
      <c r="I373">
        <f>ROUND(309/1000,9)</f>
        <v>0.309</v>
      </c>
      <c r="J373">
        <v>0</v>
      </c>
      <c r="K373">
        <f>ROUND(309/1000,9)</f>
        <v>0.309</v>
      </c>
      <c r="O373">
        <f t="shared" ref="O373:O392" si="310">ROUND(CP373,0)</f>
        <v>25869</v>
      </c>
      <c r="P373">
        <f t="shared" ref="P373:P392" si="311">ROUND(CQ373*I373,0)</f>
        <v>0</v>
      </c>
      <c r="Q373">
        <f t="shared" ref="Q373:Q392" si="312">ROUND(CR373*I373,0)</f>
        <v>25869</v>
      </c>
      <c r="R373">
        <f t="shared" ref="R373:R392" si="313">ROUND(CS373*I373,0)</f>
        <v>8367</v>
      </c>
      <c r="S373">
        <f t="shared" ref="S373:S392" si="314">ROUND(CT373*I373,0)</f>
        <v>0</v>
      </c>
      <c r="T373">
        <f t="shared" ref="T373:T392" si="315">ROUND(CU373*I373,0)</f>
        <v>0</v>
      </c>
      <c r="U373">
        <f t="shared" ref="U373:U392" si="316">CV373*I373</f>
        <v>0</v>
      </c>
      <c r="V373">
        <f t="shared" ref="V373:V392" si="317">CW373*I373</f>
        <v>19.078741499999996</v>
      </c>
      <c r="W373">
        <f t="shared" ref="W373:W392" si="318">ROUND(CX373*I373,0)</f>
        <v>0</v>
      </c>
      <c r="X373">
        <f t="shared" ref="X373:X392" si="319">ROUND(CY373,0)</f>
        <v>7949</v>
      </c>
      <c r="Y373">
        <f t="shared" ref="Y373:Y392" si="320">ROUND(CZ373,0)</f>
        <v>4184</v>
      </c>
      <c r="AA373">
        <v>46416371</v>
      </c>
      <c r="AB373">
        <f t="shared" ref="AB373:AB392" si="321">ROUND((AC373+AD373+AF373),6)</f>
        <v>6266.35</v>
      </c>
      <c r="AC373">
        <f t="shared" ref="AC373:AC382" si="322">ROUND((ES373),6)</f>
        <v>0</v>
      </c>
      <c r="AD373">
        <f>ROUND(((((ET373*1.15))-((EU373*1.15)))+AE373),6)</f>
        <v>6266.35</v>
      </c>
      <c r="AE373">
        <f>ROUND(((EU373*1.15)),6)</f>
        <v>779.20550000000003</v>
      </c>
      <c r="AF373">
        <f>ROUND(((EV373*1.15)),6)</f>
        <v>0</v>
      </c>
      <c r="AG373">
        <f t="shared" ref="AG373:AG392" si="323">ROUND((AP373),6)</f>
        <v>0</v>
      </c>
      <c r="AH373">
        <f>((EW373*1.15))</f>
        <v>0</v>
      </c>
      <c r="AI373">
        <f>((EX373*1.15))</f>
        <v>61.74349999999999</v>
      </c>
      <c r="AJ373">
        <f t="shared" ref="AJ373:AJ392" si="324">(AS373)</f>
        <v>0</v>
      </c>
      <c r="AK373">
        <v>5449</v>
      </c>
      <c r="AL373">
        <v>0</v>
      </c>
      <c r="AM373">
        <v>5449</v>
      </c>
      <c r="AN373">
        <v>677.57</v>
      </c>
      <c r="AO373">
        <v>0</v>
      </c>
      <c r="AP373">
        <v>0</v>
      </c>
      <c r="AQ373">
        <v>0</v>
      </c>
      <c r="AR373">
        <v>53.69</v>
      </c>
      <c r="AS373">
        <v>0</v>
      </c>
      <c r="AT373">
        <v>95</v>
      </c>
      <c r="AU373">
        <v>50</v>
      </c>
      <c r="AV373">
        <v>1</v>
      </c>
      <c r="AW373">
        <v>1</v>
      </c>
      <c r="AZ373">
        <v>1</v>
      </c>
      <c r="BA373">
        <v>34.75</v>
      </c>
      <c r="BB373">
        <v>13.36</v>
      </c>
      <c r="BC373">
        <v>8.2899999999999991</v>
      </c>
      <c r="BD373" t="s">
        <v>3</v>
      </c>
      <c r="BE373" t="s">
        <v>3</v>
      </c>
      <c r="BF373" t="s">
        <v>3</v>
      </c>
      <c r="BG373" t="s">
        <v>3</v>
      </c>
      <c r="BH373">
        <v>0</v>
      </c>
      <c r="BI373">
        <v>1</v>
      </c>
      <c r="BJ373" t="s">
        <v>267</v>
      </c>
      <c r="BM373">
        <v>1001</v>
      </c>
      <c r="BN373">
        <v>0</v>
      </c>
      <c r="BO373" t="s">
        <v>3</v>
      </c>
      <c r="BP373">
        <v>0</v>
      </c>
      <c r="BQ373">
        <v>2</v>
      </c>
      <c r="BR373">
        <v>0</v>
      </c>
      <c r="BS373">
        <v>34.75</v>
      </c>
      <c r="BT373">
        <v>1</v>
      </c>
      <c r="BU373">
        <v>1</v>
      </c>
      <c r="BV373">
        <v>1</v>
      </c>
      <c r="BW373">
        <v>1</v>
      </c>
      <c r="BX373">
        <v>1</v>
      </c>
      <c r="BY373" t="s">
        <v>3</v>
      </c>
      <c r="BZ373">
        <v>95</v>
      </c>
      <c r="CA373">
        <v>50</v>
      </c>
      <c r="CB373" t="s">
        <v>3</v>
      </c>
      <c r="CE373">
        <v>0</v>
      </c>
      <c r="CF373">
        <v>0</v>
      </c>
      <c r="CG373">
        <v>0</v>
      </c>
      <c r="CM373">
        <v>0</v>
      </c>
      <c r="CN373" t="s">
        <v>675</v>
      </c>
      <c r="CO373">
        <v>0</v>
      </c>
      <c r="CP373">
        <f t="shared" ref="CP373:CP392" si="325">(P373+Q373+S373)</f>
        <v>25869</v>
      </c>
      <c r="CQ373">
        <f t="shared" ref="CQ373:CQ392" si="326">AC373*BC373</f>
        <v>0</v>
      </c>
      <c r="CR373">
        <f t="shared" ref="CR373:CR392" si="327">AD373*BB373</f>
        <v>83718.436000000002</v>
      </c>
      <c r="CS373">
        <f t="shared" ref="CS373:CS392" si="328">AE373*BS373</f>
        <v>27077.391125000002</v>
      </c>
      <c r="CT373">
        <f t="shared" ref="CT373:CT392" si="329">AF373*BA373</f>
        <v>0</v>
      </c>
      <c r="CU373">
        <f t="shared" ref="CU373:CU392" si="330">AG373</f>
        <v>0</v>
      </c>
      <c r="CV373">
        <f t="shared" ref="CV373:CV392" si="331">AH373</f>
        <v>0</v>
      </c>
      <c r="CW373">
        <f t="shared" ref="CW373:CW392" si="332">AI373</f>
        <v>61.74349999999999</v>
      </c>
      <c r="CX373">
        <f t="shared" ref="CX373:CX392" si="333">AJ373</f>
        <v>0</v>
      </c>
      <c r="CY373">
        <f t="shared" ref="CY373:CY392" si="334">(((S373+R373)*AT373)/100)</f>
        <v>7948.65</v>
      </c>
      <c r="CZ373">
        <f t="shared" ref="CZ373:CZ392" si="335">(((S373+R373)*AU373)/100)</f>
        <v>4183.5</v>
      </c>
      <c r="DC373" t="s">
        <v>3</v>
      </c>
      <c r="DD373" t="s">
        <v>3</v>
      </c>
      <c r="DE373" t="s">
        <v>31</v>
      </c>
      <c r="DF373" t="s">
        <v>31</v>
      </c>
      <c r="DG373" t="s">
        <v>31</v>
      </c>
      <c r="DH373" t="s">
        <v>3</v>
      </c>
      <c r="DI373" t="s">
        <v>31</v>
      </c>
      <c r="DJ373" t="s">
        <v>31</v>
      </c>
      <c r="DK373" t="s">
        <v>3</v>
      </c>
      <c r="DL373" t="s">
        <v>3</v>
      </c>
      <c r="DM373" t="s">
        <v>3</v>
      </c>
      <c r="DN373">
        <v>0</v>
      </c>
      <c r="DO373">
        <v>0</v>
      </c>
      <c r="DP373">
        <v>1</v>
      </c>
      <c r="DQ373">
        <v>1</v>
      </c>
      <c r="DU373">
        <v>1007</v>
      </c>
      <c r="DV373" t="s">
        <v>52</v>
      </c>
      <c r="DW373" t="s">
        <v>52</v>
      </c>
      <c r="DX373">
        <v>1000</v>
      </c>
      <c r="DZ373" t="s">
        <v>3</v>
      </c>
      <c r="EA373" t="s">
        <v>3</v>
      </c>
      <c r="EB373" t="s">
        <v>3</v>
      </c>
      <c r="EC373" t="s">
        <v>3</v>
      </c>
      <c r="EE373">
        <v>42475883</v>
      </c>
      <c r="EF373">
        <v>2</v>
      </c>
      <c r="EG373" t="s">
        <v>22</v>
      </c>
      <c r="EH373">
        <v>0</v>
      </c>
      <c r="EI373" t="s">
        <v>3</v>
      </c>
      <c r="EJ373">
        <v>1</v>
      </c>
      <c r="EK373">
        <v>1001</v>
      </c>
      <c r="EL373" t="s">
        <v>54</v>
      </c>
      <c r="EM373" t="s">
        <v>33</v>
      </c>
      <c r="EO373" t="s">
        <v>34</v>
      </c>
      <c r="EQ373">
        <v>0</v>
      </c>
      <c r="ER373">
        <v>5449</v>
      </c>
      <c r="ES373">
        <v>0</v>
      </c>
      <c r="ET373">
        <v>5449</v>
      </c>
      <c r="EU373">
        <v>677.57</v>
      </c>
      <c r="EV373">
        <v>0</v>
      </c>
      <c r="EW373">
        <v>0</v>
      </c>
      <c r="EX373">
        <v>53.69</v>
      </c>
      <c r="EY373">
        <v>0</v>
      </c>
      <c r="FQ373">
        <v>0</v>
      </c>
      <c r="FR373">
        <f t="shared" ref="FR373:FR392" si="336">ROUND(IF(AND(BH373=3,BI373=3),P373,0),0)</f>
        <v>0</v>
      </c>
      <c r="FS373">
        <v>0</v>
      </c>
      <c r="FX373">
        <v>95</v>
      </c>
      <c r="FY373">
        <v>50</v>
      </c>
      <c r="GA373" t="s">
        <v>3</v>
      </c>
      <c r="GD373">
        <v>1</v>
      </c>
      <c r="GF373">
        <v>-902620608</v>
      </c>
      <c r="GG373">
        <v>2</v>
      </c>
      <c r="GH373">
        <v>1</v>
      </c>
      <c r="GI373">
        <v>4</v>
      </c>
      <c r="GJ373">
        <v>0</v>
      </c>
      <c r="GK373">
        <v>0</v>
      </c>
      <c r="GL373">
        <f t="shared" ref="GL373:GL392" si="337">ROUND(IF(AND(BH373=3,BI373=3,FS373&lt;&gt;0),P373,0),0)</f>
        <v>0</v>
      </c>
      <c r="GM373">
        <f t="shared" ref="GM373:GM392" si="338">ROUND(O373+X373+Y373,0)+GX373</f>
        <v>38002</v>
      </c>
      <c r="GN373">
        <f t="shared" ref="GN373:GN392" si="339">IF(OR(BI373=0,BI373=1),ROUND(O373+X373+Y373,0),0)</f>
        <v>38002</v>
      </c>
      <c r="GO373">
        <f t="shared" ref="GO373:GO392" si="340">IF(BI373=2,ROUND(O373+X373+Y373,0),0)</f>
        <v>0</v>
      </c>
      <c r="GP373">
        <f t="shared" ref="GP373:GP392" si="341">IF(BI373=4,ROUND(O373+X373+Y373,0)+GX373,0)</f>
        <v>0</v>
      </c>
      <c r="GR373">
        <v>0</v>
      </c>
      <c r="GS373">
        <v>3</v>
      </c>
      <c r="GT373">
        <v>0</v>
      </c>
      <c r="GU373" t="s">
        <v>3</v>
      </c>
      <c r="GV373">
        <f t="shared" ref="GV373:GV392" si="342">ROUND((GT373),6)</f>
        <v>0</v>
      </c>
      <c r="GW373">
        <v>1</v>
      </c>
      <c r="GX373">
        <f t="shared" ref="GX373:GX392" si="343">ROUND(HC373*I373,0)</f>
        <v>0</v>
      </c>
      <c r="HA373">
        <v>0</v>
      </c>
      <c r="HB373">
        <v>0</v>
      </c>
      <c r="HC373">
        <f t="shared" ref="HC373:HC392" si="344">GV373*GW373</f>
        <v>0</v>
      </c>
      <c r="HE373" t="s">
        <v>3</v>
      </c>
      <c r="HF373" t="s">
        <v>3</v>
      </c>
      <c r="HM373" t="s">
        <v>3</v>
      </c>
      <c r="HN373" t="s">
        <v>3</v>
      </c>
      <c r="HO373" t="s">
        <v>3</v>
      </c>
      <c r="HP373" t="s">
        <v>3</v>
      </c>
      <c r="HQ373" t="s">
        <v>3</v>
      </c>
      <c r="IK373">
        <v>0</v>
      </c>
    </row>
    <row r="374" spans="1:245" x14ac:dyDescent="0.2">
      <c r="A374">
        <v>17</v>
      </c>
      <c r="B374">
        <v>1</v>
      </c>
      <c r="E374" t="s">
        <v>26</v>
      </c>
      <c r="F374" t="s">
        <v>65</v>
      </c>
      <c r="G374" t="s">
        <v>66</v>
      </c>
      <c r="H374" t="s">
        <v>59</v>
      </c>
      <c r="I374">
        <v>556</v>
      </c>
      <c r="J374">
        <v>0</v>
      </c>
      <c r="K374">
        <v>556</v>
      </c>
      <c r="O374">
        <f t="shared" si="310"/>
        <v>59722</v>
      </c>
      <c r="P374">
        <f t="shared" si="311"/>
        <v>0</v>
      </c>
      <c r="Q374">
        <f t="shared" si="312"/>
        <v>59722</v>
      </c>
      <c r="R374">
        <f t="shared" si="313"/>
        <v>0</v>
      </c>
      <c r="S374">
        <f t="shared" si="314"/>
        <v>0</v>
      </c>
      <c r="T374">
        <f t="shared" si="315"/>
        <v>0</v>
      </c>
      <c r="U374">
        <f t="shared" si="316"/>
        <v>0</v>
      </c>
      <c r="V374">
        <f t="shared" si="317"/>
        <v>0</v>
      </c>
      <c r="W374">
        <f t="shared" si="318"/>
        <v>0</v>
      </c>
      <c r="X374">
        <f t="shared" si="319"/>
        <v>0</v>
      </c>
      <c r="Y374">
        <f t="shared" si="320"/>
        <v>0</v>
      </c>
      <c r="AA374">
        <v>46416371</v>
      </c>
      <c r="AB374">
        <f t="shared" si="321"/>
        <v>8.0399999999999991</v>
      </c>
      <c r="AC374">
        <f t="shared" si="322"/>
        <v>0</v>
      </c>
      <c r="AD374">
        <f>ROUND(((ET374)+ROUND(((EU374)*1.85),2)),6)</f>
        <v>8.0399999999999991</v>
      </c>
      <c r="AE374">
        <f>ROUND(((EU374)+ROUND(((EU374)*1.85),2)),6)</f>
        <v>0</v>
      </c>
      <c r="AF374">
        <f>ROUND(((EV374)+ROUND(((EV374)*1.85),2)),6)</f>
        <v>0</v>
      </c>
      <c r="AG374">
        <f t="shared" si="323"/>
        <v>0</v>
      </c>
      <c r="AH374">
        <f>(EW374)</f>
        <v>0</v>
      </c>
      <c r="AI374">
        <f>(EX374)</f>
        <v>0</v>
      </c>
      <c r="AJ374">
        <f t="shared" si="324"/>
        <v>0</v>
      </c>
      <c r="AK374">
        <v>8.0399999999999991</v>
      </c>
      <c r="AL374">
        <v>0</v>
      </c>
      <c r="AM374">
        <v>8.0399999999999991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1</v>
      </c>
      <c r="AW374">
        <v>1</v>
      </c>
      <c r="AZ374">
        <v>1</v>
      </c>
      <c r="BA374">
        <v>34.75</v>
      </c>
      <c r="BB374">
        <v>13.36</v>
      </c>
      <c r="BC374">
        <v>8.2899999999999991</v>
      </c>
      <c r="BD374" t="s">
        <v>3</v>
      </c>
      <c r="BE374" t="s">
        <v>3</v>
      </c>
      <c r="BF374" t="s">
        <v>3</v>
      </c>
      <c r="BG374" t="s">
        <v>3</v>
      </c>
      <c r="BH374">
        <v>0</v>
      </c>
      <c r="BI374">
        <v>1</v>
      </c>
      <c r="BJ374" t="s">
        <v>67</v>
      </c>
      <c r="BM374">
        <v>700001</v>
      </c>
      <c r="BN374">
        <v>0</v>
      </c>
      <c r="BO374" t="s">
        <v>3</v>
      </c>
      <c r="BP374">
        <v>0</v>
      </c>
      <c r="BQ374">
        <v>10</v>
      </c>
      <c r="BR374">
        <v>0</v>
      </c>
      <c r="BS374">
        <v>34.75</v>
      </c>
      <c r="BT374">
        <v>1</v>
      </c>
      <c r="BU374">
        <v>1</v>
      </c>
      <c r="BV374">
        <v>1</v>
      </c>
      <c r="BW374">
        <v>1</v>
      </c>
      <c r="BX374">
        <v>1</v>
      </c>
      <c r="BY374" t="s">
        <v>3</v>
      </c>
      <c r="BZ374">
        <v>0</v>
      </c>
      <c r="CA374">
        <v>0</v>
      </c>
      <c r="CB374" t="s">
        <v>3</v>
      </c>
      <c r="CE374">
        <v>0</v>
      </c>
      <c r="CF374">
        <v>0</v>
      </c>
      <c r="CG374">
        <v>0</v>
      </c>
      <c r="CM374">
        <v>0</v>
      </c>
      <c r="CN374" t="s">
        <v>3</v>
      </c>
      <c r="CO374">
        <v>0</v>
      </c>
      <c r="CP374">
        <f t="shared" si="325"/>
        <v>59722</v>
      </c>
      <c r="CQ374">
        <f t="shared" si="326"/>
        <v>0</v>
      </c>
      <c r="CR374">
        <f t="shared" si="327"/>
        <v>107.41439999999999</v>
      </c>
      <c r="CS374">
        <f t="shared" si="328"/>
        <v>0</v>
      </c>
      <c r="CT374">
        <f t="shared" si="329"/>
        <v>0</v>
      </c>
      <c r="CU374">
        <f t="shared" si="330"/>
        <v>0</v>
      </c>
      <c r="CV374">
        <f t="shared" si="331"/>
        <v>0</v>
      </c>
      <c r="CW374">
        <f t="shared" si="332"/>
        <v>0</v>
      </c>
      <c r="CX374">
        <f t="shared" si="333"/>
        <v>0</v>
      </c>
      <c r="CY374">
        <f t="shared" si="334"/>
        <v>0</v>
      </c>
      <c r="CZ374">
        <f t="shared" si="335"/>
        <v>0</v>
      </c>
      <c r="DC374" t="s">
        <v>3</v>
      </c>
      <c r="DD374" t="s">
        <v>3</v>
      </c>
      <c r="DE374" t="s">
        <v>3</v>
      </c>
      <c r="DF374" t="s">
        <v>3</v>
      </c>
      <c r="DG374" t="s">
        <v>3</v>
      </c>
      <c r="DH374" t="s">
        <v>3</v>
      </c>
      <c r="DI374" t="s">
        <v>3</v>
      </c>
      <c r="DJ374" t="s">
        <v>3</v>
      </c>
      <c r="DK374" t="s">
        <v>3</v>
      </c>
      <c r="DL374" t="s">
        <v>3</v>
      </c>
      <c r="DM374" t="s">
        <v>3</v>
      </c>
      <c r="DN374">
        <v>0</v>
      </c>
      <c r="DO374">
        <v>0</v>
      </c>
      <c r="DP374">
        <v>1</v>
      </c>
      <c r="DQ374">
        <v>1</v>
      </c>
      <c r="DU374">
        <v>1013</v>
      </c>
      <c r="DV374" t="s">
        <v>59</v>
      </c>
      <c r="DW374" t="s">
        <v>59</v>
      </c>
      <c r="DX374">
        <v>1</v>
      </c>
      <c r="DZ374" t="s">
        <v>3</v>
      </c>
      <c r="EA374" t="s">
        <v>3</v>
      </c>
      <c r="EB374" t="s">
        <v>3</v>
      </c>
      <c r="EC374" t="s">
        <v>3</v>
      </c>
      <c r="EE374">
        <v>42475847</v>
      </c>
      <c r="EF374">
        <v>10</v>
      </c>
      <c r="EG374" t="s">
        <v>61</v>
      </c>
      <c r="EH374">
        <v>0</v>
      </c>
      <c r="EI374" t="s">
        <v>3</v>
      </c>
      <c r="EJ374">
        <v>1</v>
      </c>
      <c r="EK374">
        <v>700001</v>
      </c>
      <c r="EL374" t="s">
        <v>62</v>
      </c>
      <c r="EM374" t="s">
        <v>63</v>
      </c>
      <c r="EO374" t="s">
        <v>3</v>
      </c>
      <c r="EQ374">
        <v>0</v>
      </c>
      <c r="ER374">
        <v>8.0399999999999991</v>
      </c>
      <c r="ES374">
        <v>0</v>
      </c>
      <c r="ET374">
        <v>8.0399999999999991</v>
      </c>
      <c r="EU374">
        <v>0</v>
      </c>
      <c r="EV374">
        <v>0</v>
      </c>
      <c r="EW374">
        <v>0</v>
      </c>
      <c r="EX374">
        <v>0</v>
      </c>
      <c r="EY374">
        <v>0</v>
      </c>
      <c r="FQ374">
        <v>0</v>
      </c>
      <c r="FR374">
        <f t="shared" si="336"/>
        <v>0</v>
      </c>
      <c r="FS374">
        <v>0</v>
      </c>
      <c r="FX374">
        <v>0</v>
      </c>
      <c r="FY374">
        <v>0</v>
      </c>
      <c r="GA374" t="s">
        <v>3</v>
      </c>
      <c r="GD374">
        <v>1</v>
      </c>
      <c r="GF374">
        <v>-369081496</v>
      </c>
      <c r="GG374">
        <v>2</v>
      </c>
      <c r="GH374">
        <v>1</v>
      </c>
      <c r="GI374">
        <v>4</v>
      </c>
      <c r="GJ374">
        <v>0</v>
      </c>
      <c r="GK374">
        <v>0</v>
      </c>
      <c r="GL374">
        <f t="shared" si="337"/>
        <v>0</v>
      </c>
      <c r="GM374">
        <f t="shared" si="338"/>
        <v>59722</v>
      </c>
      <c r="GN374">
        <f t="shared" si="339"/>
        <v>59722</v>
      </c>
      <c r="GO374">
        <f t="shared" si="340"/>
        <v>0</v>
      </c>
      <c r="GP374">
        <f t="shared" si="341"/>
        <v>0</v>
      </c>
      <c r="GR374">
        <v>0</v>
      </c>
      <c r="GS374">
        <v>3</v>
      </c>
      <c r="GT374">
        <v>0</v>
      </c>
      <c r="GU374" t="s">
        <v>3</v>
      </c>
      <c r="GV374">
        <f t="shared" si="342"/>
        <v>0</v>
      </c>
      <c r="GW374">
        <v>1</v>
      </c>
      <c r="GX374">
        <f t="shared" si="343"/>
        <v>0</v>
      </c>
      <c r="HA374">
        <v>0</v>
      </c>
      <c r="HB374">
        <v>0</v>
      </c>
      <c r="HC374">
        <f t="shared" si="344"/>
        <v>0</v>
      </c>
      <c r="HD374">
        <f>GM374</f>
        <v>59722</v>
      </c>
      <c r="HE374" t="s">
        <v>3</v>
      </c>
      <c r="HF374" t="s">
        <v>3</v>
      </c>
      <c r="HM374" t="s">
        <v>3</v>
      </c>
      <c r="HN374" t="s">
        <v>3</v>
      </c>
      <c r="HO374" t="s">
        <v>3</v>
      </c>
      <c r="HP374" t="s">
        <v>3</v>
      </c>
      <c r="HQ374" t="s">
        <v>3</v>
      </c>
      <c r="IK374">
        <v>0</v>
      </c>
    </row>
    <row r="375" spans="1:245" x14ac:dyDescent="0.2">
      <c r="A375">
        <v>17</v>
      </c>
      <c r="B375">
        <v>1</v>
      </c>
      <c r="C375">
        <f>ROW(SmtRes!A238)</f>
        <v>238</v>
      </c>
      <c r="D375">
        <f>ROW(EtalonRes!A225)</f>
        <v>225</v>
      </c>
      <c r="E375" t="s">
        <v>56</v>
      </c>
      <c r="F375" t="s">
        <v>268</v>
      </c>
      <c r="G375" t="s">
        <v>269</v>
      </c>
      <c r="H375" t="s">
        <v>270</v>
      </c>
      <c r="I375">
        <v>4.17</v>
      </c>
      <c r="J375">
        <v>0</v>
      </c>
      <c r="K375">
        <f>ROUND(115/100,9)</f>
        <v>1.1499999999999999</v>
      </c>
      <c r="O375">
        <f t="shared" si="310"/>
        <v>158775</v>
      </c>
      <c r="P375">
        <f t="shared" si="311"/>
        <v>422</v>
      </c>
      <c r="Q375">
        <f t="shared" si="312"/>
        <v>137344</v>
      </c>
      <c r="R375">
        <f t="shared" si="313"/>
        <v>29594</v>
      </c>
      <c r="S375">
        <f t="shared" si="314"/>
        <v>21009</v>
      </c>
      <c r="T375">
        <f t="shared" si="315"/>
        <v>0</v>
      </c>
      <c r="U375">
        <f t="shared" si="316"/>
        <v>86.693048999999988</v>
      </c>
      <c r="V375">
        <f t="shared" si="317"/>
        <v>83.201925000000003</v>
      </c>
      <c r="W375">
        <f t="shared" si="318"/>
        <v>0</v>
      </c>
      <c r="X375">
        <f t="shared" si="319"/>
        <v>71856</v>
      </c>
      <c r="Y375">
        <f t="shared" si="320"/>
        <v>48073</v>
      </c>
      <c r="AA375">
        <v>46416371</v>
      </c>
      <c r="AB375">
        <f t="shared" si="321"/>
        <v>2622.4585000000002</v>
      </c>
      <c r="AC375">
        <f t="shared" si="322"/>
        <v>12.2</v>
      </c>
      <c r="AD375">
        <f>ROUND((((((ET375)*1.15))-(((EU375)*1.15)))+AE375),6)</f>
        <v>2465.2779999999998</v>
      </c>
      <c r="AE375">
        <f>ROUND((((EU375)*1.15)),6)</f>
        <v>204.2285</v>
      </c>
      <c r="AF375">
        <f>ROUND((((EV375)*1.15)),6)</f>
        <v>144.98050000000001</v>
      </c>
      <c r="AG375">
        <f t="shared" si="323"/>
        <v>0</v>
      </c>
      <c r="AH375">
        <f>(((EW375*1.15)*1.15))</f>
        <v>20.789699999999996</v>
      </c>
      <c r="AI375">
        <f>(((EX375*1.25)*1.15))</f>
        <v>19.952500000000001</v>
      </c>
      <c r="AJ375">
        <f t="shared" si="324"/>
        <v>0</v>
      </c>
      <c r="AK375">
        <v>2281.9899999999998</v>
      </c>
      <c r="AL375">
        <v>12.2</v>
      </c>
      <c r="AM375">
        <v>2143.7199999999998</v>
      </c>
      <c r="AN375">
        <v>177.59</v>
      </c>
      <c r="AO375">
        <v>126.07</v>
      </c>
      <c r="AP375">
        <v>0</v>
      </c>
      <c r="AQ375">
        <v>15.72</v>
      </c>
      <c r="AR375">
        <v>13.88</v>
      </c>
      <c r="AS375">
        <v>0</v>
      </c>
      <c r="AT375">
        <v>142</v>
      </c>
      <c r="AU375">
        <v>95</v>
      </c>
      <c r="AV375">
        <v>1</v>
      </c>
      <c r="AW375">
        <v>1</v>
      </c>
      <c r="AZ375">
        <v>1</v>
      </c>
      <c r="BA375">
        <v>34.75</v>
      </c>
      <c r="BB375">
        <v>13.36</v>
      </c>
      <c r="BC375">
        <v>8.2899999999999991</v>
      </c>
      <c r="BD375" t="s">
        <v>3</v>
      </c>
      <c r="BE375" t="s">
        <v>3</v>
      </c>
      <c r="BF375" t="s">
        <v>3</v>
      </c>
      <c r="BG375" t="s">
        <v>3</v>
      </c>
      <c r="BH375">
        <v>0</v>
      </c>
      <c r="BI375">
        <v>1</v>
      </c>
      <c r="BJ375" t="s">
        <v>271</v>
      </c>
      <c r="BM375">
        <v>27001</v>
      </c>
      <c r="BN375">
        <v>0</v>
      </c>
      <c r="BO375" t="s">
        <v>3</v>
      </c>
      <c r="BP375">
        <v>0</v>
      </c>
      <c r="BQ375">
        <v>2</v>
      </c>
      <c r="BR375">
        <v>0</v>
      </c>
      <c r="BS375">
        <v>34.75</v>
      </c>
      <c r="BT375">
        <v>1</v>
      </c>
      <c r="BU375">
        <v>1</v>
      </c>
      <c r="BV375">
        <v>1</v>
      </c>
      <c r="BW375">
        <v>1</v>
      </c>
      <c r="BX375">
        <v>1</v>
      </c>
      <c r="BY375" t="s">
        <v>3</v>
      </c>
      <c r="BZ375">
        <v>142</v>
      </c>
      <c r="CA375">
        <v>95</v>
      </c>
      <c r="CB375" t="s">
        <v>3</v>
      </c>
      <c r="CE375">
        <v>0</v>
      </c>
      <c r="CF375">
        <v>0</v>
      </c>
      <c r="CG375">
        <v>0</v>
      </c>
      <c r="CM375">
        <v>0</v>
      </c>
      <c r="CN375" t="s">
        <v>683</v>
      </c>
      <c r="CO375">
        <v>0</v>
      </c>
      <c r="CP375">
        <f t="shared" si="325"/>
        <v>158775</v>
      </c>
      <c r="CQ375">
        <f t="shared" si="326"/>
        <v>101.13799999999998</v>
      </c>
      <c r="CR375">
        <f t="shared" si="327"/>
        <v>32936.114079999999</v>
      </c>
      <c r="CS375">
        <f t="shared" si="328"/>
        <v>7096.9403750000001</v>
      </c>
      <c r="CT375">
        <f t="shared" si="329"/>
        <v>5038.0723750000006</v>
      </c>
      <c r="CU375">
        <f t="shared" si="330"/>
        <v>0</v>
      </c>
      <c r="CV375">
        <f t="shared" si="331"/>
        <v>20.789699999999996</v>
      </c>
      <c r="CW375">
        <f t="shared" si="332"/>
        <v>19.952500000000001</v>
      </c>
      <c r="CX375">
        <f t="shared" si="333"/>
        <v>0</v>
      </c>
      <c r="CY375">
        <f t="shared" si="334"/>
        <v>71856.259999999995</v>
      </c>
      <c r="CZ375">
        <f t="shared" si="335"/>
        <v>48072.85</v>
      </c>
      <c r="DC375" t="s">
        <v>3</v>
      </c>
      <c r="DD375" t="s">
        <v>3</v>
      </c>
      <c r="DE375" t="s">
        <v>170</v>
      </c>
      <c r="DF375" t="s">
        <v>170</v>
      </c>
      <c r="DG375" t="s">
        <v>161</v>
      </c>
      <c r="DH375" t="s">
        <v>3</v>
      </c>
      <c r="DI375" t="s">
        <v>161</v>
      </c>
      <c r="DJ375" t="s">
        <v>170</v>
      </c>
      <c r="DK375" t="s">
        <v>3</v>
      </c>
      <c r="DL375" t="s">
        <v>3</v>
      </c>
      <c r="DM375" t="s">
        <v>3</v>
      </c>
      <c r="DN375">
        <v>0</v>
      </c>
      <c r="DO375">
        <v>0</v>
      </c>
      <c r="DP375">
        <v>1</v>
      </c>
      <c r="DQ375">
        <v>1</v>
      </c>
      <c r="DU375">
        <v>1007</v>
      </c>
      <c r="DV375" t="s">
        <v>270</v>
      </c>
      <c r="DW375" t="s">
        <v>270</v>
      </c>
      <c r="DX375">
        <v>100</v>
      </c>
      <c r="DZ375" t="s">
        <v>3</v>
      </c>
      <c r="EA375" t="s">
        <v>3</v>
      </c>
      <c r="EB375" t="s">
        <v>3</v>
      </c>
      <c r="EC375" t="s">
        <v>3</v>
      </c>
      <c r="EE375">
        <v>42475950</v>
      </c>
      <c r="EF375">
        <v>2</v>
      </c>
      <c r="EG375" t="s">
        <v>22</v>
      </c>
      <c r="EH375">
        <v>0</v>
      </c>
      <c r="EI375" t="s">
        <v>3</v>
      </c>
      <c r="EJ375">
        <v>1</v>
      </c>
      <c r="EK375">
        <v>27001</v>
      </c>
      <c r="EL375" t="s">
        <v>248</v>
      </c>
      <c r="EM375" t="s">
        <v>249</v>
      </c>
      <c r="EO375" t="s">
        <v>250</v>
      </c>
      <c r="EQ375">
        <v>0</v>
      </c>
      <c r="ER375">
        <v>2281.9899999999998</v>
      </c>
      <c r="ES375">
        <v>12.2</v>
      </c>
      <c r="ET375">
        <v>2143.7199999999998</v>
      </c>
      <c r="EU375">
        <v>177.59</v>
      </c>
      <c r="EV375">
        <v>126.07</v>
      </c>
      <c r="EW375">
        <v>15.72</v>
      </c>
      <c r="EX375">
        <v>13.88</v>
      </c>
      <c r="EY375">
        <v>0</v>
      </c>
      <c r="FQ375">
        <v>0</v>
      </c>
      <c r="FR375">
        <f t="shared" si="336"/>
        <v>0</v>
      </c>
      <c r="FS375">
        <v>0</v>
      </c>
      <c r="FX375">
        <v>142</v>
      </c>
      <c r="FY375">
        <v>95</v>
      </c>
      <c r="GA375" t="s">
        <v>3</v>
      </c>
      <c r="GD375">
        <v>1</v>
      </c>
      <c r="GF375">
        <v>684086074</v>
      </c>
      <c r="GG375">
        <v>2</v>
      </c>
      <c r="GH375">
        <v>1</v>
      </c>
      <c r="GI375">
        <v>4</v>
      </c>
      <c r="GJ375">
        <v>0</v>
      </c>
      <c r="GK375">
        <v>0</v>
      </c>
      <c r="GL375">
        <f t="shared" si="337"/>
        <v>0</v>
      </c>
      <c r="GM375">
        <f t="shared" si="338"/>
        <v>278704</v>
      </c>
      <c r="GN375">
        <f t="shared" si="339"/>
        <v>278704</v>
      </c>
      <c r="GO375">
        <f t="shared" si="340"/>
        <v>0</v>
      </c>
      <c r="GP375">
        <f t="shared" si="341"/>
        <v>0</v>
      </c>
      <c r="GR375">
        <v>0</v>
      </c>
      <c r="GS375">
        <v>3</v>
      </c>
      <c r="GT375">
        <v>0</v>
      </c>
      <c r="GU375" t="s">
        <v>3</v>
      </c>
      <c r="GV375">
        <f t="shared" si="342"/>
        <v>0</v>
      </c>
      <c r="GW375">
        <v>1</v>
      </c>
      <c r="GX375">
        <f t="shared" si="343"/>
        <v>0</v>
      </c>
      <c r="HA375">
        <v>0</v>
      </c>
      <c r="HB375">
        <v>0</v>
      </c>
      <c r="HC375">
        <f t="shared" si="344"/>
        <v>0</v>
      </c>
      <c r="HE375" t="s">
        <v>3</v>
      </c>
      <c r="HF375" t="s">
        <v>3</v>
      </c>
      <c r="HM375" t="s">
        <v>3</v>
      </c>
      <c r="HN375" t="s">
        <v>3</v>
      </c>
      <c r="HO375" t="s">
        <v>3</v>
      </c>
      <c r="HP375" t="s">
        <v>3</v>
      </c>
      <c r="HQ375" t="s">
        <v>3</v>
      </c>
      <c r="IK375">
        <v>0</v>
      </c>
    </row>
    <row r="376" spans="1:245" x14ac:dyDescent="0.2">
      <c r="A376">
        <v>18</v>
      </c>
      <c r="B376">
        <v>1</v>
      </c>
      <c r="C376">
        <v>238</v>
      </c>
      <c r="E376" t="s">
        <v>136</v>
      </c>
      <c r="F376" t="s">
        <v>145</v>
      </c>
      <c r="G376" t="s">
        <v>146</v>
      </c>
      <c r="H376" t="s">
        <v>139</v>
      </c>
      <c r="I376">
        <f>I375*J376</f>
        <v>458.70000000000005</v>
      </c>
      <c r="J376">
        <v>110.00000000000001</v>
      </c>
      <c r="K376">
        <v>110</v>
      </c>
      <c r="O376">
        <f t="shared" si="310"/>
        <v>382248</v>
      </c>
      <c r="P376">
        <f t="shared" si="311"/>
        <v>382248</v>
      </c>
      <c r="Q376">
        <f t="shared" si="312"/>
        <v>0</v>
      </c>
      <c r="R376">
        <f t="shared" si="313"/>
        <v>0</v>
      </c>
      <c r="S376">
        <f t="shared" si="314"/>
        <v>0</v>
      </c>
      <c r="T376">
        <f t="shared" si="315"/>
        <v>0</v>
      </c>
      <c r="U376">
        <f t="shared" si="316"/>
        <v>0</v>
      </c>
      <c r="V376">
        <f t="shared" si="317"/>
        <v>0</v>
      </c>
      <c r="W376">
        <f t="shared" si="318"/>
        <v>0</v>
      </c>
      <c r="X376">
        <f t="shared" si="319"/>
        <v>0</v>
      </c>
      <c r="Y376">
        <f t="shared" si="320"/>
        <v>0</v>
      </c>
      <c r="AA376">
        <v>46416371</v>
      </c>
      <c r="AB376">
        <f t="shared" si="321"/>
        <v>833.33</v>
      </c>
      <c r="AC376">
        <f t="shared" si="322"/>
        <v>833.33</v>
      </c>
      <c r="AD376">
        <f>ROUND((((ET376)-(EU376))+AE376),6)</f>
        <v>0</v>
      </c>
      <c r="AE376">
        <f>ROUND((EU376),6)</f>
        <v>0</v>
      </c>
      <c r="AF376">
        <f>ROUND((EV376),6)</f>
        <v>0</v>
      </c>
      <c r="AG376">
        <f t="shared" si="323"/>
        <v>0</v>
      </c>
      <c r="AH376">
        <f>(EW376)</f>
        <v>0</v>
      </c>
      <c r="AI376">
        <f>(EX376)</f>
        <v>0</v>
      </c>
      <c r="AJ376">
        <f t="shared" si="324"/>
        <v>0</v>
      </c>
      <c r="AK376">
        <v>833.33</v>
      </c>
      <c r="AL376">
        <v>833.33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1</v>
      </c>
      <c r="AW376">
        <v>1</v>
      </c>
      <c r="AZ376">
        <v>1</v>
      </c>
      <c r="BA376">
        <v>1</v>
      </c>
      <c r="BB376">
        <v>1</v>
      </c>
      <c r="BC376">
        <v>1</v>
      </c>
      <c r="BD376" t="s">
        <v>3</v>
      </c>
      <c r="BE376" t="s">
        <v>3</v>
      </c>
      <c r="BF376" t="s">
        <v>3</v>
      </c>
      <c r="BG376" t="s">
        <v>3</v>
      </c>
      <c r="BH376">
        <v>3</v>
      </c>
      <c r="BI376">
        <v>4</v>
      </c>
      <c r="BJ376" t="s">
        <v>3</v>
      </c>
      <c r="BM376">
        <v>0</v>
      </c>
      <c r="BN376">
        <v>0</v>
      </c>
      <c r="BO376" t="s">
        <v>3</v>
      </c>
      <c r="BP376">
        <v>0</v>
      </c>
      <c r="BQ376">
        <v>16</v>
      </c>
      <c r="BR376">
        <v>0</v>
      </c>
      <c r="BS376">
        <v>1</v>
      </c>
      <c r="BT376">
        <v>1</v>
      </c>
      <c r="BU376">
        <v>1</v>
      </c>
      <c r="BV376">
        <v>1</v>
      </c>
      <c r="BW376">
        <v>1</v>
      </c>
      <c r="BX376">
        <v>1</v>
      </c>
      <c r="BY376" t="s">
        <v>3</v>
      </c>
      <c r="BZ376">
        <v>0</v>
      </c>
      <c r="CA376">
        <v>0</v>
      </c>
      <c r="CB376" t="s">
        <v>3</v>
      </c>
      <c r="CE376">
        <v>0</v>
      </c>
      <c r="CF376">
        <v>0</v>
      </c>
      <c r="CG376">
        <v>0</v>
      </c>
      <c r="CM376">
        <v>0</v>
      </c>
      <c r="CN376" t="s">
        <v>3</v>
      </c>
      <c r="CO376">
        <v>0</v>
      </c>
      <c r="CP376">
        <f t="shared" si="325"/>
        <v>382248</v>
      </c>
      <c r="CQ376">
        <f t="shared" si="326"/>
        <v>833.33</v>
      </c>
      <c r="CR376">
        <f t="shared" si="327"/>
        <v>0</v>
      </c>
      <c r="CS376">
        <f t="shared" si="328"/>
        <v>0</v>
      </c>
      <c r="CT376">
        <f t="shared" si="329"/>
        <v>0</v>
      </c>
      <c r="CU376">
        <f t="shared" si="330"/>
        <v>0</v>
      </c>
      <c r="CV376">
        <f t="shared" si="331"/>
        <v>0</v>
      </c>
      <c r="CW376">
        <f t="shared" si="332"/>
        <v>0</v>
      </c>
      <c r="CX376">
        <f t="shared" si="333"/>
        <v>0</v>
      </c>
      <c r="CY376">
        <f t="shared" si="334"/>
        <v>0</v>
      </c>
      <c r="CZ376">
        <f t="shared" si="335"/>
        <v>0</v>
      </c>
      <c r="DC376" t="s">
        <v>3</v>
      </c>
      <c r="DD376" t="s">
        <v>3</v>
      </c>
      <c r="DE376" t="s">
        <v>3</v>
      </c>
      <c r="DF376" t="s">
        <v>3</v>
      </c>
      <c r="DG376" t="s">
        <v>3</v>
      </c>
      <c r="DH376" t="s">
        <v>3</v>
      </c>
      <c r="DI376" t="s">
        <v>3</v>
      </c>
      <c r="DJ376" t="s">
        <v>3</v>
      </c>
      <c r="DK376" t="s">
        <v>3</v>
      </c>
      <c r="DL376" t="s">
        <v>3</v>
      </c>
      <c r="DM376" t="s">
        <v>3</v>
      </c>
      <c r="DN376">
        <v>0</v>
      </c>
      <c r="DO376">
        <v>0</v>
      </c>
      <c r="DP376">
        <v>1</v>
      </c>
      <c r="DQ376">
        <v>1</v>
      </c>
      <c r="DU376">
        <v>1007</v>
      </c>
      <c r="DV376" t="s">
        <v>139</v>
      </c>
      <c r="DW376" t="s">
        <v>139</v>
      </c>
      <c r="DX376">
        <v>1</v>
      </c>
      <c r="DZ376" t="s">
        <v>3</v>
      </c>
      <c r="EA376" t="s">
        <v>3</v>
      </c>
      <c r="EB376" t="s">
        <v>3</v>
      </c>
      <c r="EC376" t="s">
        <v>3</v>
      </c>
      <c r="EE376">
        <v>42475850</v>
      </c>
      <c r="EF376">
        <v>16</v>
      </c>
      <c r="EG376" t="s">
        <v>147</v>
      </c>
      <c r="EH376">
        <v>0</v>
      </c>
      <c r="EI376" t="s">
        <v>3</v>
      </c>
      <c r="EJ376">
        <v>4</v>
      </c>
      <c r="EK376">
        <v>0</v>
      </c>
      <c r="EL376" t="s">
        <v>148</v>
      </c>
      <c r="EM376" t="s">
        <v>149</v>
      </c>
      <c r="EO376" t="s">
        <v>3</v>
      </c>
      <c r="EQ376">
        <v>2097152</v>
      </c>
      <c r="ER376">
        <v>833.33</v>
      </c>
      <c r="ES376">
        <v>833.33</v>
      </c>
      <c r="ET376">
        <v>0</v>
      </c>
      <c r="EU376">
        <v>0</v>
      </c>
      <c r="EV376">
        <v>0</v>
      </c>
      <c r="EW376">
        <v>0</v>
      </c>
      <c r="EX376">
        <v>0</v>
      </c>
      <c r="EZ376">
        <v>5</v>
      </c>
      <c r="FC376">
        <v>1</v>
      </c>
      <c r="FD376">
        <v>18</v>
      </c>
      <c r="FF376">
        <v>1000</v>
      </c>
      <c r="FQ376">
        <v>0</v>
      </c>
      <c r="FR376">
        <f t="shared" si="336"/>
        <v>0</v>
      </c>
      <c r="FS376">
        <v>0</v>
      </c>
      <c r="FX376">
        <v>0</v>
      </c>
      <c r="FY376">
        <v>0</v>
      </c>
      <c r="GA376" t="s">
        <v>150</v>
      </c>
      <c r="GD376">
        <v>1</v>
      </c>
      <c r="GF376">
        <v>-1718654303</v>
      </c>
      <c r="GG376">
        <v>2</v>
      </c>
      <c r="GH376">
        <v>3</v>
      </c>
      <c r="GI376">
        <v>4</v>
      </c>
      <c r="GJ376">
        <v>0</v>
      </c>
      <c r="GK376">
        <v>0</v>
      </c>
      <c r="GL376">
        <f t="shared" si="337"/>
        <v>0</v>
      </c>
      <c r="GM376">
        <f t="shared" si="338"/>
        <v>382248</v>
      </c>
      <c r="GN376">
        <f t="shared" si="339"/>
        <v>0</v>
      </c>
      <c r="GO376">
        <f t="shared" si="340"/>
        <v>0</v>
      </c>
      <c r="GP376">
        <f t="shared" si="341"/>
        <v>382248</v>
      </c>
      <c r="GR376">
        <v>1</v>
      </c>
      <c r="GS376">
        <v>1</v>
      </c>
      <c r="GT376">
        <v>0</v>
      </c>
      <c r="GU376" t="s">
        <v>3</v>
      </c>
      <c r="GV376">
        <f t="shared" si="342"/>
        <v>0</v>
      </c>
      <c r="GW376">
        <v>1</v>
      </c>
      <c r="GX376">
        <f t="shared" si="343"/>
        <v>0</v>
      </c>
      <c r="HA376">
        <v>0</v>
      </c>
      <c r="HB376">
        <v>0</v>
      </c>
      <c r="HC376">
        <f t="shared" si="344"/>
        <v>0</v>
      </c>
      <c r="HE376" t="s">
        <v>151</v>
      </c>
      <c r="HF376" t="s">
        <v>151</v>
      </c>
      <c r="HM376" t="s">
        <v>3</v>
      </c>
      <c r="HN376" t="s">
        <v>3</v>
      </c>
      <c r="HO376" t="s">
        <v>3</v>
      </c>
      <c r="HP376" t="s">
        <v>3</v>
      </c>
      <c r="HQ376" t="s">
        <v>3</v>
      </c>
      <c r="IK376">
        <v>0</v>
      </c>
    </row>
    <row r="377" spans="1:245" x14ac:dyDescent="0.2">
      <c r="A377">
        <v>17</v>
      </c>
      <c r="B377">
        <v>1</v>
      </c>
      <c r="C377">
        <f>ROW(SmtRes!A247)</f>
        <v>247</v>
      </c>
      <c r="D377">
        <f>ROW(EtalonRes!A234)</f>
        <v>234</v>
      </c>
      <c r="E377" t="s">
        <v>64</v>
      </c>
      <c r="F377" t="s">
        <v>272</v>
      </c>
      <c r="G377" t="s">
        <v>273</v>
      </c>
      <c r="H377" t="s">
        <v>270</v>
      </c>
      <c r="I377">
        <v>5.0060000000000002</v>
      </c>
      <c r="J377">
        <v>0</v>
      </c>
      <c r="K377">
        <f>ROUND(135/100,9)</f>
        <v>1.35</v>
      </c>
      <c r="O377">
        <f t="shared" si="310"/>
        <v>296657</v>
      </c>
      <c r="P377">
        <f t="shared" si="311"/>
        <v>709</v>
      </c>
      <c r="Q377">
        <f t="shared" si="312"/>
        <v>256798</v>
      </c>
      <c r="R377">
        <f t="shared" si="313"/>
        <v>55745</v>
      </c>
      <c r="S377">
        <f t="shared" si="314"/>
        <v>39150</v>
      </c>
      <c r="T377">
        <f t="shared" si="315"/>
        <v>0</v>
      </c>
      <c r="U377">
        <f t="shared" si="316"/>
        <v>160.14832265000001</v>
      </c>
      <c r="V377">
        <f t="shared" si="317"/>
        <v>148.24017499999999</v>
      </c>
      <c r="W377">
        <f t="shared" si="318"/>
        <v>0</v>
      </c>
      <c r="X377">
        <f t="shared" si="319"/>
        <v>134751</v>
      </c>
      <c r="Y377">
        <f t="shared" si="320"/>
        <v>90150</v>
      </c>
      <c r="AA377">
        <v>46416371</v>
      </c>
      <c r="AB377">
        <f t="shared" si="321"/>
        <v>4081.8125</v>
      </c>
      <c r="AC377">
        <f t="shared" si="322"/>
        <v>17.079999999999998</v>
      </c>
      <c r="AD377">
        <f>ROUND((((((ET377)*1.15))-(((EU377)*1.15)))+AE377),6)</f>
        <v>3839.6774999999998</v>
      </c>
      <c r="AE377">
        <f>ROUND((((EU377)*1.15)),6)</f>
        <v>320.44749999999999</v>
      </c>
      <c r="AF377">
        <f>ROUND((((EV377)*1.15)),6)</f>
        <v>225.05500000000001</v>
      </c>
      <c r="AG377">
        <f t="shared" si="323"/>
        <v>0</v>
      </c>
      <c r="AH377">
        <f>(((EW377*1.15)*1.15))</f>
        <v>31.991274999999998</v>
      </c>
      <c r="AI377">
        <f>(((EX377*1.25)*1.15))</f>
        <v>29.612499999999997</v>
      </c>
      <c r="AJ377">
        <f t="shared" si="324"/>
        <v>0</v>
      </c>
      <c r="AK377">
        <v>3551.63</v>
      </c>
      <c r="AL377">
        <v>17.079999999999998</v>
      </c>
      <c r="AM377">
        <v>3338.85</v>
      </c>
      <c r="AN377">
        <v>278.64999999999998</v>
      </c>
      <c r="AO377">
        <v>195.7</v>
      </c>
      <c r="AP377">
        <v>0</v>
      </c>
      <c r="AQ377">
        <v>24.19</v>
      </c>
      <c r="AR377">
        <v>20.6</v>
      </c>
      <c r="AS377">
        <v>0</v>
      </c>
      <c r="AT377">
        <v>142</v>
      </c>
      <c r="AU377">
        <v>95</v>
      </c>
      <c r="AV377">
        <v>1</v>
      </c>
      <c r="AW377">
        <v>1</v>
      </c>
      <c r="AZ377">
        <v>1</v>
      </c>
      <c r="BA377">
        <v>34.75</v>
      </c>
      <c r="BB377">
        <v>13.36</v>
      </c>
      <c r="BC377">
        <v>8.2899999999999991</v>
      </c>
      <c r="BD377" t="s">
        <v>3</v>
      </c>
      <c r="BE377" t="s">
        <v>3</v>
      </c>
      <c r="BF377" t="s">
        <v>3</v>
      </c>
      <c r="BG377" t="s">
        <v>3</v>
      </c>
      <c r="BH377">
        <v>0</v>
      </c>
      <c r="BI377">
        <v>1</v>
      </c>
      <c r="BJ377" t="s">
        <v>274</v>
      </c>
      <c r="BM377">
        <v>27001</v>
      </c>
      <c r="BN377">
        <v>0</v>
      </c>
      <c r="BO377" t="s">
        <v>3</v>
      </c>
      <c r="BP377">
        <v>0</v>
      </c>
      <c r="BQ377">
        <v>2</v>
      </c>
      <c r="BR377">
        <v>0</v>
      </c>
      <c r="BS377">
        <v>34.75</v>
      </c>
      <c r="BT377">
        <v>1</v>
      </c>
      <c r="BU377">
        <v>1</v>
      </c>
      <c r="BV377">
        <v>1</v>
      </c>
      <c r="BW377">
        <v>1</v>
      </c>
      <c r="BX377">
        <v>1</v>
      </c>
      <c r="BY377" t="s">
        <v>3</v>
      </c>
      <c r="BZ377">
        <v>142</v>
      </c>
      <c r="CA377">
        <v>95</v>
      </c>
      <c r="CB377" t="s">
        <v>3</v>
      </c>
      <c r="CE377">
        <v>0</v>
      </c>
      <c r="CF377">
        <v>0</v>
      </c>
      <c r="CG377">
        <v>0</v>
      </c>
      <c r="CM377">
        <v>0</v>
      </c>
      <c r="CN377" t="s">
        <v>683</v>
      </c>
      <c r="CO377">
        <v>0</v>
      </c>
      <c r="CP377">
        <f t="shared" si="325"/>
        <v>296657</v>
      </c>
      <c r="CQ377">
        <f t="shared" si="326"/>
        <v>141.59319999999997</v>
      </c>
      <c r="CR377">
        <f t="shared" si="327"/>
        <v>51298.091399999998</v>
      </c>
      <c r="CS377">
        <f t="shared" si="328"/>
        <v>11135.550625</v>
      </c>
      <c r="CT377">
        <f t="shared" si="329"/>
        <v>7820.6612500000001</v>
      </c>
      <c r="CU377">
        <f t="shared" si="330"/>
        <v>0</v>
      </c>
      <c r="CV377">
        <f t="shared" si="331"/>
        <v>31.991274999999998</v>
      </c>
      <c r="CW377">
        <f t="shared" si="332"/>
        <v>29.612499999999997</v>
      </c>
      <c r="CX377">
        <f t="shared" si="333"/>
        <v>0</v>
      </c>
      <c r="CY377">
        <f t="shared" si="334"/>
        <v>134750.9</v>
      </c>
      <c r="CZ377">
        <f t="shared" si="335"/>
        <v>90150.25</v>
      </c>
      <c r="DC377" t="s">
        <v>3</v>
      </c>
      <c r="DD377" t="s">
        <v>3</v>
      </c>
      <c r="DE377" t="s">
        <v>170</v>
      </c>
      <c r="DF377" t="s">
        <v>170</v>
      </c>
      <c r="DG377" t="s">
        <v>161</v>
      </c>
      <c r="DH377" t="s">
        <v>3</v>
      </c>
      <c r="DI377" t="s">
        <v>161</v>
      </c>
      <c r="DJ377" t="s">
        <v>170</v>
      </c>
      <c r="DK377" t="s">
        <v>3</v>
      </c>
      <c r="DL377" t="s">
        <v>3</v>
      </c>
      <c r="DM377" t="s">
        <v>3</v>
      </c>
      <c r="DN377">
        <v>0</v>
      </c>
      <c r="DO377">
        <v>0</v>
      </c>
      <c r="DP377">
        <v>1</v>
      </c>
      <c r="DQ377">
        <v>1</v>
      </c>
      <c r="DU377">
        <v>1007</v>
      </c>
      <c r="DV377" t="s">
        <v>270</v>
      </c>
      <c r="DW377" t="s">
        <v>270</v>
      </c>
      <c r="DX377">
        <v>100</v>
      </c>
      <c r="DZ377" t="s">
        <v>3</v>
      </c>
      <c r="EA377" t="s">
        <v>3</v>
      </c>
      <c r="EB377" t="s">
        <v>3</v>
      </c>
      <c r="EC377" t="s">
        <v>3</v>
      </c>
      <c r="EE377">
        <v>42475950</v>
      </c>
      <c r="EF377">
        <v>2</v>
      </c>
      <c r="EG377" t="s">
        <v>22</v>
      </c>
      <c r="EH377">
        <v>0</v>
      </c>
      <c r="EI377" t="s">
        <v>3</v>
      </c>
      <c r="EJ377">
        <v>1</v>
      </c>
      <c r="EK377">
        <v>27001</v>
      </c>
      <c r="EL377" t="s">
        <v>248</v>
      </c>
      <c r="EM377" t="s">
        <v>249</v>
      </c>
      <c r="EO377" t="s">
        <v>250</v>
      </c>
      <c r="EQ377">
        <v>0</v>
      </c>
      <c r="ER377">
        <v>3551.63</v>
      </c>
      <c r="ES377">
        <v>17.079999999999998</v>
      </c>
      <c r="ET377">
        <v>3338.85</v>
      </c>
      <c r="EU377">
        <v>278.64999999999998</v>
      </c>
      <c r="EV377">
        <v>195.7</v>
      </c>
      <c r="EW377">
        <v>24.19</v>
      </c>
      <c r="EX377">
        <v>20.6</v>
      </c>
      <c r="EY377">
        <v>0</v>
      </c>
      <c r="FQ377">
        <v>0</v>
      </c>
      <c r="FR377">
        <f t="shared" si="336"/>
        <v>0</v>
      </c>
      <c r="FS377">
        <v>0</v>
      </c>
      <c r="FX377">
        <v>142</v>
      </c>
      <c r="FY377">
        <v>95</v>
      </c>
      <c r="GA377" t="s">
        <v>3</v>
      </c>
      <c r="GD377">
        <v>1</v>
      </c>
      <c r="GF377">
        <v>1924616243</v>
      </c>
      <c r="GG377">
        <v>2</v>
      </c>
      <c r="GH377">
        <v>1</v>
      </c>
      <c r="GI377">
        <v>4</v>
      </c>
      <c r="GJ377">
        <v>0</v>
      </c>
      <c r="GK377">
        <v>0</v>
      </c>
      <c r="GL377">
        <f t="shared" si="337"/>
        <v>0</v>
      </c>
      <c r="GM377">
        <f t="shared" si="338"/>
        <v>521558</v>
      </c>
      <c r="GN377">
        <f t="shared" si="339"/>
        <v>521558</v>
      </c>
      <c r="GO377">
        <f t="shared" si="340"/>
        <v>0</v>
      </c>
      <c r="GP377">
        <f t="shared" si="341"/>
        <v>0</v>
      </c>
      <c r="GR377">
        <v>0</v>
      </c>
      <c r="GS377">
        <v>3</v>
      </c>
      <c r="GT377">
        <v>0</v>
      </c>
      <c r="GU377" t="s">
        <v>3</v>
      </c>
      <c r="GV377">
        <f t="shared" si="342"/>
        <v>0</v>
      </c>
      <c r="GW377">
        <v>1</v>
      </c>
      <c r="GX377">
        <f t="shared" si="343"/>
        <v>0</v>
      </c>
      <c r="HA377">
        <v>0</v>
      </c>
      <c r="HB377">
        <v>0</v>
      </c>
      <c r="HC377">
        <f t="shared" si="344"/>
        <v>0</v>
      </c>
      <c r="HE377" t="s">
        <v>3</v>
      </c>
      <c r="HF377" t="s">
        <v>3</v>
      </c>
      <c r="HM377" t="s">
        <v>3</v>
      </c>
      <c r="HN377" t="s">
        <v>3</v>
      </c>
      <c r="HO377" t="s">
        <v>3</v>
      </c>
      <c r="HP377" t="s">
        <v>3</v>
      </c>
      <c r="HQ377" t="s">
        <v>3</v>
      </c>
      <c r="IK377">
        <v>0</v>
      </c>
    </row>
    <row r="378" spans="1:245" x14ac:dyDescent="0.2">
      <c r="A378">
        <v>18</v>
      </c>
      <c r="B378">
        <v>1</v>
      </c>
      <c r="C378">
        <v>247</v>
      </c>
      <c r="E378" t="s">
        <v>275</v>
      </c>
      <c r="F378" t="s">
        <v>145</v>
      </c>
      <c r="G378" t="s">
        <v>276</v>
      </c>
      <c r="H378" t="s">
        <v>139</v>
      </c>
      <c r="I378">
        <f>I377*J378</f>
        <v>550.66</v>
      </c>
      <c r="J378">
        <v>109.99999999999999</v>
      </c>
      <c r="K378">
        <v>110</v>
      </c>
      <c r="O378">
        <f t="shared" si="310"/>
        <v>871876</v>
      </c>
      <c r="P378">
        <f t="shared" si="311"/>
        <v>871876</v>
      </c>
      <c r="Q378">
        <f t="shared" si="312"/>
        <v>0</v>
      </c>
      <c r="R378">
        <f t="shared" si="313"/>
        <v>0</v>
      </c>
      <c r="S378">
        <f t="shared" si="314"/>
        <v>0</v>
      </c>
      <c r="T378">
        <f t="shared" si="315"/>
        <v>0</v>
      </c>
      <c r="U378">
        <f t="shared" si="316"/>
        <v>0</v>
      </c>
      <c r="V378">
        <f t="shared" si="317"/>
        <v>0</v>
      </c>
      <c r="W378">
        <f t="shared" si="318"/>
        <v>0</v>
      </c>
      <c r="X378">
        <f t="shared" si="319"/>
        <v>0</v>
      </c>
      <c r="Y378">
        <f t="shared" si="320"/>
        <v>0</v>
      </c>
      <c r="AA378">
        <v>46416371</v>
      </c>
      <c r="AB378">
        <f t="shared" si="321"/>
        <v>1583.33</v>
      </c>
      <c r="AC378">
        <f t="shared" si="322"/>
        <v>1583.33</v>
      </c>
      <c r="AD378">
        <f>ROUND((((ET378)-(EU378))+AE378),6)</f>
        <v>0</v>
      </c>
      <c r="AE378">
        <f>ROUND((EU378),6)</f>
        <v>0</v>
      </c>
      <c r="AF378">
        <f>ROUND((EV378),6)</f>
        <v>0</v>
      </c>
      <c r="AG378">
        <f t="shared" si="323"/>
        <v>0</v>
      </c>
      <c r="AH378">
        <f>(EW378)</f>
        <v>0</v>
      </c>
      <c r="AI378">
        <f>(EX378)</f>
        <v>0</v>
      </c>
      <c r="AJ378">
        <f t="shared" si="324"/>
        <v>0</v>
      </c>
      <c r="AK378">
        <v>1583.33</v>
      </c>
      <c r="AL378">
        <v>1583.33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1</v>
      </c>
      <c r="AW378">
        <v>1</v>
      </c>
      <c r="AZ378">
        <v>1</v>
      </c>
      <c r="BA378">
        <v>1</v>
      </c>
      <c r="BB378">
        <v>1</v>
      </c>
      <c r="BC378">
        <v>1</v>
      </c>
      <c r="BD378" t="s">
        <v>3</v>
      </c>
      <c r="BE378" t="s">
        <v>3</v>
      </c>
      <c r="BF378" t="s">
        <v>3</v>
      </c>
      <c r="BG378" t="s">
        <v>3</v>
      </c>
      <c r="BH378">
        <v>3</v>
      </c>
      <c r="BI378">
        <v>4</v>
      </c>
      <c r="BJ378" t="s">
        <v>3</v>
      </c>
      <c r="BM378">
        <v>0</v>
      </c>
      <c r="BN378">
        <v>0</v>
      </c>
      <c r="BO378" t="s">
        <v>3</v>
      </c>
      <c r="BP378">
        <v>0</v>
      </c>
      <c r="BQ378">
        <v>16</v>
      </c>
      <c r="BR378">
        <v>0</v>
      </c>
      <c r="BS378">
        <v>1</v>
      </c>
      <c r="BT378">
        <v>1</v>
      </c>
      <c r="BU378">
        <v>1</v>
      </c>
      <c r="BV378">
        <v>1</v>
      </c>
      <c r="BW378">
        <v>1</v>
      </c>
      <c r="BX378">
        <v>1</v>
      </c>
      <c r="BY378" t="s">
        <v>3</v>
      </c>
      <c r="BZ378">
        <v>0</v>
      </c>
      <c r="CA378">
        <v>0</v>
      </c>
      <c r="CB378" t="s">
        <v>3</v>
      </c>
      <c r="CE378">
        <v>0</v>
      </c>
      <c r="CF378">
        <v>0</v>
      </c>
      <c r="CG378">
        <v>0</v>
      </c>
      <c r="CM378">
        <v>0</v>
      </c>
      <c r="CN378" t="s">
        <v>3</v>
      </c>
      <c r="CO378">
        <v>0</v>
      </c>
      <c r="CP378">
        <f t="shared" si="325"/>
        <v>871876</v>
      </c>
      <c r="CQ378">
        <f t="shared" si="326"/>
        <v>1583.33</v>
      </c>
      <c r="CR378">
        <f t="shared" si="327"/>
        <v>0</v>
      </c>
      <c r="CS378">
        <f t="shared" si="328"/>
        <v>0</v>
      </c>
      <c r="CT378">
        <f t="shared" si="329"/>
        <v>0</v>
      </c>
      <c r="CU378">
        <f t="shared" si="330"/>
        <v>0</v>
      </c>
      <c r="CV378">
        <f t="shared" si="331"/>
        <v>0</v>
      </c>
      <c r="CW378">
        <f t="shared" si="332"/>
        <v>0</v>
      </c>
      <c r="CX378">
        <f t="shared" si="333"/>
        <v>0</v>
      </c>
      <c r="CY378">
        <f t="shared" si="334"/>
        <v>0</v>
      </c>
      <c r="CZ378">
        <f t="shared" si="335"/>
        <v>0</v>
      </c>
      <c r="DC378" t="s">
        <v>3</v>
      </c>
      <c r="DD378" t="s">
        <v>3</v>
      </c>
      <c r="DE378" t="s">
        <v>3</v>
      </c>
      <c r="DF378" t="s">
        <v>3</v>
      </c>
      <c r="DG378" t="s">
        <v>3</v>
      </c>
      <c r="DH378" t="s">
        <v>3</v>
      </c>
      <c r="DI378" t="s">
        <v>3</v>
      </c>
      <c r="DJ378" t="s">
        <v>3</v>
      </c>
      <c r="DK378" t="s">
        <v>3</v>
      </c>
      <c r="DL378" t="s">
        <v>3</v>
      </c>
      <c r="DM378" t="s">
        <v>3</v>
      </c>
      <c r="DN378">
        <v>0</v>
      </c>
      <c r="DO378">
        <v>0</v>
      </c>
      <c r="DP378">
        <v>1</v>
      </c>
      <c r="DQ378">
        <v>1</v>
      </c>
      <c r="DU378">
        <v>1007</v>
      </c>
      <c r="DV378" t="s">
        <v>139</v>
      </c>
      <c r="DW378" t="s">
        <v>139</v>
      </c>
      <c r="DX378">
        <v>1</v>
      </c>
      <c r="DZ378" t="s">
        <v>3</v>
      </c>
      <c r="EA378" t="s">
        <v>3</v>
      </c>
      <c r="EB378" t="s">
        <v>3</v>
      </c>
      <c r="EC378" t="s">
        <v>3</v>
      </c>
      <c r="EE378">
        <v>42475850</v>
      </c>
      <c r="EF378">
        <v>16</v>
      </c>
      <c r="EG378" t="s">
        <v>147</v>
      </c>
      <c r="EH378">
        <v>0</v>
      </c>
      <c r="EI378" t="s">
        <v>3</v>
      </c>
      <c r="EJ378">
        <v>4</v>
      </c>
      <c r="EK378">
        <v>0</v>
      </c>
      <c r="EL378" t="s">
        <v>148</v>
      </c>
      <c r="EM378" t="s">
        <v>149</v>
      </c>
      <c r="EO378" t="s">
        <v>3</v>
      </c>
      <c r="EQ378">
        <v>2097152</v>
      </c>
      <c r="ER378">
        <v>1583.33</v>
      </c>
      <c r="ES378">
        <v>1583.33</v>
      </c>
      <c r="ET378">
        <v>0</v>
      </c>
      <c r="EU378">
        <v>0</v>
      </c>
      <c r="EV378">
        <v>0</v>
      </c>
      <c r="EW378">
        <v>0</v>
      </c>
      <c r="EX378">
        <v>0</v>
      </c>
      <c r="EZ378">
        <v>5</v>
      </c>
      <c r="FC378">
        <v>1</v>
      </c>
      <c r="FD378">
        <v>18</v>
      </c>
      <c r="FF378">
        <v>1900</v>
      </c>
      <c r="FQ378">
        <v>0</v>
      </c>
      <c r="FR378">
        <f t="shared" si="336"/>
        <v>0</v>
      </c>
      <c r="FS378">
        <v>0</v>
      </c>
      <c r="FX378">
        <v>0</v>
      </c>
      <c r="FY378">
        <v>0</v>
      </c>
      <c r="GA378" t="s">
        <v>277</v>
      </c>
      <c r="GD378">
        <v>1</v>
      </c>
      <c r="GF378">
        <v>-96577914</v>
      </c>
      <c r="GG378">
        <v>2</v>
      </c>
      <c r="GH378">
        <v>3</v>
      </c>
      <c r="GI378">
        <v>4</v>
      </c>
      <c r="GJ378">
        <v>0</v>
      </c>
      <c r="GK378">
        <v>0</v>
      </c>
      <c r="GL378">
        <f t="shared" si="337"/>
        <v>0</v>
      </c>
      <c r="GM378">
        <f t="shared" si="338"/>
        <v>871876</v>
      </c>
      <c r="GN378">
        <f t="shared" si="339"/>
        <v>0</v>
      </c>
      <c r="GO378">
        <f t="shared" si="340"/>
        <v>0</v>
      </c>
      <c r="GP378">
        <f t="shared" si="341"/>
        <v>871876</v>
      </c>
      <c r="GR378">
        <v>1</v>
      </c>
      <c r="GS378">
        <v>1</v>
      </c>
      <c r="GT378">
        <v>0</v>
      </c>
      <c r="GU378" t="s">
        <v>3</v>
      </c>
      <c r="GV378">
        <f t="shared" si="342"/>
        <v>0</v>
      </c>
      <c r="GW378">
        <v>1</v>
      </c>
      <c r="GX378">
        <f t="shared" si="343"/>
        <v>0</v>
      </c>
      <c r="HA378">
        <v>0</v>
      </c>
      <c r="HB378">
        <v>0</v>
      </c>
      <c r="HC378">
        <f t="shared" si="344"/>
        <v>0</v>
      </c>
      <c r="HE378" t="s">
        <v>151</v>
      </c>
      <c r="HF378" t="s">
        <v>151</v>
      </c>
      <c r="HM378" t="s">
        <v>3</v>
      </c>
      <c r="HN378" t="s">
        <v>3</v>
      </c>
      <c r="HO378" t="s">
        <v>3</v>
      </c>
      <c r="HP378" t="s">
        <v>3</v>
      </c>
      <c r="HQ378" t="s">
        <v>3</v>
      </c>
      <c r="IK378">
        <v>0</v>
      </c>
    </row>
    <row r="379" spans="1:245" x14ac:dyDescent="0.2">
      <c r="A379">
        <v>17</v>
      </c>
      <c r="B379">
        <v>1</v>
      </c>
      <c r="C379">
        <f>ROW(SmtRes!A250)</f>
        <v>250</v>
      </c>
      <c r="D379">
        <f>ROW(EtalonRes!A237)</f>
        <v>237</v>
      </c>
      <c r="E379" t="s">
        <v>155</v>
      </c>
      <c r="F379" t="s">
        <v>278</v>
      </c>
      <c r="G379" t="s">
        <v>279</v>
      </c>
      <c r="H379" t="s">
        <v>280</v>
      </c>
      <c r="I379">
        <v>0.44</v>
      </c>
      <c r="J379">
        <v>0</v>
      </c>
      <c r="K379">
        <v>0.44</v>
      </c>
      <c r="O379">
        <f t="shared" si="310"/>
        <v>6065</v>
      </c>
      <c r="P379">
        <f t="shared" si="311"/>
        <v>5812</v>
      </c>
      <c r="Q379">
        <f t="shared" si="312"/>
        <v>253</v>
      </c>
      <c r="R379">
        <f t="shared" si="313"/>
        <v>117</v>
      </c>
      <c r="S379">
        <f t="shared" si="314"/>
        <v>0</v>
      </c>
      <c r="T379">
        <f t="shared" si="315"/>
        <v>0</v>
      </c>
      <c r="U379">
        <f t="shared" si="316"/>
        <v>0</v>
      </c>
      <c r="V379">
        <f t="shared" si="317"/>
        <v>0.33395999999999998</v>
      </c>
      <c r="W379">
        <f t="shared" si="318"/>
        <v>0</v>
      </c>
      <c r="X379">
        <f t="shared" si="319"/>
        <v>166</v>
      </c>
      <c r="Y379">
        <f t="shared" si="320"/>
        <v>111</v>
      </c>
      <c r="AA379">
        <v>46416371</v>
      </c>
      <c r="AB379">
        <f t="shared" si="321"/>
        <v>1636.3485000000001</v>
      </c>
      <c r="AC379">
        <f t="shared" si="322"/>
        <v>1593.35</v>
      </c>
      <c r="AD379">
        <f>ROUND(((((ET379*1.15))-((EU379*1.15)))+AE379),6)</f>
        <v>42.9985</v>
      </c>
      <c r="AE379">
        <f>ROUND(((EU379*1.15)),6)</f>
        <v>7.6820000000000004</v>
      </c>
      <c r="AF379">
        <f>ROUND(((EV379*1.15)),6)</f>
        <v>0</v>
      </c>
      <c r="AG379">
        <f t="shared" si="323"/>
        <v>0</v>
      </c>
      <c r="AH379">
        <f>((EW379*1.15))</f>
        <v>0</v>
      </c>
      <c r="AI379">
        <f>((EX379*1.15))</f>
        <v>0.75900000000000001</v>
      </c>
      <c r="AJ379">
        <f t="shared" si="324"/>
        <v>0</v>
      </c>
      <c r="AK379">
        <v>1630.74</v>
      </c>
      <c r="AL379">
        <v>1593.35</v>
      </c>
      <c r="AM379">
        <v>37.39</v>
      </c>
      <c r="AN379">
        <v>6.68</v>
      </c>
      <c r="AO379">
        <v>0</v>
      </c>
      <c r="AP379">
        <v>0</v>
      </c>
      <c r="AQ379">
        <v>0</v>
      </c>
      <c r="AR379">
        <v>0.66</v>
      </c>
      <c r="AS379">
        <v>0</v>
      </c>
      <c r="AT379">
        <v>142</v>
      </c>
      <c r="AU379">
        <v>95</v>
      </c>
      <c r="AV379">
        <v>1</v>
      </c>
      <c r="AW379">
        <v>1</v>
      </c>
      <c r="AZ379">
        <v>1</v>
      </c>
      <c r="BA379">
        <v>34.75</v>
      </c>
      <c r="BB379">
        <v>13.36</v>
      </c>
      <c r="BC379">
        <v>8.2899999999999991</v>
      </c>
      <c r="BD379" t="s">
        <v>3</v>
      </c>
      <c r="BE379" t="s">
        <v>3</v>
      </c>
      <c r="BF379" t="s">
        <v>3</v>
      </c>
      <c r="BG379" t="s">
        <v>3</v>
      </c>
      <c r="BH379">
        <v>0</v>
      </c>
      <c r="BI379">
        <v>1</v>
      </c>
      <c r="BJ379" t="s">
        <v>281</v>
      </c>
      <c r="BM379">
        <v>27001</v>
      </c>
      <c r="BN379">
        <v>0</v>
      </c>
      <c r="BO379" t="s">
        <v>3</v>
      </c>
      <c r="BP379">
        <v>0</v>
      </c>
      <c r="BQ379">
        <v>2</v>
      </c>
      <c r="BR379">
        <v>0</v>
      </c>
      <c r="BS379">
        <v>34.75</v>
      </c>
      <c r="BT379">
        <v>1</v>
      </c>
      <c r="BU379">
        <v>1</v>
      </c>
      <c r="BV379">
        <v>1</v>
      </c>
      <c r="BW379">
        <v>1</v>
      </c>
      <c r="BX379">
        <v>1</v>
      </c>
      <c r="BY379" t="s">
        <v>3</v>
      </c>
      <c r="BZ379">
        <v>142</v>
      </c>
      <c r="CA379">
        <v>95</v>
      </c>
      <c r="CB379" t="s">
        <v>3</v>
      </c>
      <c r="CE379">
        <v>0</v>
      </c>
      <c r="CF379">
        <v>0</v>
      </c>
      <c r="CG379">
        <v>0</v>
      </c>
      <c r="CM379">
        <v>0</v>
      </c>
      <c r="CN379" t="s">
        <v>675</v>
      </c>
      <c r="CO379">
        <v>0</v>
      </c>
      <c r="CP379">
        <f t="shared" si="325"/>
        <v>6065</v>
      </c>
      <c r="CQ379">
        <f t="shared" si="326"/>
        <v>13208.871499999997</v>
      </c>
      <c r="CR379">
        <f t="shared" si="327"/>
        <v>574.45996000000002</v>
      </c>
      <c r="CS379">
        <f t="shared" si="328"/>
        <v>266.9495</v>
      </c>
      <c r="CT379">
        <f t="shared" si="329"/>
        <v>0</v>
      </c>
      <c r="CU379">
        <f t="shared" si="330"/>
        <v>0</v>
      </c>
      <c r="CV379">
        <f t="shared" si="331"/>
        <v>0</v>
      </c>
      <c r="CW379">
        <f t="shared" si="332"/>
        <v>0.75900000000000001</v>
      </c>
      <c r="CX379">
        <f t="shared" si="333"/>
        <v>0</v>
      </c>
      <c r="CY379">
        <f t="shared" si="334"/>
        <v>166.14</v>
      </c>
      <c r="CZ379">
        <f t="shared" si="335"/>
        <v>111.15</v>
      </c>
      <c r="DC379" t="s">
        <v>3</v>
      </c>
      <c r="DD379" t="s">
        <v>3</v>
      </c>
      <c r="DE379" t="s">
        <v>31</v>
      </c>
      <c r="DF379" t="s">
        <v>31</v>
      </c>
      <c r="DG379" t="s">
        <v>31</v>
      </c>
      <c r="DH379" t="s">
        <v>3</v>
      </c>
      <c r="DI379" t="s">
        <v>31</v>
      </c>
      <c r="DJ379" t="s">
        <v>31</v>
      </c>
      <c r="DK379" t="s">
        <v>3</v>
      </c>
      <c r="DL379" t="s">
        <v>3</v>
      </c>
      <c r="DM379" t="s">
        <v>3</v>
      </c>
      <c r="DN379">
        <v>0</v>
      </c>
      <c r="DO379">
        <v>0</v>
      </c>
      <c r="DP379">
        <v>1</v>
      </c>
      <c r="DQ379">
        <v>1</v>
      </c>
      <c r="DU379">
        <v>1013</v>
      </c>
      <c r="DV379" t="s">
        <v>280</v>
      </c>
      <c r="DW379" t="s">
        <v>280</v>
      </c>
      <c r="DX379">
        <v>1</v>
      </c>
      <c r="DZ379" t="s">
        <v>3</v>
      </c>
      <c r="EA379" t="s">
        <v>3</v>
      </c>
      <c r="EB379" t="s">
        <v>3</v>
      </c>
      <c r="EC379" t="s">
        <v>3</v>
      </c>
      <c r="EE379">
        <v>42475950</v>
      </c>
      <c r="EF379">
        <v>2</v>
      </c>
      <c r="EG379" t="s">
        <v>22</v>
      </c>
      <c r="EH379">
        <v>0</v>
      </c>
      <c r="EI379" t="s">
        <v>3</v>
      </c>
      <c r="EJ379">
        <v>1</v>
      </c>
      <c r="EK379">
        <v>27001</v>
      </c>
      <c r="EL379" t="s">
        <v>248</v>
      </c>
      <c r="EM379" t="s">
        <v>249</v>
      </c>
      <c r="EO379" t="s">
        <v>34</v>
      </c>
      <c r="EQ379">
        <v>0</v>
      </c>
      <c r="ER379">
        <v>1630.74</v>
      </c>
      <c r="ES379">
        <v>1593.35</v>
      </c>
      <c r="ET379">
        <v>37.39</v>
      </c>
      <c r="EU379">
        <v>6.68</v>
      </c>
      <c r="EV379">
        <v>0</v>
      </c>
      <c r="EW379">
        <v>0</v>
      </c>
      <c r="EX379">
        <v>0.66</v>
      </c>
      <c r="EY379">
        <v>0</v>
      </c>
      <c r="FQ379">
        <v>0</v>
      </c>
      <c r="FR379">
        <f t="shared" si="336"/>
        <v>0</v>
      </c>
      <c r="FS379">
        <v>0</v>
      </c>
      <c r="FX379">
        <v>142</v>
      </c>
      <c r="FY379">
        <v>95</v>
      </c>
      <c r="GA379" t="s">
        <v>3</v>
      </c>
      <c r="GD379">
        <v>1</v>
      </c>
      <c r="GF379">
        <v>-964121865</v>
      </c>
      <c r="GG379">
        <v>2</v>
      </c>
      <c r="GH379">
        <v>1</v>
      </c>
      <c r="GI379">
        <v>4</v>
      </c>
      <c r="GJ379">
        <v>0</v>
      </c>
      <c r="GK379">
        <v>0</v>
      </c>
      <c r="GL379">
        <f t="shared" si="337"/>
        <v>0</v>
      </c>
      <c r="GM379">
        <f t="shared" si="338"/>
        <v>6342</v>
      </c>
      <c r="GN379">
        <f t="shared" si="339"/>
        <v>6342</v>
      </c>
      <c r="GO379">
        <f t="shared" si="340"/>
        <v>0</v>
      </c>
      <c r="GP379">
        <f t="shared" si="341"/>
        <v>0</v>
      </c>
      <c r="GR379">
        <v>0</v>
      </c>
      <c r="GS379">
        <v>3</v>
      </c>
      <c r="GT379">
        <v>0</v>
      </c>
      <c r="GU379" t="s">
        <v>3</v>
      </c>
      <c r="GV379">
        <f t="shared" si="342"/>
        <v>0</v>
      </c>
      <c r="GW379">
        <v>1</v>
      </c>
      <c r="GX379">
        <f t="shared" si="343"/>
        <v>0</v>
      </c>
      <c r="HA379">
        <v>0</v>
      </c>
      <c r="HB379">
        <v>0</v>
      </c>
      <c r="HC379">
        <f t="shared" si="344"/>
        <v>0</v>
      </c>
      <c r="HE379" t="s">
        <v>3</v>
      </c>
      <c r="HF379" t="s">
        <v>3</v>
      </c>
      <c r="HM379" t="s">
        <v>3</v>
      </c>
      <c r="HN379" t="s">
        <v>3</v>
      </c>
      <c r="HO379" t="s">
        <v>3</v>
      </c>
      <c r="HP379" t="s">
        <v>3</v>
      </c>
      <c r="HQ379" t="s">
        <v>3</v>
      </c>
      <c r="IK379">
        <v>0</v>
      </c>
    </row>
    <row r="380" spans="1:245" x14ac:dyDescent="0.2">
      <c r="A380">
        <v>17</v>
      </c>
      <c r="B380">
        <v>1</v>
      </c>
      <c r="C380">
        <f>ROW(SmtRes!A275)</f>
        <v>275</v>
      </c>
      <c r="D380">
        <f>ROW(EtalonRes!A261)</f>
        <v>261</v>
      </c>
      <c r="E380" t="s">
        <v>202</v>
      </c>
      <c r="F380" t="s">
        <v>282</v>
      </c>
      <c r="G380" t="s">
        <v>283</v>
      </c>
      <c r="H380" t="s">
        <v>284</v>
      </c>
      <c r="I380">
        <v>1.8120000000000001</v>
      </c>
      <c r="J380">
        <v>0</v>
      </c>
      <c r="K380">
        <f>ROUND(561/1000,9)</f>
        <v>0.56100000000000005</v>
      </c>
      <c r="O380">
        <f t="shared" si="310"/>
        <v>1209841</v>
      </c>
      <c r="P380">
        <f t="shared" si="311"/>
        <v>555120</v>
      </c>
      <c r="Q380">
        <f t="shared" si="312"/>
        <v>642380</v>
      </c>
      <c r="R380">
        <f t="shared" si="313"/>
        <v>48537</v>
      </c>
      <c r="S380">
        <f t="shared" si="314"/>
        <v>12341</v>
      </c>
      <c r="T380">
        <f t="shared" si="315"/>
        <v>0</v>
      </c>
      <c r="U380">
        <f t="shared" si="316"/>
        <v>43.468067999999995</v>
      </c>
      <c r="V380">
        <f t="shared" si="317"/>
        <v>116.58861</v>
      </c>
      <c r="W380">
        <f t="shared" si="318"/>
        <v>0</v>
      </c>
      <c r="X380">
        <f t="shared" si="319"/>
        <v>86447</v>
      </c>
      <c r="Y380">
        <f t="shared" si="320"/>
        <v>57834</v>
      </c>
      <c r="AA380">
        <v>46416371</v>
      </c>
      <c r="AB380">
        <f t="shared" si="321"/>
        <v>63686.576999999997</v>
      </c>
      <c r="AC380">
        <f t="shared" si="322"/>
        <v>36955.08</v>
      </c>
      <c r="AD380">
        <f>ROUND(((((ET380*1.15*3))-((EU380*1.15*3)))+AE380),6)</f>
        <v>26535.502499999999</v>
      </c>
      <c r="AE380">
        <f>ROUND(((EU380*1.15*3)),6)</f>
        <v>770.83349999999996</v>
      </c>
      <c r="AF380">
        <f>ROUND(((EV380*1.15)),6)</f>
        <v>195.99449999999999</v>
      </c>
      <c r="AG380">
        <f t="shared" si="323"/>
        <v>0</v>
      </c>
      <c r="AH380">
        <f>((EW380*1.15))</f>
        <v>23.988999999999997</v>
      </c>
      <c r="AI380">
        <f>((EX380*1.15*3))</f>
        <v>64.342500000000001</v>
      </c>
      <c r="AJ380">
        <f t="shared" si="324"/>
        <v>0</v>
      </c>
      <c r="AK380">
        <v>44816.959999999999</v>
      </c>
      <c r="AL380">
        <v>36955.08</v>
      </c>
      <c r="AM380">
        <v>7691.45</v>
      </c>
      <c r="AN380">
        <v>223.43</v>
      </c>
      <c r="AO380">
        <v>170.43</v>
      </c>
      <c r="AP380">
        <v>0</v>
      </c>
      <c r="AQ380">
        <v>20.86</v>
      </c>
      <c r="AR380">
        <v>18.649999999999999</v>
      </c>
      <c r="AS380">
        <v>0</v>
      </c>
      <c r="AT380">
        <v>142</v>
      </c>
      <c r="AU380">
        <v>95</v>
      </c>
      <c r="AV380">
        <v>1</v>
      </c>
      <c r="AW380">
        <v>1</v>
      </c>
      <c r="AZ380">
        <v>1</v>
      </c>
      <c r="BA380">
        <v>34.75</v>
      </c>
      <c r="BB380">
        <v>13.36</v>
      </c>
      <c r="BC380">
        <v>8.2899999999999991</v>
      </c>
      <c r="BD380" t="s">
        <v>3</v>
      </c>
      <c r="BE380" t="s">
        <v>3</v>
      </c>
      <c r="BF380" t="s">
        <v>3</v>
      </c>
      <c r="BG380" t="s">
        <v>3</v>
      </c>
      <c r="BH380">
        <v>0</v>
      </c>
      <c r="BI380">
        <v>1</v>
      </c>
      <c r="BJ380" t="s">
        <v>285</v>
      </c>
      <c r="BM380">
        <v>27001</v>
      </c>
      <c r="BN380">
        <v>0</v>
      </c>
      <c r="BO380" t="s">
        <v>3</v>
      </c>
      <c r="BP380">
        <v>0</v>
      </c>
      <c r="BQ380">
        <v>2</v>
      </c>
      <c r="BR380">
        <v>0</v>
      </c>
      <c r="BS380">
        <v>34.75</v>
      </c>
      <c r="BT380">
        <v>1</v>
      </c>
      <c r="BU380">
        <v>1</v>
      </c>
      <c r="BV380">
        <v>1</v>
      </c>
      <c r="BW380">
        <v>1</v>
      </c>
      <c r="BX380">
        <v>1</v>
      </c>
      <c r="BY380" t="s">
        <v>3</v>
      </c>
      <c r="BZ380">
        <v>142</v>
      </c>
      <c r="CA380">
        <v>95</v>
      </c>
      <c r="CB380" t="s">
        <v>3</v>
      </c>
      <c r="CE380">
        <v>0</v>
      </c>
      <c r="CF380">
        <v>0</v>
      </c>
      <c r="CG380">
        <v>0</v>
      </c>
      <c r="CM380">
        <v>0</v>
      </c>
      <c r="CN380" t="s">
        <v>675</v>
      </c>
      <c r="CO380">
        <v>0</v>
      </c>
      <c r="CP380">
        <f t="shared" si="325"/>
        <v>1209841</v>
      </c>
      <c r="CQ380">
        <f t="shared" si="326"/>
        <v>306357.61319999996</v>
      </c>
      <c r="CR380">
        <f t="shared" si="327"/>
        <v>354514.31339999998</v>
      </c>
      <c r="CS380">
        <f t="shared" si="328"/>
        <v>26786.464124999999</v>
      </c>
      <c r="CT380">
        <f t="shared" si="329"/>
        <v>6810.8088749999997</v>
      </c>
      <c r="CU380">
        <f t="shared" si="330"/>
        <v>0</v>
      </c>
      <c r="CV380">
        <f t="shared" si="331"/>
        <v>23.988999999999997</v>
      </c>
      <c r="CW380">
        <f t="shared" si="332"/>
        <v>64.342500000000001</v>
      </c>
      <c r="CX380">
        <f t="shared" si="333"/>
        <v>0</v>
      </c>
      <c r="CY380">
        <f t="shared" si="334"/>
        <v>86446.76</v>
      </c>
      <c r="CZ380">
        <f t="shared" si="335"/>
        <v>57834.1</v>
      </c>
      <c r="DC380" t="s">
        <v>3</v>
      </c>
      <c r="DD380" t="s">
        <v>3</v>
      </c>
      <c r="DE380" t="s">
        <v>286</v>
      </c>
      <c r="DF380" t="s">
        <v>286</v>
      </c>
      <c r="DG380" t="s">
        <v>31</v>
      </c>
      <c r="DH380" t="s">
        <v>3</v>
      </c>
      <c r="DI380" t="s">
        <v>31</v>
      </c>
      <c r="DJ380" t="s">
        <v>286</v>
      </c>
      <c r="DK380" t="s">
        <v>3</v>
      </c>
      <c r="DL380" t="s">
        <v>3</v>
      </c>
      <c r="DM380" t="s">
        <v>3</v>
      </c>
      <c r="DN380">
        <v>0</v>
      </c>
      <c r="DO380">
        <v>0</v>
      </c>
      <c r="DP380">
        <v>1</v>
      </c>
      <c r="DQ380">
        <v>1</v>
      </c>
      <c r="DU380">
        <v>1013</v>
      </c>
      <c r="DV380" t="s">
        <v>284</v>
      </c>
      <c r="DW380" t="s">
        <v>284</v>
      </c>
      <c r="DX380">
        <v>1</v>
      </c>
      <c r="DZ380" t="s">
        <v>3</v>
      </c>
      <c r="EA380" t="s">
        <v>3</v>
      </c>
      <c r="EB380" t="s">
        <v>3</v>
      </c>
      <c r="EC380" t="s">
        <v>3</v>
      </c>
      <c r="EE380">
        <v>42475950</v>
      </c>
      <c r="EF380">
        <v>2</v>
      </c>
      <c r="EG380" t="s">
        <v>22</v>
      </c>
      <c r="EH380">
        <v>0</v>
      </c>
      <c r="EI380" t="s">
        <v>3</v>
      </c>
      <c r="EJ380">
        <v>1</v>
      </c>
      <c r="EK380">
        <v>27001</v>
      </c>
      <c r="EL380" t="s">
        <v>248</v>
      </c>
      <c r="EM380" t="s">
        <v>249</v>
      </c>
      <c r="EO380" t="s">
        <v>34</v>
      </c>
      <c r="EQ380">
        <v>0</v>
      </c>
      <c r="ER380">
        <v>44816.959999999999</v>
      </c>
      <c r="ES380">
        <v>36955.08</v>
      </c>
      <c r="ET380">
        <v>7691.45</v>
      </c>
      <c r="EU380">
        <v>223.43</v>
      </c>
      <c r="EV380">
        <v>170.43</v>
      </c>
      <c r="EW380">
        <v>20.86</v>
      </c>
      <c r="EX380">
        <v>18.649999999999999</v>
      </c>
      <c r="EY380">
        <v>0</v>
      </c>
      <c r="FQ380">
        <v>0</v>
      </c>
      <c r="FR380">
        <f t="shared" si="336"/>
        <v>0</v>
      </c>
      <c r="FS380">
        <v>0</v>
      </c>
      <c r="FX380">
        <v>142</v>
      </c>
      <c r="FY380">
        <v>95</v>
      </c>
      <c r="GA380" t="s">
        <v>3</v>
      </c>
      <c r="GD380">
        <v>1</v>
      </c>
      <c r="GF380">
        <v>22958524</v>
      </c>
      <c r="GG380">
        <v>2</v>
      </c>
      <c r="GH380">
        <v>1</v>
      </c>
      <c r="GI380">
        <v>4</v>
      </c>
      <c r="GJ380">
        <v>0</v>
      </c>
      <c r="GK380">
        <v>0</v>
      </c>
      <c r="GL380">
        <f t="shared" si="337"/>
        <v>0</v>
      </c>
      <c r="GM380">
        <f t="shared" si="338"/>
        <v>1354122</v>
      </c>
      <c r="GN380">
        <f t="shared" si="339"/>
        <v>1354122</v>
      </c>
      <c r="GO380">
        <f t="shared" si="340"/>
        <v>0</v>
      </c>
      <c r="GP380">
        <f t="shared" si="341"/>
        <v>0</v>
      </c>
      <c r="GR380">
        <v>0</v>
      </c>
      <c r="GS380">
        <v>3</v>
      </c>
      <c r="GT380">
        <v>0</v>
      </c>
      <c r="GU380" t="s">
        <v>3</v>
      </c>
      <c r="GV380">
        <f t="shared" si="342"/>
        <v>0</v>
      </c>
      <c r="GW380">
        <v>1</v>
      </c>
      <c r="GX380">
        <f t="shared" si="343"/>
        <v>0</v>
      </c>
      <c r="HA380">
        <v>0</v>
      </c>
      <c r="HB380">
        <v>0</v>
      </c>
      <c r="HC380">
        <f t="shared" si="344"/>
        <v>0</v>
      </c>
      <c r="HE380" t="s">
        <v>3</v>
      </c>
      <c r="HF380" t="s">
        <v>3</v>
      </c>
      <c r="HM380" t="s">
        <v>3</v>
      </c>
      <c r="HN380" t="s">
        <v>3</v>
      </c>
      <c r="HO380" t="s">
        <v>3</v>
      </c>
      <c r="HP380" t="s">
        <v>3</v>
      </c>
      <c r="HQ380" t="s">
        <v>3</v>
      </c>
      <c r="IK380">
        <v>0</v>
      </c>
    </row>
    <row r="381" spans="1:245" x14ac:dyDescent="0.2">
      <c r="A381">
        <v>18</v>
      </c>
      <c r="B381">
        <v>1</v>
      </c>
      <c r="C381">
        <v>273</v>
      </c>
      <c r="E381" t="s">
        <v>204</v>
      </c>
      <c r="F381" t="s">
        <v>287</v>
      </c>
      <c r="G381" t="s">
        <v>288</v>
      </c>
      <c r="H381" t="s">
        <v>184</v>
      </c>
      <c r="I381">
        <f>I380*J381</f>
        <v>-190.73112</v>
      </c>
      <c r="J381">
        <v>-105.26</v>
      </c>
      <c r="K381">
        <v>-105.26</v>
      </c>
      <c r="O381">
        <f t="shared" si="310"/>
        <v>-540899</v>
      </c>
      <c r="P381">
        <f t="shared" si="311"/>
        <v>-540899</v>
      </c>
      <c r="Q381">
        <f t="shared" si="312"/>
        <v>0</v>
      </c>
      <c r="R381">
        <f t="shared" si="313"/>
        <v>0</v>
      </c>
      <c r="S381">
        <f t="shared" si="314"/>
        <v>0</v>
      </c>
      <c r="T381">
        <f t="shared" si="315"/>
        <v>0</v>
      </c>
      <c r="U381">
        <f t="shared" si="316"/>
        <v>0</v>
      </c>
      <c r="V381">
        <f t="shared" si="317"/>
        <v>0</v>
      </c>
      <c r="W381">
        <f t="shared" si="318"/>
        <v>0</v>
      </c>
      <c r="X381">
        <f t="shared" si="319"/>
        <v>0</v>
      </c>
      <c r="Y381">
        <f t="shared" si="320"/>
        <v>0</v>
      </c>
      <c r="AA381">
        <v>46416371</v>
      </c>
      <c r="AB381">
        <f t="shared" si="321"/>
        <v>342.09</v>
      </c>
      <c r="AC381">
        <f t="shared" si="322"/>
        <v>342.09</v>
      </c>
      <c r="AD381">
        <f>ROUND((((ET381)-(EU381))+AE381),6)</f>
        <v>0</v>
      </c>
      <c r="AE381">
        <f>ROUND((EU381),6)</f>
        <v>0</v>
      </c>
      <c r="AF381">
        <f>ROUND((EV381),6)</f>
        <v>0</v>
      </c>
      <c r="AG381">
        <f t="shared" si="323"/>
        <v>0</v>
      </c>
      <c r="AH381">
        <f>(EW381)</f>
        <v>0</v>
      </c>
      <c r="AI381">
        <f>(EX381)</f>
        <v>0</v>
      </c>
      <c r="AJ381">
        <f t="shared" si="324"/>
        <v>0</v>
      </c>
      <c r="AK381">
        <v>342.09</v>
      </c>
      <c r="AL381">
        <v>342.09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1</v>
      </c>
      <c r="AW381">
        <v>1</v>
      </c>
      <c r="AZ381">
        <v>1</v>
      </c>
      <c r="BA381">
        <v>1</v>
      </c>
      <c r="BB381">
        <v>1</v>
      </c>
      <c r="BC381">
        <v>8.2899999999999991</v>
      </c>
      <c r="BD381" t="s">
        <v>3</v>
      </c>
      <c r="BE381" t="s">
        <v>3</v>
      </c>
      <c r="BF381" t="s">
        <v>3</v>
      </c>
      <c r="BG381" t="s">
        <v>3</v>
      </c>
      <c r="BH381">
        <v>3</v>
      </c>
      <c r="BI381">
        <v>1</v>
      </c>
      <c r="BJ381" t="s">
        <v>289</v>
      </c>
      <c r="BM381">
        <v>500001</v>
      </c>
      <c r="BN381">
        <v>0</v>
      </c>
      <c r="BO381" t="s">
        <v>3</v>
      </c>
      <c r="BP381">
        <v>0</v>
      </c>
      <c r="BQ381">
        <v>8</v>
      </c>
      <c r="BR381">
        <v>1</v>
      </c>
      <c r="BS381">
        <v>1</v>
      </c>
      <c r="BT381">
        <v>1</v>
      </c>
      <c r="BU381">
        <v>1</v>
      </c>
      <c r="BV381">
        <v>1</v>
      </c>
      <c r="BW381">
        <v>1</v>
      </c>
      <c r="BX381">
        <v>1</v>
      </c>
      <c r="BY381" t="s">
        <v>3</v>
      </c>
      <c r="BZ381">
        <v>0</v>
      </c>
      <c r="CA381">
        <v>0</v>
      </c>
      <c r="CB381" t="s">
        <v>3</v>
      </c>
      <c r="CE381">
        <v>0</v>
      </c>
      <c r="CF381">
        <v>0</v>
      </c>
      <c r="CG381">
        <v>0</v>
      </c>
      <c r="CM381">
        <v>0</v>
      </c>
      <c r="CN381" t="s">
        <v>3</v>
      </c>
      <c r="CO381">
        <v>0</v>
      </c>
      <c r="CP381">
        <f t="shared" si="325"/>
        <v>-540899</v>
      </c>
      <c r="CQ381">
        <f t="shared" si="326"/>
        <v>2835.9260999999997</v>
      </c>
      <c r="CR381">
        <f t="shared" si="327"/>
        <v>0</v>
      </c>
      <c r="CS381">
        <f t="shared" si="328"/>
        <v>0</v>
      </c>
      <c r="CT381">
        <f t="shared" si="329"/>
        <v>0</v>
      </c>
      <c r="CU381">
        <f t="shared" si="330"/>
        <v>0</v>
      </c>
      <c r="CV381">
        <f t="shared" si="331"/>
        <v>0</v>
      </c>
      <c r="CW381">
        <f t="shared" si="332"/>
        <v>0</v>
      </c>
      <c r="CX381">
        <f t="shared" si="333"/>
        <v>0</v>
      </c>
      <c r="CY381">
        <f t="shared" si="334"/>
        <v>0</v>
      </c>
      <c r="CZ381">
        <f t="shared" si="335"/>
        <v>0</v>
      </c>
      <c r="DC381" t="s">
        <v>3</v>
      </c>
      <c r="DD381" t="s">
        <v>3</v>
      </c>
      <c r="DE381" t="s">
        <v>3</v>
      </c>
      <c r="DF381" t="s">
        <v>3</v>
      </c>
      <c r="DG381" t="s">
        <v>3</v>
      </c>
      <c r="DH381" t="s">
        <v>3</v>
      </c>
      <c r="DI381" t="s">
        <v>3</v>
      </c>
      <c r="DJ381" t="s">
        <v>3</v>
      </c>
      <c r="DK381" t="s">
        <v>3</v>
      </c>
      <c r="DL381" t="s">
        <v>3</v>
      </c>
      <c r="DM381" t="s">
        <v>3</v>
      </c>
      <c r="DN381">
        <v>0</v>
      </c>
      <c r="DO381">
        <v>0</v>
      </c>
      <c r="DP381">
        <v>1</v>
      </c>
      <c r="DQ381">
        <v>1</v>
      </c>
      <c r="DU381">
        <v>1009</v>
      </c>
      <c r="DV381" t="s">
        <v>184</v>
      </c>
      <c r="DW381" t="s">
        <v>184</v>
      </c>
      <c r="DX381">
        <v>1000</v>
      </c>
      <c r="DZ381" t="s">
        <v>3</v>
      </c>
      <c r="EA381" t="s">
        <v>3</v>
      </c>
      <c r="EB381" t="s">
        <v>3</v>
      </c>
      <c r="EC381" t="s">
        <v>3</v>
      </c>
      <c r="EE381">
        <v>42475842</v>
      </c>
      <c r="EF381">
        <v>8</v>
      </c>
      <c r="EG381" t="s">
        <v>141</v>
      </c>
      <c r="EH381">
        <v>0</v>
      </c>
      <c r="EI381" t="s">
        <v>3</v>
      </c>
      <c r="EJ381">
        <v>1</v>
      </c>
      <c r="EK381">
        <v>500001</v>
      </c>
      <c r="EL381" t="s">
        <v>142</v>
      </c>
      <c r="EM381" t="s">
        <v>143</v>
      </c>
      <c r="EO381" t="s">
        <v>3</v>
      </c>
      <c r="EQ381">
        <v>0</v>
      </c>
      <c r="ER381">
        <v>342.09</v>
      </c>
      <c r="ES381">
        <v>342.09</v>
      </c>
      <c r="ET381">
        <v>0</v>
      </c>
      <c r="EU381">
        <v>0</v>
      </c>
      <c r="EV381">
        <v>0</v>
      </c>
      <c r="EW381">
        <v>0</v>
      </c>
      <c r="EX381">
        <v>0</v>
      </c>
      <c r="FQ381">
        <v>0</v>
      </c>
      <c r="FR381">
        <f t="shared" si="336"/>
        <v>0</v>
      </c>
      <c r="FS381">
        <v>0</v>
      </c>
      <c r="FX381">
        <v>0</v>
      </c>
      <c r="FY381">
        <v>0</v>
      </c>
      <c r="GA381" t="s">
        <v>3</v>
      </c>
      <c r="GD381">
        <v>1</v>
      </c>
      <c r="GF381">
        <v>1746175502</v>
      </c>
      <c r="GG381">
        <v>2</v>
      </c>
      <c r="GH381">
        <v>1</v>
      </c>
      <c r="GI381">
        <v>4</v>
      </c>
      <c r="GJ381">
        <v>0</v>
      </c>
      <c r="GK381">
        <v>0</v>
      </c>
      <c r="GL381">
        <f t="shared" si="337"/>
        <v>0</v>
      </c>
      <c r="GM381">
        <f t="shared" si="338"/>
        <v>-540899</v>
      </c>
      <c r="GN381">
        <f t="shared" si="339"/>
        <v>-540899</v>
      </c>
      <c r="GO381">
        <f t="shared" si="340"/>
        <v>0</v>
      </c>
      <c r="GP381">
        <f t="shared" si="341"/>
        <v>0</v>
      </c>
      <c r="GR381">
        <v>0</v>
      </c>
      <c r="GS381">
        <v>3</v>
      </c>
      <c r="GT381">
        <v>0</v>
      </c>
      <c r="GU381" t="s">
        <v>3</v>
      </c>
      <c r="GV381">
        <f t="shared" si="342"/>
        <v>0</v>
      </c>
      <c r="GW381">
        <v>1</v>
      </c>
      <c r="GX381">
        <f t="shared" si="343"/>
        <v>0</v>
      </c>
      <c r="HA381">
        <v>0</v>
      </c>
      <c r="HB381">
        <v>0</v>
      </c>
      <c r="HC381">
        <f t="shared" si="344"/>
        <v>0</v>
      </c>
      <c r="HE381" t="s">
        <v>3</v>
      </c>
      <c r="HF381" t="s">
        <v>3</v>
      </c>
      <c r="HM381" t="s">
        <v>3</v>
      </c>
      <c r="HN381" t="s">
        <v>3</v>
      </c>
      <c r="HO381" t="s">
        <v>3</v>
      </c>
      <c r="HP381" t="s">
        <v>3</v>
      </c>
      <c r="HQ381" t="s">
        <v>3</v>
      </c>
      <c r="IK381">
        <v>0</v>
      </c>
    </row>
    <row r="382" spans="1:245" x14ac:dyDescent="0.2">
      <c r="A382">
        <v>18</v>
      </c>
      <c r="B382">
        <v>1</v>
      </c>
      <c r="C382">
        <v>275</v>
      </c>
      <c r="E382" t="s">
        <v>205</v>
      </c>
      <c r="F382" t="s">
        <v>145</v>
      </c>
      <c r="G382" t="s">
        <v>290</v>
      </c>
      <c r="H382" t="s">
        <v>184</v>
      </c>
      <c r="I382">
        <f>I380*J382</f>
        <v>190.56684491978609</v>
      </c>
      <c r="J382">
        <v>105.1693404634581</v>
      </c>
      <c r="K382">
        <v>105.16934000000001</v>
      </c>
      <c r="O382">
        <f t="shared" si="310"/>
        <v>932348</v>
      </c>
      <c r="P382">
        <f t="shared" si="311"/>
        <v>932348</v>
      </c>
      <c r="Q382">
        <f t="shared" si="312"/>
        <v>0</v>
      </c>
      <c r="R382">
        <f t="shared" si="313"/>
        <v>0</v>
      </c>
      <c r="S382">
        <f t="shared" si="314"/>
        <v>0</v>
      </c>
      <c r="T382">
        <f t="shared" si="315"/>
        <v>0</v>
      </c>
      <c r="U382">
        <f t="shared" si="316"/>
        <v>0</v>
      </c>
      <c r="V382">
        <f t="shared" si="317"/>
        <v>0</v>
      </c>
      <c r="W382">
        <f t="shared" si="318"/>
        <v>0</v>
      </c>
      <c r="X382">
        <f t="shared" si="319"/>
        <v>0</v>
      </c>
      <c r="Y382">
        <f t="shared" si="320"/>
        <v>0</v>
      </c>
      <c r="AA382">
        <v>46416371</v>
      </c>
      <c r="AB382">
        <f t="shared" si="321"/>
        <v>4892.5</v>
      </c>
      <c r="AC382">
        <f t="shared" si="322"/>
        <v>4892.5</v>
      </c>
      <c r="AD382">
        <f>ROUND((((ET382)-(EU382))+AE382),6)</f>
        <v>0</v>
      </c>
      <c r="AE382">
        <f>ROUND((EU382),6)</f>
        <v>0</v>
      </c>
      <c r="AF382">
        <f>ROUND((EV382),6)</f>
        <v>0</v>
      </c>
      <c r="AG382">
        <f t="shared" si="323"/>
        <v>0</v>
      </c>
      <c r="AH382">
        <f>(EW382)</f>
        <v>0</v>
      </c>
      <c r="AI382">
        <f>(EX382)</f>
        <v>0</v>
      </c>
      <c r="AJ382">
        <f t="shared" si="324"/>
        <v>0</v>
      </c>
      <c r="AK382">
        <v>4892.5</v>
      </c>
      <c r="AL382">
        <v>4892.5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1</v>
      </c>
      <c r="AW382">
        <v>1</v>
      </c>
      <c r="AZ382">
        <v>1</v>
      </c>
      <c r="BA382">
        <v>1</v>
      </c>
      <c r="BB382">
        <v>1</v>
      </c>
      <c r="BC382">
        <v>1</v>
      </c>
      <c r="BD382" t="s">
        <v>3</v>
      </c>
      <c r="BE382" t="s">
        <v>3</v>
      </c>
      <c r="BF382" t="s">
        <v>3</v>
      </c>
      <c r="BG382" t="s">
        <v>3</v>
      </c>
      <c r="BH382">
        <v>3</v>
      </c>
      <c r="BI382">
        <v>4</v>
      </c>
      <c r="BJ382" t="s">
        <v>3</v>
      </c>
      <c r="BM382">
        <v>0</v>
      </c>
      <c r="BN382">
        <v>0</v>
      </c>
      <c r="BO382" t="s">
        <v>3</v>
      </c>
      <c r="BP382">
        <v>0</v>
      </c>
      <c r="BQ382">
        <v>16</v>
      </c>
      <c r="BR382">
        <v>0</v>
      </c>
      <c r="BS382">
        <v>1</v>
      </c>
      <c r="BT382">
        <v>1</v>
      </c>
      <c r="BU382">
        <v>1</v>
      </c>
      <c r="BV382">
        <v>1</v>
      </c>
      <c r="BW382">
        <v>1</v>
      </c>
      <c r="BX382">
        <v>1</v>
      </c>
      <c r="BY382" t="s">
        <v>3</v>
      </c>
      <c r="BZ382">
        <v>0</v>
      </c>
      <c r="CA382">
        <v>0</v>
      </c>
      <c r="CB382" t="s">
        <v>3</v>
      </c>
      <c r="CE382">
        <v>0</v>
      </c>
      <c r="CF382">
        <v>0</v>
      </c>
      <c r="CG382">
        <v>0</v>
      </c>
      <c r="CM382">
        <v>0</v>
      </c>
      <c r="CN382" t="s">
        <v>3</v>
      </c>
      <c r="CO382">
        <v>0</v>
      </c>
      <c r="CP382">
        <f t="shared" si="325"/>
        <v>932348</v>
      </c>
      <c r="CQ382">
        <f t="shared" si="326"/>
        <v>4892.5</v>
      </c>
      <c r="CR382">
        <f t="shared" si="327"/>
        <v>0</v>
      </c>
      <c r="CS382">
        <f t="shared" si="328"/>
        <v>0</v>
      </c>
      <c r="CT382">
        <f t="shared" si="329"/>
        <v>0</v>
      </c>
      <c r="CU382">
        <f t="shared" si="330"/>
        <v>0</v>
      </c>
      <c r="CV382">
        <f t="shared" si="331"/>
        <v>0</v>
      </c>
      <c r="CW382">
        <f t="shared" si="332"/>
        <v>0</v>
      </c>
      <c r="CX382">
        <f t="shared" si="333"/>
        <v>0</v>
      </c>
      <c r="CY382">
        <f t="shared" si="334"/>
        <v>0</v>
      </c>
      <c r="CZ382">
        <f t="shared" si="335"/>
        <v>0</v>
      </c>
      <c r="DC382" t="s">
        <v>3</v>
      </c>
      <c r="DD382" t="s">
        <v>3</v>
      </c>
      <c r="DE382" t="s">
        <v>3</v>
      </c>
      <c r="DF382" t="s">
        <v>3</v>
      </c>
      <c r="DG382" t="s">
        <v>3</v>
      </c>
      <c r="DH382" t="s">
        <v>3</v>
      </c>
      <c r="DI382" t="s">
        <v>3</v>
      </c>
      <c r="DJ382" t="s">
        <v>3</v>
      </c>
      <c r="DK382" t="s">
        <v>3</v>
      </c>
      <c r="DL382" t="s">
        <v>3</v>
      </c>
      <c r="DM382" t="s">
        <v>3</v>
      </c>
      <c r="DN382">
        <v>0</v>
      </c>
      <c r="DO382">
        <v>0</v>
      </c>
      <c r="DP382">
        <v>1</v>
      </c>
      <c r="DQ382">
        <v>1</v>
      </c>
      <c r="DU382">
        <v>1009</v>
      </c>
      <c r="DV382" t="s">
        <v>184</v>
      </c>
      <c r="DW382" t="s">
        <v>184</v>
      </c>
      <c r="DX382">
        <v>1000</v>
      </c>
      <c r="DZ382" t="s">
        <v>3</v>
      </c>
      <c r="EA382" t="s">
        <v>3</v>
      </c>
      <c r="EB382" t="s">
        <v>3</v>
      </c>
      <c r="EC382" t="s">
        <v>3</v>
      </c>
      <c r="EE382">
        <v>42475850</v>
      </c>
      <c r="EF382">
        <v>16</v>
      </c>
      <c r="EG382" t="s">
        <v>147</v>
      </c>
      <c r="EH382">
        <v>0</v>
      </c>
      <c r="EI382" t="s">
        <v>3</v>
      </c>
      <c r="EJ382">
        <v>4</v>
      </c>
      <c r="EK382">
        <v>0</v>
      </c>
      <c r="EL382" t="s">
        <v>148</v>
      </c>
      <c r="EM382" t="s">
        <v>149</v>
      </c>
      <c r="EO382" t="s">
        <v>3</v>
      </c>
      <c r="EQ382">
        <v>0</v>
      </c>
      <c r="ER382">
        <v>4892.5</v>
      </c>
      <c r="ES382">
        <v>4892.5</v>
      </c>
      <c r="ET382">
        <v>0</v>
      </c>
      <c r="EU382">
        <v>0</v>
      </c>
      <c r="EV382">
        <v>0</v>
      </c>
      <c r="EW382">
        <v>0</v>
      </c>
      <c r="EX382">
        <v>0</v>
      </c>
      <c r="EZ382">
        <v>5</v>
      </c>
      <c r="FC382">
        <v>1</v>
      </c>
      <c r="FD382">
        <v>18</v>
      </c>
      <c r="FF382">
        <v>5700</v>
      </c>
      <c r="FQ382">
        <v>0</v>
      </c>
      <c r="FR382">
        <f t="shared" si="336"/>
        <v>0</v>
      </c>
      <c r="FS382">
        <v>0</v>
      </c>
      <c r="FX382">
        <v>0</v>
      </c>
      <c r="FY382">
        <v>0</v>
      </c>
      <c r="GA382" t="s">
        <v>291</v>
      </c>
      <c r="GD382">
        <v>1</v>
      </c>
      <c r="GF382">
        <v>2054945668</v>
      </c>
      <c r="GG382">
        <v>2</v>
      </c>
      <c r="GH382">
        <v>3</v>
      </c>
      <c r="GI382">
        <v>4</v>
      </c>
      <c r="GJ382">
        <v>0</v>
      </c>
      <c r="GK382">
        <v>0</v>
      </c>
      <c r="GL382">
        <f t="shared" si="337"/>
        <v>0</v>
      </c>
      <c r="GM382">
        <f t="shared" si="338"/>
        <v>932348</v>
      </c>
      <c r="GN382">
        <f t="shared" si="339"/>
        <v>0</v>
      </c>
      <c r="GO382">
        <f t="shared" si="340"/>
        <v>0</v>
      </c>
      <c r="GP382">
        <f t="shared" si="341"/>
        <v>932348</v>
      </c>
      <c r="GR382">
        <v>1</v>
      </c>
      <c r="GS382">
        <v>1</v>
      </c>
      <c r="GT382">
        <v>0</v>
      </c>
      <c r="GU382" t="s">
        <v>3</v>
      </c>
      <c r="GV382">
        <f t="shared" si="342"/>
        <v>0</v>
      </c>
      <c r="GW382">
        <v>1</v>
      </c>
      <c r="GX382">
        <f t="shared" si="343"/>
        <v>0</v>
      </c>
      <c r="HA382">
        <v>0</v>
      </c>
      <c r="HB382">
        <v>0</v>
      </c>
      <c r="HC382">
        <f t="shared" si="344"/>
        <v>0</v>
      </c>
      <c r="HE382" t="s">
        <v>56</v>
      </c>
      <c r="HF382" t="s">
        <v>151</v>
      </c>
      <c r="HM382" t="s">
        <v>3</v>
      </c>
      <c r="HN382" t="s">
        <v>3</v>
      </c>
      <c r="HO382" t="s">
        <v>3</v>
      </c>
      <c r="HP382" t="s">
        <v>3</v>
      </c>
      <c r="HQ382" t="s">
        <v>3</v>
      </c>
      <c r="IK382">
        <v>0</v>
      </c>
    </row>
    <row r="383" spans="1:245" s="53" customFormat="1" x14ac:dyDescent="0.2">
      <c r="A383" s="53">
        <v>17</v>
      </c>
      <c r="B383" s="53">
        <v>1</v>
      </c>
      <c r="C383" s="53">
        <f>ROW(SmtRes!A287)</f>
        <v>287</v>
      </c>
      <c r="D383" s="53">
        <f>ROW(EtalonRes!A272)</f>
        <v>272</v>
      </c>
      <c r="E383" s="53" t="s">
        <v>241</v>
      </c>
      <c r="F383" s="53" t="s">
        <v>292</v>
      </c>
      <c r="G383" s="53" t="s">
        <v>293</v>
      </c>
      <c r="H383" s="53" t="s">
        <v>284</v>
      </c>
      <c r="I383" s="53">
        <v>1.8120000000000001</v>
      </c>
      <c r="J383" s="53">
        <v>0</v>
      </c>
      <c r="K383" s="53">
        <f>ROUND(561/1000,9)</f>
        <v>0.56100000000000005</v>
      </c>
      <c r="O383" s="53">
        <f t="shared" si="310"/>
        <v>300734</v>
      </c>
      <c r="P383" s="53">
        <f t="shared" si="311"/>
        <v>271468</v>
      </c>
      <c r="Q383" s="53">
        <f t="shared" si="312"/>
        <v>28374</v>
      </c>
      <c r="R383" s="53">
        <f t="shared" si="313"/>
        <v>1610</v>
      </c>
      <c r="S383" s="53">
        <f t="shared" si="314"/>
        <v>892</v>
      </c>
      <c r="T383" s="53">
        <f t="shared" si="315"/>
        <v>0</v>
      </c>
      <c r="U383" s="53">
        <f t="shared" si="316"/>
        <v>0.72932999999999992</v>
      </c>
      <c r="V383" s="53">
        <f t="shared" si="317"/>
        <v>9.7938599999999987</v>
      </c>
      <c r="W383" s="53">
        <f t="shared" si="318"/>
        <v>0</v>
      </c>
      <c r="X383" s="53">
        <f t="shared" si="319"/>
        <v>3553</v>
      </c>
      <c r="Y383" s="53">
        <f t="shared" si="320"/>
        <v>2377</v>
      </c>
      <c r="AA383" s="53">
        <v>46416371</v>
      </c>
      <c r="AB383" s="53">
        <f t="shared" si="321"/>
        <v>19258.248</v>
      </c>
      <c r="AC383" s="53">
        <f>ROUND(((ES383*4)),6)</f>
        <v>18072</v>
      </c>
      <c r="AD383" s="53">
        <f>ROUND(((((ET383*1.15*4))-((EU383*1.15*4)))+AE383),6)</f>
        <v>1172.08</v>
      </c>
      <c r="AE383" s="53">
        <f>ROUND(((EU383*1.15*4)),6)</f>
        <v>25.576000000000001</v>
      </c>
      <c r="AF383" s="53">
        <f>ROUND(((EV383*1.15)),6)*4</f>
        <v>14.167999999999999</v>
      </c>
      <c r="AG383" s="53">
        <f t="shared" si="323"/>
        <v>0</v>
      </c>
      <c r="AH383" s="53">
        <f>((EW383*1.15))</f>
        <v>0.40249999999999997</v>
      </c>
      <c r="AI383" s="53">
        <f>((EX383*1.15*10))</f>
        <v>5.4049999999999994</v>
      </c>
      <c r="AJ383" s="53">
        <f t="shared" si="324"/>
        <v>0</v>
      </c>
      <c r="AK383" s="53">
        <v>4775.88</v>
      </c>
      <c r="AL383" s="53">
        <v>4518</v>
      </c>
      <c r="AM383" s="53">
        <v>254.8</v>
      </c>
      <c r="AN383" s="53">
        <v>5.56</v>
      </c>
      <c r="AO383" s="53">
        <v>3.08</v>
      </c>
      <c r="AP383" s="53">
        <v>0</v>
      </c>
      <c r="AQ383" s="53">
        <v>0.35</v>
      </c>
      <c r="AR383" s="53">
        <v>0.47</v>
      </c>
      <c r="AS383" s="53">
        <v>0</v>
      </c>
      <c r="AT383" s="53">
        <v>142</v>
      </c>
      <c r="AU383" s="53">
        <v>95</v>
      </c>
      <c r="AV383" s="53">
        <v>1</v>
      </c>
      <c r="AW383" s="53">
        <v>1</v>
      </c>
      <c r="AZ383" s="53">
        <v>1</v>
      </c>
      <c r="BA383" s="53">
        <v>34.75</v>
      </c>
      <c r="BB383" s="53">
        <v>13.36</v>
      </c>
      <c r="BC383" s="53">
        <v>8.2899999999999991</v>
      </c>
      <c r="BD383" s="53" t="s">
        <v>3</v>
      </c>
      <c r="BE383" s="53" t="s">
        <v>3</v>
      </c>
      <c r="BF383" s="53" t="s">
        <v>3</v>
      </c>
      <c r="BG383" s="53" t="s">
        <v>3</v>
      </c>
      <c r="BH383" s="53">
        <v>0</v>
      </c>
      <c r="BI383" s="53">
        <v>1</v>
      </c>
      <c r="BJ383" s="53" t="s">
        <v>294</v>
      </c>
      <c r="BM383" s="53">
        <v>27001</v>
      </c>
      <c r="BN383" s="53">
        <v>0</v>
      </c>
      <c r="BO383" s="53" t="s">
        <v>3</v>
      </c>
      <c r="BP383" s="53">
        <v>0</v>
      </c>
      <c r="BQ383" s="53">
        <v>2</v>
      </c>
      <c r="BR383" s="53">
        <v>0</v>
      </c>
      <c r="BS383" s="53">
        <v>34.75</v>
      </c>
      <c r="BT383" s="53">
        <v>1</v>
      </c>
      <c r="BU383" s="53">
        <v>1</v>
      </c>
      <c r="BV383" s="53">
        <v>1</v>
      </c>
      <c r="BW383" s="53">
        <v>1</v>
      </c>
      <c r="BX383" s="53">
        <v>1</v>
      </c>
      <c r="BY383" s="53" t="s">
        <v>3</v>
      </c>
      <c r="BZ383" s="53">
        <v>142</v>
      </c>
      <c r="CA383" s="53">
        <v>95</v>
      </c>
      <c r="CB383" s="53" t="s">
        <v>3</v>
      </c>
      <c r="CE383" s="53">
        <v>0</v>
      </c>
      <c r="CF383" s="53">
        <v>0</v>
      </c>
      <c r="CG383" s="53">
        <v>0</v>
      </c>
      <c r="CM383" s="53">
        <v>0</v>
      </c>
      <c r="CN383" s="53" t="s">
        <v>675</v>
      </c>
      <c r="CO383" s="53">
        <v>0</v>
      </c>
      <c r="CP383" s="53">
        <f t="shared" si="325"/>
        <v>300734</v>
      </c>
      <c r="CQ383" s="53">
        <f t="shared" si="326"/>
        <v>149816.87999999998</v>
      </c>
      <c r="CR383" s="53">
        <f t="shared" si="327"/>
        <v>15658.988799999999</v>
      </c>
      <c r="CS383" s="53">
        <f t="shared" si="328"/>
        <v>888.76599999999996</v>
      </c>
      <c r="CT383" s="53">
        <f t="shared" si="329"/>
        <v>492.33799999999997</v>
      </c>
      <c r="CU383" s="53">
        <f t="shared" si="330"/>
        <v>0</v>
      </c>
      <c r="CV383" s="53">
        <f t="shared" si="331"/>
        <v>0.40249999999999997</v>
      </c>
      <c r="CW383" s="53">
        <f t="shared" si="332"/>
        <v>5.4049999999999994</v>
      </c>
      <c r="CX383" s="53">
        <f t="shared" si="333"/>
        <v>0</v>
      </c>
      <c r="CY383" s="53">
        <f t="shared" si="334"/>
        <v>3552.84</v>
      </c>
      <c r="CZ383" s="53">
        <f t="shared" si="335"/>
        <v>2376.9</v>
      </c>
      <c r="DC383" s="53" t="s">
        <v>3</v>
      </c>
      <c r="DD383" s="53" t="s">
        <v>295</v>
      </c>
      <c r="DE383" s="53" t="s">
        <v>296</v>
      </c>
      <c r="DF383" s="53" t="s">
        <v>296</v>
      </c>
      <c r="DG383" s="53" t="s">
        <v>31</v>
      </c>
      <c r="DH383" s="53" t="s">
        <v>3</v>
      </c>
      <c r="DI383" s="53" t="s">
        <v>31</v>
      </c>
      <c r="DJ383" s="53" t="s">
        <v>296</v>
      </c>
      <c r="DK383" s="53" t="s">
        <v>3</v>
      </c>
      <c r="DL383" s="53" t="s">
        <v>3</v>
      </c>
      <c r="DM383" s="53" t="s">
        <v>3</v>
      </c>
      <c r="DN383" s="53">
        <v>0</v>
      </c>
      <c r="DO383" s="53">
        <v>0</v>
      </c>
      <c r="DP383" s="53">
        <v>1</v>
      </c>
      <c r="DQ383" s="53">
        <v>1</v>
      </c>
      <c r="DU383" s="53">
        <v>1013</v>
      </c>
      <c r="DV383" s="53" t="s">
        <v>284</v>
      </c>
      <c r="DW383" s="53" t="s">
        <v>284</v>
      </c>
      <c r="DX383" s="53">
        <v>1</v>
      </c>
      <c r="DZ383" s="53" t="s">
        <v>3</v>
      </c>
      <c r="EA383" s="53" t="s">
        <v>3</v>
      </c>
      <c r="EB383" s="53" t="s">
        <v>3</v>
      </c>
      <c r="EC383" s="53" t="s">
        <v>3</v>
      </c>
      <c r="EE383" s="53">
        <v>42475950</v>
      </c>
      <c r="EF383" s="53">
        <v>2</v>
      </c>
      <c r="EG383" s="53" t="s">
        <v>22</v>
      </c>
      <c r="EH383" s="53">
        <v>0</v>
      </c>
      <c r="EI383" s="53" t="s">
        <v>3</v>
      </c>
      <c r="EJ383" s="53">
        <v>1</v>
      </c>
      <c r="EK383" s="53">
        <v>27001</v>
      </c>
      <c r="EL383" s="53" t="s">
        <v>248</v>
      </c>
      <c r="EM383" s="53" t="s">
        <v>249</v>
      </c>
      <c r="EO383" s="53" t="s">
        <v>34</v>
      </c>
      <c r="EQ383" s="53">
        <v>0</v>
      </c>
      <c r="ER383" s="53">
        <v>4775.88</v>
      </c>
      <c r="ES383" s="53">
        <v>4518</v>
      </c>
      <c r="ET383" s="53">
        <v>254.8</v>
      </c>
      <c r="EU383" s="53">
        <v>5.56</v>
      </c>
      <c r="EV383" s="53">
        <v>3.08</v>
      </c>
      <c r="EW383" s="53">
        <v>0.35</v>
      </c>
      <c r="EX383" s="53">
        <v>0.47</v>
      </c>
      <c r="EY383" s="53">
        <v>0</v>
      </c>
      <c r="FQ383" s="53">
        <v>0</v>
      </c>
      <c r="FR383" s="53">
        <f t="shared" si="336"/>
        <v>0</v>
      </c>
      <c r="FS383" s="53">
        <v>0</v>
      </c>
      <c r="FX383" s="53">
        <v>142</v>
      </c>
      <c r="FY383" s="53">
        <v>95</v>
      </c>
      <c r="GA383" s="53" t="s">
        <v>3</v>
      </c>
      <c r="GD383" s="53">
        <v>1</v>
      </c>
      <c r="GF383" s="53">
        <v>-419478316</v>
      </c>
      <c r="GG383" s="53">
        <v>2</v>
      </c>
      <c r="GH383" s="53">
        <v>1</v>
      </c>
      <c r="GI383" s="53">
        <v>4</v>
      </c>
      <c r="GJ383" s="53">
        <v>0</v>
      </c>
      <c r="GK383" s="53">
        <v>0</v>
      </c>
      <c r="GL383" s="53">
        <f t="shared" si="337"/>
        <v>0</v>
      </c>
      <c r="GM383" s="53">
        <f t="shared" si="338"/>
        <v>306664</v>
      </c>
      <c r="GN383" s="53">
        <f t="shared" si="339"/>
        <v>306664</v>
      </c>
      <c r="GO383" s="53">
        <f t="shared" si="340"/>
        <v>0</v>
      </c>
      <c r="GP383" s="53">
        <f t="shared" si="341"/>
        <v>0</v>
      </c>
      <c r="GR383" s="53">
        <v>0</v>
      </c>
      <c r="GS383" s="53">
        <v>3</v>
      </c>
      <c r="GT383" s="53">
        <v>0</v>
      </c>
      <c r="GU383" s="53" t="s">
        <v>3</v>
      </c>
      <c r="GV383" s="53">
        <f t="shared" si="342"/>
        <v>0</v>
      </c>
      <c r="GW383" s="53">
        <v>1</v>
      </c>
      <c r="GX383" s="53">
        <f t="shared" si="343"/>
        <v>0</v>
      </c>
      <c r="HA383" s="53">
        <v>0</v>
      </c>
      <c r="HB383" s="53">
        <v>0</v>
      </c>
      <c r="HC383" s="53">
        <f t="shared" si="344"/>
        <v>0</v>
      </c>
      <c r="HE383" s="53" t="s">
        <v>3</v>
      </c>
      <c r="HF383" s="53" t="s">
        <v>3</v>
      </c>
      <c r="HM383" s="53" t="s">
        <v>3</v>
      </c>
      <c r="HN383" s="53" t="s">
        <v>3</v>
      </c>
      <c r="HO383" s="53" t="s">
        <v>3</v>
      </c>
      <c r="HP383" s="53" t="s">
        <v>3</v>
      </c>
      <c r="HQ383" s="53" t="s">
        <v>3</v>
      </c>
      <c r="IK383" s="53">
        <v>0</v>
      </c>
    </row>
    <row r="384" spans="1:245" x14ac:dyDescent="0.2">
      <c r="A384">
        <v>18</v>
      </c>
      <c r="B384">
        <v>1</v>
      </c>
      <c r="C384">
        <v>285</v>
      </c>
      <c r="E384" t="s">
        <v>297</v>
      </c>
      <c r="F384" t="s">
        <v>287</v>
      </c>
      <c r="G384" t="s">
        <v>288</v>
      </c>
      <c r="H384" t="s">
        <v>184</v>
      </c>
      <c r="I384">
        <f>I383*J384</f>
        <v>-95.673599999999993</v>
      </c>
      <c r="J384">
        <v>-52.8</v>
      </c>
      <c r="K384">
        <v>-13.2</v>
      </c>
      <c r="O384">
        <f t="shared" si="310"/>
        <v>-271323</v>
      </c>
      <c r="P384">
        <f t="shared" si="311"/>
        <v>-271323</v>
      </c>
      <c r="Q384">
        <f t="shared" si="312"/>
        <v>0</v>
      </c>
      <c r="R384">
        <f t="shared" si="313"/>
        <v>0</v>
      </c>
      <c r="S384">
        <f t="shared" si="314"/>
        <v>0</v>
      </c>
      <c r="T384">
        <f t="shared" si="315"/>
        <v>0</v>
      </c>
      <c r="U384">
        <f t="shared" si="316"/>
        <v>0</v>
      </c>
      <c r="V384">
        <f t="shared" si="317"/>
        <v>0</v>
      </c>
      <c r="W384">
        <f t="shared" si="318"/>
        <v>0</v>
      </c>
      <c r="X384">
        <f t="shared" si="319"/>
        <v>0</v>
      </c>
      <c r="Y384">
        <f t="shared" si="320"/>
        <v>0</v>
      </c>
      <c r="AA384">
        <v>46416371</v>
      </c>
      <c r="AB384">
        <f t="shared" si="321"/>
        <v>342.09</v>
      </c>
      <c r="AC384">
        <f t="shared" ref="AC384:AC389" si="345">ROUND((ES384),6)</f>
        <v>342.09</v>
      </c>
      <c r="AD384">
        <f>ROUND((((ET384)-(EU384))+AE384),6)</f>
        <v>0</v>
      </c>
      <c r="AE384">
        <f>ROUND((EU384),6)</f>
        <v>0</v>
      </c>
      <c r="AF384">
        <f>ROUND((EV384),6)</f>
        <v>0</v>
      </c>
      <c r="AG384">
        <f t="shared" si="323"/>
        <v>0</v>
      </c>
      <c r="AH384">
        <f>(EW384)</f>
        <v>0</v>
      </c>
      <c r="AI384">
        <f>(EX384)</f>
        <v>0</v>
      </c>
      <c r="AJ384">
        <f t="shared" si="324"/>
        <v>0</v>
      </c>
      <c r="AK384">
        <v>342.09</v>
      </c>
      <c r="AL384">
        <v>342.09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1</v>
      </c>
      <c r="AW384">
        <v>1</v>
      </c>
      <c r="AZ384">
        <v>1</v>
      </c>
      <c r="BA384">
        <v>1</v>
      </c>
      <c r="BB384">
        <v>1</v>
      </c>
      <c r="BC384">
        <v>8.2899999999999991</v>
      </c>
      <c r="BD384" t="s">
        <v>3</v>
      </c>
      <c r="BE384" t="s">
        <v>3</v>
      </c>
      <c r="BF384" t="s">
        <v>3</v>
      </c>
      <c r="BG384" t="s">
        <v>3</v>
      </c>
      <c r="BH384">
        <v>3</v>
      </c>
      <c r="BI384">
        <v>1</v>
      </c>
      <c r="BJ384" t="s">
        <v>289</v>
      </c>
      <c r="BM384">
        <v>500001</v>
      </c>
      <c r="BN384">
        <v>0</v>
      </c>
      <c r="BO384" t="s">
        <v>3</v>
      </c>
      <c r="BP384">
        <v>0</v>
      </c>
      <c r="BQ384">
        <v>8</v>
      </c>
      <c r="BR384">
        <v>1</v>
      </c>
      <c r="BS384">
        <v>1</v>
      </c>
      <c r="BT384">
        <v>1</v>
      </c>
      <c r="BU384">
        <v>1</v>
      </c>
      <c r="BV384">
        <v>1</v>
      </c>
      <c r="BW384">
        <v>1</v>
      </c>
      <c r="BX384">
        <v>1</v>
      </c>
      <c r="BY384" t="s">
        <v>3</v>
      </c>
      <c r="BZ384">
        <v>0</v>
      </c>
      <c r="CA384">
        <v>0</v>
      </c>
      <c r="CB384" t="s">
        <v>3</v>
      </c>
      <c r="CE384">
        <v>0</v>
      </c>
      <c r="CF384">
        <v>0</v>
      </c>
      <c r="CG384">
        <v>0</v>
      </c>
      <c r="CM384">
        <v>0</v>
      </c>
      <c r="CN384" t="s">
        <v>3</v>
      </c>
      <c r="CO384">
        <v>0</v>
      </c>
      <c r="CP384">
        <f t="shared" si="325"/>
        <v>-271323</v>
      </c>
      <c r="CQ384">
        <f t="shared" si="326"/>
        <v>2835.9260999999997</v>
      </c>
      <c r="CR384">
        <f t="shared" si="327"/>
        <v>0</v>
      </c>
      <c r="CS384">
        <f t="shared" si="328"/>
        <v>0</v>
      </c>
      <c r="CT384">
        <f t="shared" si="329"/>
        <v>0</v>
      </c>
      <c r="CU384">
        <f t="shared" si="330"/>
        <v>0</v>
      </c>
      <c r="CV384">
        <f t="shared" si="331"/>
        <v>0</v>
      </c>
      <c r="CW384">
        <f t="shared" si="332"/>
        <v>0</v>
      </c>
      <c r="CX384">
        <f t="shared" si="333"/>
        <v>0</v>
      </c>
      <c r="CY384">
        <f t="shared" si="334"/>
        <v>0</v>
      </c>
      <c r="CZ384">
        <f t="shared" si="335"/>
        <v>0</v>
      </c>
      <c r="DC384" t="s">
        <v>3</v>
      </c>
      <c r="DD384" t="s">
        <v>3</v>
      </c>
      <c r="DE384" t="s">
        <v>3</v>
      </c>
      <c r="DF384" t="s">
        <v>3</v>
      </c>
      <c r="DG384" t="s">
        <v>3</v>
      </c>
      <c r="DH384" t="s">
        <v>3</v>
      </c>
      <c r="DI384" t="s">
        <v>3</v>
      </c>
      <c r="DJ384" t="s">
        <v>3</v>
      </c>
      <c r="DK384" t="s">
        <v>3</v>
      </c>
      <c r="DL384" t="s">
        <v>3</v>
      </c>
      <c r="DM384" t="s">
        <v>3</v>
      </c>
      <c r="DN384">
        <v>0</v>
      </c>
      <c r="DO384">
        <v>0</v>
      </c>
      <c r="DP384">
        <v>1</v>
      </c>
      <c r="DQ384">
        <v>1</v>
      </c>
      <c r="DU384">
        <v>1009</v>
      </c>
      <c r="DV384" t="s">
        <v>184</v>
      </c>
      <c r="DW384" t="s">
        <v>184</v>
      </c>
      <c r="DX384">
        <v>1000</v>
      </c>
      <c r="DZ384" t="s">
        <v>3</v>
      </c>
      <c r="EA384" t="s">
        <v>3</v>
      </c>
      <c r="EB384" t="s">
        <v>3</v>
      </c>
      <c r="EC384" t="s">
        <v>3</v>
      </c>
      <c r="EE384">
        <v>42475842</v>
      </c>
      <c r="EF384">
        <v>8</v>
      </c>
      <c r="EG384" t="s">
        <v>141</v>
      </c>
      <c r="EH384">
        <v>0</v>
      </c>
      <c r="EI384" t="s">
        <v>3</v>
      </c>
      <c r="EJ384">
        <v>1</v>
      </c>
      <c r="EK384">
        <v>500001</v>
      </c>
      <c r="EL384" t="s">
        <v>142</v>
      </c>
      <c r="EM384" t="s">
        <v>143</v>
      </c>
      <c r="EO384" t="s">
        <v>3</v>
      </c>
      <c r="EQ384">
        <v>0</v>
      </c>
      <c r="ER384">
        <v>342.09</v>
      </c>
      <c r="ES384">
        <v>342.09</v>
      </c>
      <c r="ET384">
        <v>0</v>
      </c>
      <c r="EU384">
        <v>0</v>
      </c>
      <c r="EV384">
        <v>0</v>
      </c>
      <c r="EW384">
        <v>0</v>
      </c>
      <c r="EX384">
        <v>0</v>
      </c>
      <c r="FQ384">
        <v>0</v>
      </c>
      <c r="FR384">
        <f t="shared" si="336"/>
        <v>0</v>
      </c>
      <c r="FS384">
        <v>0</v>
      </c>
      <c r="FX384">
        <v>0</v>
      </c>
      <c r="FY384">
        <v>0</v>
      </c>
      <c r="GA384" t="s">
        <v>3</v>
      </c>
      <c r="GD384">
        <v>1</v>
      </c>
      <c r="GF384">
        <v>1746175502</v>
      </c>
      <c r="GG384">
        <v>2</v>
      </c>
      <c r="GH384">
        <v>1</v>
      </c>
      <c r="GI384">
        <v>4</v>
      </c>
      <c r="GJ384">
        <v>0</v>
      </c>
      <c r="GK384">
        <v>0</v>
      </c>
      <c r="GL384">
        <f t="shared" si="337"/>
        <v>0</v>
      </c>
      <c r="GM384">
        <f t="shared" si="338"/>
        <v>-271323</v>
      </c>
      <c r="GN384">
        <f t="shared" si="339"/>
        <v>-271323</v>
      </c>
      <c r="GO384">
        <f t="shared" si="340"/>
        <v>0</v>
      </c>
      <c r="GP384">
        <f t="shared" si="341"/>
        <v>0</v>
      </c>
      <c r="GR384">
        <v>0</v>
      </c>
      <c r="GS384">
        <v>3</v>
      </c>
      <c r="GT384">
        <v>0</v>
      </c>
      <c r="GU384" t="s">
        <v>3</v>
      </c>
      <c r="GV384">
        <f t="shared" si="342"/>
        <v>0</v>
      </c>
      <c r="GW384">
        <v>1</v>
      </c>
      <c r="GX384">
        <f t="shared" si="343"/>
        <v>0</v>
      </c>
      <c r="HA384">
        <v>0</v>
      </c>
      <c r="HB384">
        <v>0</v>
      </c>
      <c r="HC384">
        <f t="shared" si="344"/>
        <v>0</v>
      </c>
      <c r="HE384" t="s">
        <v>3</v>
      </c>
      <c r="HF384" t="s">
        <v>3</v>
      </c>
      <c r="HM384" t="s">
        <v>295</v>
      </c>
      <c r="HN384" t="s">
        <v>3</v>
      </c>
      <c r="HO384" t="s">
        <v>3</v>
      </c>
      <c r="HP384" t="s">
        <v>3</v>
      </c>
      <c r="HQ384" t="s">
        <v>3</v>
      </c>
      <c r="IK384">
        <v>0</v>
      </c>
    </row>
    <row r="385" spans="1:245" x14ac:dyDescent="0.2">
      <c r="A385">
        <v>18</v>
      </c>
      <c r="B385">
        <v>1</v>
      </c>
      <c r="C385">
        <v>287</v>
      </c>
      <c r="E385" t="s">
        <v>298</v>
      </c>
      <c r="F385" t="s">
        <v>145</v>
      </c>
      <c r="G385" t="s">
        <v>290</v>
      </c>
      <c r="H385" t="s">
        <v>184</v>
      </c>
      <c r="I385">
        <f>I383*J385</f>
        <v>95.671016042780749</v>
      </c>
      <c r="J385">
        <v>52.798573975044562</v>
      </c>
      <c r="K385">
        <v>52.798574000000002</v>
      </c>
      <c r="O385">
        <f t="shared" si="310"/>
        <v>468070</v>
      </c>
      <c r="P385">
        <f t="shared" si="311"/>
        <v>468070</v>
      </c>
      <c r="Q385">
        <f t="shared" si="312"/>
        <v>0</v>
      </c>
      <c r="R385">
        <f t="shared" si="313"/>
        <v>0</v>
      </c>
      <c r="S385">
        <f t="shared" si="314"/>
        <v>0</v>
      </c>
      <c r="T385">
        <f t="shared" si="315"/>
        <v>0</v>
      </c>
      <c r="U385">
        <f t="shared" si="316"/>
        <v>0</v>
      </c>
      <c r="V385">
        <f t="shared" si="317"/>
        <v>0</v>
      </c>
      <c r="W385">
        <f t="shared" si="318"/>
        <v>0</v>
      </c>
      <c r="X385">
        <f t="shared" si="319"/>
        <v>0</v>
      </c>
      <c r="Y385">
        <f t="shared" si="320"/>
        <v>0</v>
      </c>
      <c r="AA385">
        <v>46416371</v>
      </c>
      <c r="AB385">
        <f t="shared" si="321"/>
        <v>4892.5</v>
      </c>
      <c r="AC385">
        <f t="shared" si="345"/>
        <v>4892.5</v>
      </c>
      <c r="AD385">
        <f>ROUND((((ET385)-(EU385))+AE385),6)</f>
        <v>0</v>
      </c>
      <c r="AE385">
        <f>ROUND((EU385),6)</f>
        <v>0</v>
      </c>
      <c r="AF385">
        <f>ROUND((EV385),6)</f>
        <v>0</v>
      </c>
      <c r="AG385">
        <f t="shared" si="323"/>
        <v>0</v>
      </c>
      <c r="AH385">
        <f>(EW385)</f>
        <v>0</v>
      </c>
      <c r="AI385">
        <f>(EX385)</f>
        <v>0</v>
      </c>
      <c r="AJ385">
        <f t="shared" si="324"/>
        <v>0</v>
      </c>
      <c r="AK385">
        <v>4892.5</v>
      </c>
      <c r="AL385">
        <v>4892.5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1</v>
      </c>
      <c r="AW385">
        <v>1</v>
      </c>
      <c r="AZ385">
        <v>1</v>
      </c>
      <c r="BA385">
        <v>1</v>
      </c>
      <c r="BB385">
        <v>1</v>
      </c>
      <c r="BC385">
        <v>1</v>
      </c>
      <c r="BD385" t="s">
        <v>3</v>
      </c>
      <c r="BE385" t="s">
        <v>3</v>
      </c>
      <c r="BF385" t="s">
        <v>3</v>
      </c>
      <c r="BG385" t="s">
        <v>3</v>
      </c>
      <c r="BH385">
        <v>3</v>
      </c>
      <c r="BI385">
        <v>4</v>
      </c>
      <c r="BJ385" t="s">
        <v>3</v>
      </c>
      <c r="BM385">
        <v>0</v>
      </c>
      <c r="BN385">
        <v>0</v>
      </c>
      <c r="BO385" t="s">
        <v>3</v>
      </c>
      <c r="BP385">
        <v>0</v>
      </c>
      <c r="BQ385">
        <v>16</v>
      </c>
      <c r="BR385">
        <v>0</v>
      </c>
      <c r="BS385">
        <v>1</v>
      </c>
      <c r="BT385">
        <v>1</v>
      </c>
      <c r="BU385">
        <v>1</v>
      </c>
      <c r="BV385">
        <v>1</v>
      </c>
      <c r="BW385">
        <v>1</v>
      </c>
      <c r="BX385">
        <v>1</v>
      </c>
      <c r="BY385" t="s">
        <v>3</v>
      </c>
      <c r="BZ385">
        <v>0</v>
      </c>
      <c r="CA385">
        <v>0</v>
      </c>
      <c r="CB385" t="s">
        <v>3</v>
      </c>
      <c r="CE385">
        <v>0</v>
      </c>
      <c r="CF385">
        <v>0</v>
      </c>
      <c r="CG385">
        <v>0</v>
      </c>
      <c r="CM385">
        <v>0</v>
      </c>
      <c r="CN385" t="s">
        <v>3</v>
      </c>
      <c r="CO385">
        <v>0</v>
      </c>
      <c r="CP385">
        <f t="shared" si="325"/>
        <v>468070</v>
      </c>
      <c r="CQ385">
        <f t="shared" si="326"/>
        <v>4892.5</v>
      </c>
      <c r="CR385">
        <f t="shared" si="327"/>
        <v>0</v>
      </c>
      <c r="CS385">
        <f t="shared" si="328"/>
        <v>0</v>
      </c>
      <c r="CT385">
        <f t="shared" si="329"/>
        <v>0</v>
      </c>
      <c r="CU385">
        <f t="shared" si="330"/>
        <v>0</v>
      </c>
      <c r="CV385">
        <f t="shared" si="331"/>
        <v>0</v>
      </c>
      <c r="CW385">
        <f t="shared" si="332"/>
        <v>0</v>
      </c>
      <c r="CX385">
        <f t="shared" si="333"/>
        <v>0</v>
      </c>
      <c r="CY385">
        <f t="shared" si="334"/>
        <v>0</v>
      </c>
      <c r="CZ385">
        <f t="shared" si="335"/>
        <v>0</v>
      </c>
      <c r="DC385" t="s">
        <v>3</v>
      </c>
      <c r="DD385" t="s">
        <v>3</v>
      </c>
      <c r="DE385" t="s">
        <v>3</v>
      </c>
      <c r="DF385" t="s">
        <v>3</v>
      </c>
      <c r="DG385" t="s">
        <v>3</v>
      </c>
      <c r="DH385" t="s">
        <v>3</v>
      </c>
      <c r="DI385" t="s">
        <v>3</v>
      </c>
      <c r="DJ385" t="s">
        <v>3</v>
      </c>
      <c r="DK385" t="s">
        <v>3</v>
      </c>
      <c r="DL385" t="s">
        <v>3</v>
      </c>
      <c r="DM385" t="s">
        <v>3</v>
      </c>
      <c r="DN385">
        <v>0</v>
      </c>
      <c r="DO385">
        <v>0</v>
      </c>
      <c r="DP385">
        <v>1</v>
      </c>
      <c r="DQ385">
        <v>1</v>
      </c>
      <c r="DU385">
        <v>1009</v>
      </c>
      <c r="DV385" t="s">
        <v>184</v>
      </c>
      <c r="DW385" t="s">
        <v>184</v>
      </c>
      <c r="DX385">
        <v>1000</v>
      </c>
      <c r="DZ385" t="s">
        <v>3</v>
      </c>
      <c r="EA385" t="s">
        <v>3</v>
      </c>
      <c r="EB385" t="s">
        <v>3</v>
      </c>
      <c r="EC385" t="s">
        <v>3</v>
      </c>
      <c r="EE385">
        <v>42475850</v>
      </c>
      <c r="EF385">
        <v>16</v>
      </c>
      <c r="EG385" t="s">
        <v>147</v>
      </c>
      <c r="EH385">
        <v>0</v>
      </c>
      <c r="EI385" t="s">
        <v>3</v>
      </c>
      <c r="EJ385">
        <v>4</v>
      </c>
      <c r="EK385">
        <v>0</v>
      </c>
      <c r="EL385" t="s">
        <v>148</v>
      </c>
      <c r="EM385" t="s">
        <v>149</v>
      </c>
      <c r="EO385" t="s">
        <v>3</v>
      </c>
      <c r="EQ385">
        <v>0</v>
      </c>
      <c r="ER385">
        <v>4892.5</v>
      </c>
      <c r="ES385">
        <v>4892.5</v>
      </c>
      <c r="ET385">
        <v>0</v>
      </c>
      <c r="EU385">
        <v>0</v>
      </c>
      <c r="EV385">
        <v>0</v>
      </c>
      <c r="EW385">
        <v>0</v>
      </c>
      <c r="EX385">
        <v>0</v>
      </c>
      <c r="EZ385">
        <v>5</v>
      </c>
      <c r="FC385">
        <v>1</v>
      </c>
      <c r="FD385">
        <v>18</v>
      </c>
      <c r="FF385">
        <v>5700</v>
      </c>
      <c r="FQ385">
        <v>0</v>
      </c>
      <c r="FR385">
        <f t="shared" si="336"/>
        <v>0</v>
      </c>
      <c r="FS385">
        <v>0</v>
      </c>
      <c r="FX385">
        <v>0</v>
      </c>
      <c r="FY385">
        <v>0</v>
      </c>
      <c r="GA385" t="s">
        <v>291</v>
      </c>
      <c r="GD385">
        <v>1</v>
      </c>
      <c r="GF385">
        <v>2054945668</v>
      </c>
      <c r="GG385">
        <v>2</v>
      </c>
      <c r="GH385">
        <v>3</v>
      </c>
      <c r="GI385">
        <v>4</v>
      </c>
      <c r="GJ385">
        <v>0</v>
      </c>
      <c r="GK385">
        <v>0</v>
      </c>
      <c r="GL385">
        <f t="shared" si="337"/>
        <v>0</v>
      </c>
      <c r="GM385">
        <f t="shared" si="338"/>
        <v>468070</v>
      </c>
      <c r="GN385">
        <f t="shared" si="339"/>
        <v>0</v>
      </c>
      <c r="GO385">
        <f t="shared" si="340"/>
        <v>0</v>
      </c>
      <c r="GP385">
        <f t="shared" si="341"/>
        <v>468070</v>
      </c>
      <c r="GR385">
        <v>1</v>
      </c>
      <c r="GS385">
        <v>1</v>
      </c>
      <c r="GT385">
        <v>0</v>
      </c>
      <c r="GU385" t="s">
        <v>3</v>
      </c>
      <c r="GV385">
        <f t="shared" si="342"/>
        <v>0</v>
      </c>
      <c r="GW385">
        <v>1</v>
      </c>
      <c r="GX385">
        <f t="shared" si="343"/>
        <v>0</v>
      </c>
      <c r="HA385">
        <v>0</v>
      </c>
      <c r="HB385">
        <v>0</v>
      </c>
      <c r="HC385">
        <f t="shared" si="344"/>
        <v>0</v>
      </c>
      <c r="HE385" t="s">
        <v>56</v>
      </c>
      <c r="HF385" t="s">
        <v>151</v>
      </c>
      <c r="HM385" t="s">
        <v>3</v>
      </c>
      <c r="HN385" t="s">
        <v>3</v>
      </c>
      <c r="HO385" t="s">
        <v>3</v>
      </c>
      <c r="HP385" t="s">
        <v>3</v>
      </c>
      <c r="HQ385" t="s">
        <v>3</v>
      </c>
      <c r="IK385">
        <v>0</v>
      </c>
    </row>
    <row r="386" spans="1:245" x14ac:dyDescent="0.2">
      <c r="A386">
        <v>17</v>
      </c>
      <c r="B386">
        <v>1</v>
      </c>
      <c r="C386">
        <f>ROW(SmtRes!A290)</f>
        <v>290</v>
      </c>
      <c r="D386">
        <f>ROW(EtalonRes!A275)</f>
        <v>275</v>
      </c>
      <c r="E386" t="s">
        <v>299</v>
      </c>
      <c r="F386" t="s">
        <v>278</v>
      </c>
      <c r="G386" t="s">
        <v>279</v>
      </c>
      <c r="H386" t="s">
        <v>280</v>
      </c>
      <c r="I386">
        <v>0.16800000000000001</v>
      </c>
      <c r="J386">
        <v>0</v>
      </c>
      <c r="K386">
        <v>0.16800000000000001</v>
      </c>
      <c r="O386">
        <f t="shared" si="310"/>
        <v>2316</v>
      </c>
      <c r="P386">
        <f t="shared" si="311"/>
        <v>2219</v>
      </c>
      <c r="Q386">
        <f t="shared" si="312"/>
        <v>97</v>
      </c>
      <c r="R386">
        <f t="shared" si="313"/>
        <v>45</v>
      </c>
      <c r="S386">
        <f t="shared" si="314"/>
        <v>0</v>
      </c>
      <c r="T386">
        <f t="shared" si="315"/>
        <v>0</v>
      </c>
      <c r="U386">
        <f t="shared" si="316"/>
        <v>0</v>
      </c>
      <c r="V386">
        <f t="shared" si="317"/>
        <v>0.12751200000000001</v>
      </c>
      <c r="W386">
        <f t="shared" si="318"/>
        <v>0</v>
      </c>
      <c r="X386">
        <f t="shared" si="319"/>
        <v>64</v>
      </c>
      <c r="Y386">
        <f t="shared" si="320"/>
        <v>43</v>
      </c>
      <c r="AA386">
        <v>46416371</v>
      </c>
      <c r="AB386">
        <f t="shared" si="321"/>
        <v>1636.3485000000001</v>
      </c>
      <c r="AC386">
        <f t="shared" si="345"/>
        <v>1593.35</v>
      </c>
      <c r="AD386">
        <f>ROUND(((((ET386*1.15))-((EU386*1.15)))+AE386),6)</f>
        <v>42.9985</v>
      </c>
      <c r="AE386">
        <f>ROUND(((EU386*1.15)),6)</f>
        <v>7.6820000000000004</v>
      </c>
      <c r="AF386">
        <f>ROUND(((EV386*1.15)),6)</f>
        <v>0</v>
      </c>
      <c r="AG386">
        <f t="shared" si="323"/>
        <v>0</v>
      </c>
      <c r="AH386">
        <f>((EW386*1.15))</f>
        <v>0</v>
      </c>
      <c r="AI386">
        <f>((EX386*1.15))</f>
        <v>0.75900000000000001</v>
      </c>
      <c r="AJ386">
        <f t="shared" si="324"/>
        <v>0</v>
      </c>
      <c r="AK386">
        <v>1630.74</v>
      </c>
      <c r="AL386">
        <v>1593.35</v>
      </c>
      <c r="AM386">
        <v>37.39</v>
      </c>
      <c r="AN386">
        <v>6.68</v>
      </c>
      <c r="AO386">
        <v>0</v>
      </c>
      <c r="AP386">
        <v>0</v>
      </c>
      <c r="AQ386">
        <v>0</v>
      </c>
      <c r="AR386">
        <v>0.66</v>
      </c>
      <c r="AS386">
        <v>0</v>
      </c>
      <c r="AT386">
        <v>142</v>
      </c>
      <c r="AU386">
        <v>95</v>
      </c>
      <c r="AV386">
        <v>1</v>
      </c>
      <c r="AW386">
        <v>1</v>
      </c>
      <c r="AZ386">
        <v>1</v>
      </c>
      <c r="BA386">
        <v>34.75</v>
      </c>
      <c r="BB386">
        <v>13.36</v>
      </c>
      <c r="BC386">
        <v>8.2899999999999991</v>
      </c>
      <c r="BD386" t="s">
        <v>3</v>
      </c>
      <c r="BE386" t="s">
        <v>3</v>
      </c>
      <c r="BF386" t="s">
        <v>3</v>
      </c>
      <c r="BG386" t="s">
        <v>3</v>
      </c>
      <c r="BH386">
        <v>0</v>
      </c>
      <c r="BI386">
        <v>1</v>
      </c>
      <c r="BJ386" t="s">
        <v>281</v>
      </c>
      <c r="BM386">
        <v>27001</v>
      </c>
      <c r="BN386">
        <v>0</v>
      </c>
      <c r="BO386" t="s">
        <v>3</v>
      </c>
      <c r="BP386">
        <v>0</v>
      </c>
      <c r="BQ386">
        <v>2</v>
      </c>
      <c r="BR386">
        <v>0</v>
      </c>
      <c r="BS386">
        <v>34.75</v>
      </c>
      <c r="BT386">
        <v>1</v>
      </c>
      <c r="BU386">
        <v>1</v>
      </c>
      <c r="BV386">
        <v>1</v>
      </c>
      <c r="BW386">
        <v>1</v>
      </c>
      <c r="BX386">
        <v>1</v>
      </c>
      <c r="BY386" t="s">
        <v>3</v>
      </c>
      <c r="BZ386">
        <v>142</v>
      </c>
      <c r="CA386">
        <v>95</v>
      </c>
      <c r="CB386" t="s">
        <v>3</v>
      </c>
      <c r="CE386">
        <v>0</v>
      </c>
      <c r="CF386">
        <v>0</v>
      </c>
      <c r="CG386">
        <v>0</v>
      </c>
      <c r="CM386">
        <v>0</v>
      </c>
      <c r="CN386" t="s">
        <v>675</v>
      </c>
      <c r="CO386">
        <v>0</v>
      </c>
      <c r="CP386">
        <f t="shared" si="325"/>
        <v>2316</v>
      </c>
      <c r="CQ386">
        <f t="shared" si="326"/>
        <v>13208.871499999997</v>
      </c>
      <c r="CR386">
        <f t="shared" si="327"/>
        <v>574.45996000000002</v>
      </c>
      <c r="CS386">
        <f t="shared" si="328"/>
        <v>266.9495</v>
      </c>
      <c r="CT386">
        <f t="shared" si="329"/>
        <v>0</v>
      </c>
      <c r="CU386">
        <f t="shared" si="330"/>
        <v>0</v>
      </c>
      <c r="CV386">
        <f t="shared" si="331"/>
        <v>0</v>
      </c>
      <c r="CW386">
        <f t="shared" si="332"/>
        <v>0.75900000000000001</v>
      </c>
      <c r="CX386">
        <f t="shared" si="333"/>
        <v>0</v>
      </c>
      <c r="CY386">
        <f t="shared" si="334"/>
        <v>63.9</v>
      </c>
      <c r="CZ386">
        <f t="shared" si="335"/>
        <v>42.75</v>
      </c>
      <c r="DC386" t="s">
        <v>3</v>
      </c>
      <c r="DD386" t="s">
        <v>3</v>
      </c>
      <c r="DE386" t="s">
        <v>31</v>
      </c>
      <c r="DF386" t="s">
        <v>31</v>
      </c>
      <c r="DG386" t="s">
        <v>31</v>
      </c>
      <c r="DH386" t="s">
        <v>3</v>
      </c>
      <c r="DI386" t="s">
        <v>31</v>
      </c>
      <c r="DJ386" t="s">
        <v>31</v>
      </c>
      <c r="DK386" t="s">
        <v>3</v>
      </c>
      <c r="DL386" t="s">
        <v>3</v>
      </c>
      <c r="DM386" t="s">
        <v>3</v>
      </c>
      <c r="DN386">
        <v>0</v>
      </c>
      <c r="DO386">
        <v>0</v>
      </c>
      <c r="DP386">
        <v>1</v>
      </c>
      <c r="DQ386">
        <v>1</v>
      </c>
      <c r="DU386">
        <v>1013</v>
      </c>
      <c r="DV386" t="s">
        <v>280</v>
      </c>
      <c r="DW386" t="s">
        <v>280</v>
      </c>
      <c r="DX386">
        <v>1</v>
      </c>
      <c r="DZ386" t="s">
        <v>3</v>
      </c>
      <c r="EA386" t="s">
        <v>3</v>
      </c>
      <c r="EB386" t="s">
        <v>3</v>
      </c>
      <c r="EC386" t="s">
        <v>3</v>
      </c>
      <c r="EE386">
        <v>42475950</v>
      </c>
      <c r="EF386">
        <v>2</v>
      </c>
      <c r="EG386" t="s">
        <v>22</v>
      </c>
      <c r="EH386">
        <v>0</v>
      </c>
      <c r="EI386" t="s">
        <v>3</v>
      </c>
      <c r="EJ386">
        <v>1</v>
      </c>
      <c r="EK386">
        <v>27001</v>
      </c>
      <c r="EL386" t="s">
        <v>248</v>
      </c>
      <c r="EM386" t="s">
        <v>249</v>
      </c>
      <c r="EO386" t="s">
        <v>34</v>
      </c>
      <c r="EQ386">
        <v>0</v>
      </c>
      <c r="ER386">
        <v>1630.74</v>
      </c>
      <c r="ES386">
        <v>1593.35</v>
      </c>
      <c r="ET386">
        <v>37.39</v>
      </c>
      <c r="EU386">
        <v>6.68</v>
      </c>
      <c r="EV386">
        <v>0</v>
      </c>
      <c r="EW386">
        <v>0</v>
      </c>
      <c r="EX386">
        <v>0.66</v>
      </c>
      <c r="EY386">
        <v>0</v>
      </c>
      <c r="FQ386">
        <v>0</v>
      </c>
      <c r="FR386">
        <f t="shared" si="336"/>
        <v>0</v>
      </c>
      <c r="FS386">
        <v>0</v>
      </c>
      <c r="FX386">
        <v>142</v>
      </c>
      <c r="FY386">
        <v>95</v>
      </c>
      <c r="GA386" t="s">
        <v>3</v>
      </c>
      <c r="GD386">
        <v>1</v>
      </c>
      <c r="GF386">
        <v>-964121865</v>
      </c>
      <c r="GG386">
        <v>2</v>
      </c>
      <c r="GH386">
        <v>1</v>
      </c>
      <c r="GI386">
        <v>4</v>
      </c>
      <c r="GJ386">
        <v>0</v>
      </c>
      <c r="GK386">
        <v>0</v>
      </c>
      <c r="GL386">
        <f t="shared" si="337"/>
        <v>0</v>
      </c>
      <c r="GM386">
        <f t="shared" si="338"/>
        <v>2423</v>
      </c>
      <c r="GN386">
        <f t="shared" si="339"/>
        <v>2423</v>
      </c>
      <c r="GO386">
        <f t="shared" si="340"/>
        <v>0</v>
      </c>
      <c r="GP386">
        <f t="shared" si="341"/>
        <v>0</v>
      </c>
      <c r="GR386">
        <v>0</v>
      </c>
      <c r="GS386">
        <v>3</v>
      </c>
      <c r="GT386">
        <v>0</v>
      </c>
      <c r="GU386" t="s">
        <v>3</v>
      </c>
      <c r="GV386">
        <f t="shared" si="342"/>
        <v>0</v>
      </c>
      <c r="GW386">
        <v>1</v>
      </c>
      <c r="GX386">
        <f t="shared" si="343"/>
        <v>0</v>
      </c>
      <c r="HA386">
        <v>0</v>
      </c>
      <c r="HB386">
        <v>0</v>
      </c>
      <c r="HC386">
        <f t="shared" si="344"/>
        <v>0</v>
      </c>
      <c r="HE386" t="s">
        <v>3</v>
      </c>
      <c r="HF386" t="s">
        <v>3</v>
      </c>
      <c r="HM386" t="s">
        <v>3</v>
      </c>
      <c r="HN386" t="s">
        <v>3</v>
      </c>
      <c r="HO386" t="s">
        <v>3</v>
      </c>
      <c r="HP386" t="s">
        <v>3</v>
      </c>
      <c r="HQ386" t="s">
        <v>3</v>
      </c>
      <c r="IK386">
        <v>0</v>
      </c>
    </row>
    <row r="387" spans="1:245" x14ac:dyDescent="0.2">
      <c r="A387">
        <v>17</v>
      </c>
      <c r="B387">
        <v>1</v>
      </c>
      <c r="C387">
        <f>ROW(SmtRes!A315)</f>
        <v>315</v>
      </c>
      <c r="D387">
        <f>ROW(EtalonRes!A299)</f>
        <v>299</v>
      </c>
      <c r="E387" t="s">
        <v>165</v>
      </c>
      <c r="F387" t="s">
        <v>282</v>
      </c>
      <c r="G387" t="s">
        <v>283</v>
      </c>
      <c r="H387" t="s">
        <v>284</v>
      </c>
      <c r="I387">
        <v>1.8120000000000001</v>
      </c>
      <c r="J387">
        <v>0</v>
      </c>
      <c r="K387">
        <f>ROUND(561/1000,9)</f>
        <v>0.56100000000000005</v>
      </c>
      <c r="O387">
        <f t="shared" si="310"/>
        <v>1852221</v>
      </c>
      <c r="P387">
        <f t="shared" si="311"/>
        <v>555120</v>
      </c>
      <c r="Q387">
        <f t="shared" si="312"/>
        <v>1284760</v>
      </c>
      <c r="R387">
        <f t="shared" si="313"/>
        <v>97074</v>
      </c>
      <c r="S387">
        <f t="shared" si="314"/>
        <v>12341</v>
      </c>
      <c r="T387">
        <f t="shared" si="315"/>
        <v>0</v>
      </c>
      <c r="U387">
        <f t="shared" si="316"/>
        <v>43.468067999999995</v>
      </c>
      <c r="V387">
        <f t="shared" si="317"/>
        <v>233.17722000000001</v>
      </c>
      <c r="W387">
        <f t="shared" si="318"/>
        <v>0</v>
      </c>
      <c r="X387">
        <f t="shared" si="319"/>
        <v>155369</v>
      </c>
      <c r="Y387">
        <f t="shared" si="320"/>
        <v>103944</v>
      </c>
      <c r="AA387">
        <v>46416371</v>
      </c>
      <c r="AB387">
        <f t="shared" si="321"/>
        <v>90222.079500000007</v>
      </c>
      <c r="AC387">
        <f t="shared" si="345"/>
        <v>36955.08</v>
      </c>
      <c r="AD387">
        <f>ROUND(((((ET387*1.15*6))-((EU387*1.15*6)))+AE387),6)</f>
        <v>53071.004999999997</v>
      </c>
      <c r="AE387">
        <f>ROUND(((EU387*1.15*6)),6)</f>
        <v>1541.6669999999999</v>
      </c>
      <c r="AF387">
        <f>ROUND(((EV387*1.15)),6)</f>
        <v>195.99449999999999</v>
      </c>
      <c r="AG387">
        <f t="shared" si="323"/>
        <v>0</v>
      </c>
      <c r="AH387">
        <f>((EW387*1.15))</f>
        <v>23.988999999999997</v>
      </c>
      <c r="AI387">
        <f>((EX387*1.15*6))</f>
        <v>128.685</v>
      </c>
      <c r="AJ387">
        <f t="shared" si="324"/>
        <v>0</v>
      </c>
      <c r="AK387">
        <v>44816.959999999999</v>
      </c>
      <c r="AL387">
        <v>36955.08</v>
      </c>
      <c r="AM387">
        <v>7691.45</v>
      </c>
      <c r="AN387">
        <v>223.43</v>
      </c>
      <c r="AO387">
        <v>170.43</v>
      </c>
      <c r="AP387">
        <v>0</v>
      </c>
      <c r="AQ387">
        <v>20.86</v>
      </c>
      <c r="AR387">
        <v>18.649999999999999</v>
      </c>
      <c r="AS387">
        <v>0</v>
      </c>
      <c r="AT387">
        <v>142</v>
      </c>
      <c r="AU387">
        <v>95</v>
      </c>
      <c r="AV387">
        <v>1</v>
      </c>
      <c r="AW387">
        <v>1</v>
      </c>
      <c r="AZ387">
        <v>1</v>
      </c>
      <c r="BA387">
        <v>34.75</v>
      </c>
      <c r="BB387">
        <v>13.36</v>
      </c>
      <c r="BC387">
        <v>8.2899999999999991</v>
      </c>
      <c r="BD387" t="s">
        <v>3</v>
      </c>
      <c r="BE387" t="s">
        <v>3</v>
      </c>
      <c r="BF387" t="s">
        <v>3</v>
      </c>
      <c r="BG387" t="s">
        <v>3</v>
      </c>
      <c r="BH387">
        <v>0</v>
      </c>
      <c r="BI387">
        <v>1</v>
      </c>
      <c r="BJ387" t="s">
        <v>285</v>
      </c>
      <c r="BM387">
        <v>27001</v>
      </c>
      <c r="BN387">
        <v>0</v>
      </c>
      <c r="BO387" t="s">
        <v>3</v>
      </c>
      <c r="BP387">
        <v>0</v>
      </c>
      <c r="BQ387">
        <v>2</v>
      </c>
      <c r="BR387">
        <v>0</v>
      </c>
      <c r="BS387">
        <v>34.75</v>
      </c>
      <c r="BT387">
        <v>1</v>
      </c>
      <c r="BU387">
        <v>1</v>
      </c>
      <c r="BV387">
        <v>1</v>
      </c>
      <c r="BW387">
        <v>1</v>
      </c>
      <c r="BX387">
        <v>1</v>
      </c>
      <c r="BY387" t="s">
        <v>3</v>
      </c>
      <c r="BZ387">
        <v>142</v>
      </c>
      <c r="CA387">
        <v>95</v>
      </c>
      <c r="CB387" t="s">
        <v>3</v>
      </c>
      <c r="CE387">
        <v>0</v>
      </c>
      <c r="CF387">
        <v>0</v>
      </c>
      <c r="CG387">
        <v>0</v>
      </c>
      <c r="CM387">
        <v>0</v>
      </c>
      <c r="CN387" t="s">
        <v>675</v>
      </c>
      <c r="CO387">
        <v>0</v>
      </c>
      <c r="CP387">
        <f t="shared" si="325"/>
        <v>1852221</v>
      </c>
      <c r="CQ387">
        <f t="shared" si="326"/>
        <v>306357.61319999996</v>
      </c>
      <c r="CR387">
        <f t="shared" si="327"/>
        <v>709028.62679999997</v>
      </c>
      <c r="CS387">
        <f t="shared" si="328"/>
        <v>53572.928249999997</v>
      </c>
      <c r="CT387">
        <f t="shared" si="329"/>
        <v>6810.8088749999997</v>
      </c>
      <c r="CU387">
        <f t="shared" si="330"/>
        <v>0</v>
      </c>
      <c r="CV387">
        <f t="shared" si="331"/>
        <v>23.988999999999997</v>
      </c>
      <c r="CW387">
        <f t="shared" si="332"/>
        <v>128.685</v>
      </c>
      <c r="CX387">
        <f t="shared" si="333"/>
        <v>0</v>
      </c>
      <c r="CY387">
        <f t="shared" si="334"/>
        <v>155369.29999999999</v>
      </c>
      <c r="CZ387">
        <f t="shared" si="335"/>
        <v>103944.25</v>
      </c>
      <c r="DC387" t="s">
        <v>3</v>
      </c>
      <c r="DD387" t="s">
        <v>3</v>
      </c>
      <c r="DE387" t="s">
        <v>300</v>
      </c>
      <c r="DF387" t="s">
        <v>300</v>
      </c>
      <c r="DG387" t="s">
        <v>31</v>
      </c>
      <c r="DH387" t="s">
        <v>3</v>
      </c>
      <c r="DI387" t="s">
        <v>31</v>
      </c>
      <c r="DJ387" t="s">
        <v>300</v>
      </c>
      <c r="DK387" t="s">
        <v>3</v>
      </c>
      <c r="DL387" t="s">
        <v>3</v>
      </c>
      <c r="DM387" t="s">
        <v>3</v>
      </c>
      <c r="DN387">
        <v>0</v>
      </c>
      <c r="DO387">
        <v>0</v>
      </c>
      <c r="DP387">
        <v>1</v>
      </c>
      <c r="DQ387">
        <v>1</v>
      </c>
      <c r="DU387">
        <v>1013</v>
      </c>
      <c r="DV387" t="s">
        <v>284</v>
      </c>
      <c r="DW387" t="s">
        <v>284</v>
      </c>
      <c r="DX387">
        <v>1</v>
      </c>
      <c r="DZ387" t="s">
        <v>3</v>
      </c>
      <c r="EA387" t="s">
        <v>3</v>
      </c>
      <c r="EB387" t="s">
        <v>3</v>
      </c>
      <c r="EC387" t="s">
        <v>3</v>
      </c>
      <c r="EE387">
        <v>42475950</v>
      </c>
      <c r="EF387">
        <v>2</v>
      </c>
      <c r="EG387" t="s">
        <v>22</v>
      </c>
      <c r="EH387">
        <v>0</v>
      </c>
      <c r="EI387" t="s">
        <v>3</v>
      </c>
      <c r="EJ387">
        <v>1</v>
      </c>
      <c r="EK387">
        <v>27001</v>
      </c>
      <c r="EL387" t="s">
        <v>248</v>
      </c>
      <c r="EM387" t="s">
        <v>249</v>
      </c>
      <c r="EO387" t="s">
        <v>34</v>
      </c>
      <c r="EQ387">
        <v>0</v>
      </c>
      <c r="ER387">
        <v>44816.959999999999</v>
      </c>
      <c r="ES387">
        <v>36955.08</v>
      </c>
      <c r="ET387">
        <v>7691.45</v>
      </c>
      <c r="EU387">
        <v>223.43</v>
      </c>
      <c r="EV387">
        <v>170.43</v>
      </c>
      <c r="EW387">
        <v>20.86</v>
      </c>
      <c r="EX387">
        <v>18.649999999999999</v>
      </c>
      <c r="EY387">
        <v>0</v>
      </c>
      <c r="FQ387">
        <v>0</v>
      </c>
      <c r="FR387">
        <f t="shared" si="336"/>
        <v>0</v>
      </c>
      <c r="FS387">
        <v>0</v>
      </c>
      <c r="FX387">
        <v>142</v>
      </c>
      <c r="FY387">
        <v>95</v>
      </c>
      <c r="GA387" t="s">
        <v>3</v>
      </c>
      <c r="GD387">
        <v>1</v>
      </c>
      <c r="GF387">
        <v>22958524</v>
      </c>
      <c r="GG387">
        <v>2</v>
      </c>
      <c r="GH387">
        <v>1</v>
      </c>
      <c r="GI387">
        <v>4</v>
      </c>
      <c r="GJ387">
        <v>0</v>
      </c>
      <c r="GK387">
        <v>0</v>
      </c>
      <c r="GL387">
        <f t="shared" si="337"/>
        <v>0</v>
      </c>
      <c r="GM387">
        <f t="shared" si="338"/>
        <v>2111534</v>
      </c>
      <c r="GN387">
        <f t="shared" si="339"/>
        <v>2111534</v>
      </c>
      <c r="GO387">
        <f t="shared" si="340"/>
        <v>0</v>
      </c>
      <c r="GP387">
        <f t="shared" si="341"/>
        <v>0</v>
      </c>
      <c r="GR387">
        <v>0</v>
      </c>
      <c r="GS387">
        <v>3</v>
      </c>
      <c r="GT387">
        <v>0</v>
      </c>
      <c r="GU387" t="s">
        <v>3</v>
      </c>
      <c r="GV387">
        <f t="shared" si="342"/>
        <v>0</v>
      </c>
      <c r="GW387">
        <v>1</v>
      </c>
      <c r="GX387">
        <f t="shared" si="343"/>
        <v>0</v>
      </c>
      <c r="HA387">
        <v>0</v>
      </c>
      <c r="HB387">
        <v>0</v>
      </c>
      <c r="HC387">
        <f t="shared" si="344"/>
        <v>0</v>
      </c>
      <c r="HE387" t="s">
        <v>3</v>
      </c>
      <c r="HF387" t="s">
        <v>3</v>
      </c>
      <c r="HM387" t="s">
        <v>3</v>
      </c>
      <c r="HN387" t="s">
        <v>3</v>
      </c>
      <c r="HO387" t="s">
        <v>3</v>
      </c>
      <c r="HP387" t="s">
        <v>3</v>
      </c>
      <c r="HQ387" t="s">
        <v>3</v>
      </c>
      <c r="IK387">
        <v>0</v>
      </c>
    </row>
    <row r="388" spans="1:245" x14ac:dyDescent="0.2">
      <c r="A388">
        <v>18</v>
      </c>
      <c r="B388">
        <v>1</v>
      </c>
      <c r="C388">
        <v>313</v>
      </c>
      <c r="E388" t="s">
        <v>301</v>
      </c>
      <c r="F388" t="s">
        <v>287</v>
      </c>
      <c r="G388" t="s">
        <v>288</v>
      </c>
      <c r="H388" t="s">
        <v>184</v>
      </c>
      <c r="I388">
        <f>I387*J388</f>
        <v>-190.73112</v>
      </c>
      <c r="J388">
        <v>-105.26</v>
      </c>
      <c r="K388">
        <v>-105.26</v>
      </c>
      <c r="O388">
        <f t="shared" si="310"/>
        <v>-540899</v>
      </c>
      <c r="P388">
        <f t="shared" si="311"/>
        <v>-540899</v>
      </c>
      <c r="Q388">
        <f t="shared" si="312"/>
        <v>0</v>
      </c>
      <c r="R388">
        <f t="shared" si="313"/>
        <v>0</v>
      </c>
      <c r="S388">
        <f t="shared" si="314"/>
        <v>0</v>
      </c>
      <c r="T388">
        <f t="shared" si="315"/>
        <v>0</v>
      </c>
      <c r="U388">
        <f t="shared" si="316"/>
        <v>0</v>
      </c>
      <c r="V388">
        <f t="shared" si="317"/>
        <v>0</v>
      </c>
      <c r="W388">
        <f t="shared" si="318"/>
        <v>0</v>
      </c>
      <c r="X388">
        <f t="shared" si="319"/>
        <v>0</v>
      </c>
      <c r="Y388">
        <f t="shared" si="320"/>
        <v>0</v>
      </c>
      <c r="AA388">
        <v>46416371</v>
      </c>
      <c r="AB388">
        <f t="shared" si="321"/>
        <v>342.09</v>
      </c>
      <c r="AC388">
        <f t="shared" si="345"/>
        <v>342.09</v>
      </c>
      <c r="AD388">
        <f>ROUND((((ET388)-(EU388))+AE388),6)</f>
        <v>0</v>
      </c>
      <c r="AE388">
        <f>ROUND((EU388),6)</f>
        <v>0</v>
      </c>
      <c r="AF388">
        <f>ROUND((EV388),6)</f>
        <v>0</v>
      </c>
      <c r="AG388">
        <f t="shared" si="323"/>
        <v>0</v>
      </c>
      <c r="AH388">
        <f>(EW388)</f>
        <v>0</v>
      </c>
      <c r="AI388">
        <f>(EX388)</f>
        <v>0</v>
      </c>
      <c r="AJ388">
        <f t="shared" si="324"/>
        <v>0</v>
      </c>
      <c r="AK388">
        <v>342.09</v>
      </c>
      <c r="AL388">
        <v>342.09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1</v>
      </c>
      <c r="AW388">
        <v>1</v>
      </c>
      <c r="AZ388">
        <v>1</v>
      </c>
      <c r="BA388">
        <v>1</v>
      </c>
      <c r="BB388">
        <v>1</v>
      </c>
      <c r="BC388">
        <v>8.2899999999999991</v>
      </c>
      <c r="BD388" t="s">
        <v>3</v>
      </c>
      <c r="BE388" t="s">
        <v>3</v>
      </c>
      <c r="BF388" t="s">
        <v>3</v>
      </c>
      <c r="BG388" t="s">
        <v>3</v>
      </c>
      <c r="BH388">
        <v>3</v>
      </c>
      <c r="BI388">
        <v>1</v>
      </c>
      <c r="BJ388" t="s">
        <v>289</v>
      </c>
      <c r="BM388">
        <v>500001</v>
      </c>
      <c r="BN388">
        <v>0</v>
      </c>
      <c r="BO388" t="s">
        <v>3</v>
      </c>
      <c r="BP388">
        <v>0</v>
      </c>
      <c r="BQ388">
        <v>8</v>
      </c>
      <c r="BR388">
        <v>1</v>
      </c>
      <c r="BS388">
        <v>1</v>
      </c>
      <c r="BT388">
        <v>1</v>
      </c>
      <c r="BU388">
        <v>1</v>
      </c>
      <c r="BV388">
        <v>1</v>
      </c>
      <c r="BW388">
        <v>1</v>
      </c>
      <c r="BX388">
        <v>1</v>
      </c>
      <c r="BY388" t="s">
        <v>3</v>
      </c>
      <c r="BZ388">
        <v>0</v>
      </c>
      <c r="CA388">
        <v>0</v>
      </c>
      <c r="CB388" t="s">
        <v>3</v>
      </c>
      <c r="CE388">
        <v>0</v>
      </c>
      <c r="CF388">
        <v>0</v>
      </c>
      <c r="CG388">
        <v>0</v>
      </c>
      <c r="CM388">
        <v>0</v>
      </c>
      <c r="CN388" t="s">
        <v>3</v>
      </c>
      <c r="CO388">
        <v>0</v>
      </c>
      <c r="CP388">
        <f t="shared" si="325"/>
        <v>-540899</v>
      </c>
      <c r="CQ388">
        <f t="shared" si="326"/>
        <v>2835.9260999999997</v>
      </c>
      <c r="CR388">
        <f t="shared" si="327"/>
        <v>0</v>
      </c>
      <c r="CS388">
        <f t="shared" si="328"/>
        <v>0</v>
      </c>
      <c r="CT388">
        <f t="shared" si="329"/>
        <v>0</v>
      </c>
      <c r="CU388">
        <f t="shared" si="330"/>
        <v>0</v>
      </c>
      <c r="CV388">
        <f t="shared" si="331"/>
        <v>0</v>
      </c>
      <c r="CW388">
        <f t="shared" si="332"/>
        <v>0</v>
      </c>
      <c r="CX388">
        <f t="shared" si="333"/>
        <v>0</v>
      </c>
      <c r="CY388">
        <f t="shared" si="334"/>
        <v>0</v>
      </c>
      <c r="CZ388">
        <f t="shared" si="335"/>
        <v>0</v>
      </c>
      <c r="DC388" t="s">
        <v>3</v>
      </c>
      <c r="DD388" t="s">
        <v>3</v>
      </c>
      <c r="DE388" t="s">
        <v>3</v>
      </c>
      <c r="DF388" t="s">
        <v>3</v>
      </c>
      <c r="DG388" t="s">
        <v>3</v>
      </c>
      <c r="DH388" t="s">
        <v>3</v>
      </c>
      <c r="DI388" t="s">
        <v>3</v>
      </c>
      <c r="DJ388" t="s">
        <v>3</v>
      </c>
      <c r="DK388" t="s">
        <v>3</v>
      </c>
      <c r="DL388" t="s">
        <v>3</v>
      </c>
      <c r="DM388" t="s">
        <v>3</v>
      </c>
      <c r="DN388">
        <v>0</v>
      </c>
      <c r="DO388">
        <v>0</v>
      </c>
      <c r="DP388">
        <v>1</v>
      </c>
      <c r="DQ388">
        <v>1</v>
      </c>
      <c r="DU388">
        <v>1009</v>
      </c>
      <c r="DV388" t="s">
        <v>184</v>
      </c>
      <c r="DW388" t="s">
        <v>184</v>
      </c>
      <c r="DX388">
        <v>1000</v>
      </c>
      <c r="DZ388" t="s">
        <v>3</v>
      </c>
      <c r="EA388" t="s">
        <v>3</v>
      </c>
      <c r="EB388" t="s">
        <v>3</v>
      </c>
      <c r="EC388" t="s">
        <v>3</v>
      </c>
      <c r="EE388">
        <v>42475842</v>
      </c>
      <c r="EF388">
        <v>8</v>
      </c>
      <c r="EG388" t="s">
        <v>141</v>
      </c>
      <c r="EH388">
        <v>0</v>
      </c>
      <c r="EI388" t="s">
        <v>3</v>
      </c>
      <c r="EJ388">
        <v>1</v>
      </c>
      <c r="EK388">
        <v>500001</v>
      </c>
      <c r="EL388" t="s">
        <v>142</v>
      </c>
      <c r="EM388" t="s">
        <v>143</v>
      </c>
      <c r="EO388" t="s">
        <v>3</v>
      </c>
      <c r="EQ388">
        <v>0</v>
      </c>
      <c r="ER388">
        <v>342.09</v>
      </c>
      <c r="ES388">
        <v>342.09</v>
      </c>
      <c r="ET388">
        <v>0</v>
      </c>
      <c r="EU388">
        <v>0</v>
      </c>
      <c r="EV388">
        <v>0</v>
      </c>
      <c r="EW388">
        <v>0</v>
      </c>
      <c r="EX388">
        <v>0</v>
      </c>
      <c r="FQ388">
        <v>0</v>
      </c>
      <c r="FR388">
        <f t="shared" si="336"/>
        <v>0</v>
      </c>
      <c r="FS388">
        <v>0</v>
      </c>
      <c r="FX388">
        <v>0</v>
      </c>
      <c r="FY388">
        <v>0</v>
      </c>
      <c r="GA388" t="s">
        <v>3</v>
      </c>
      <c r="GD388">
        <v>1</v>
      </c>
      <c r="GF388">
        <v>1746175502</v>
      </c>
      <c r="GG388">
        <v>2</v>
      </c>
      <c r="GH388">
        <v>1</v>
      </c>
      <c r="GI388">
        <v>4</v>
      </c>
      <c r="GJ388">
        <v>0</v>
      </c>
      <c r="GK388">
        <v>0</v>
      </c>
      <c r="GL388">
        <f t="shared" si="337"/>
        <v>0</v>
      </c>
      <c r="GM388">
        <f t="shared" si="338"/>
        <v>-540899</v>
      </c>
      <c r="GN388">
        <f t="shared" si="339"/>
        <v>-540899</v>
      </c>
      <c r="GO388">
        <f t="shared" si="340"/>
        <v>0</v>
      </c>
      <c r="GP388">
        <f t="shared" si="341"/>
        <v>0</v>
      </c>
      <c r="GR388">
        <v>0</v>
      </c>
      <c r="GS388">
        <v>3</v>
      </c>
      <c r="GT388">
        <v>0</v>
      </c>
      <c r="GU388" t="s">
        <v>3</v>
      </c>
      <c r="GV388">
        <f t="shared" si="342"/>
        <v>0</v>
      </c>
      <c r="GW388">
        <v>1</v>
      </c>
      <c r="GX388">
        <f t="shared" si="343"/>
        <v>0</v>
      </c>
      <c r="HA388">
        <v>0</v>
      </c>
      <c r="HB388">
        <v>0</v>
      </c>
      <c r="HC388">
        <f t="shared" si="344"/>
        <v>0</v>
      </c>
      <c r="HE388" t="s">
        <v>3</v>
      </c>
      <c r="HF388" t="s">
        <v>3</v>
      </c>
      <c r="HM388" t="s">
        <v>3</v>
      </c>
      <c r="HN388" t="s">
        <v>3</v>
      </c>
      <c r="HO388" t="s">
        <v>3</v>
      </c>
      <c r="HP388" t="s">
        <v>3</v>
      </c>
      <c r="HQ388" t="s">
        <v>3</v>
      </c>
      <c r="IK388">
        <v>0</v>
      </c>
    </row>
    <row r="389" spans="1:245" x14ac:dyDescent="0.2">
      <c r="A389">
        <v>18</v>
      </c>
      <c r="B389">
        <v>1</v>
      </c>
      <c r="C389">
        <v>315</v>
      </c>
      <c r="E389" t="s">
        <v>302</v>
      </c>
      <c r="F389" t="s">
        <v>145</v>
      </c>
      <c r="G389" t="s">
        <v>290</v>
      </c>
      <c r="H389" t="s">
        <v>184</v>
      </c>
      <c r="I389">
        <f>I387*J389</f>
        <v>190.72834224598927</v>
      </c>
      <c r="J389">
        <v>105.25846702317288</v>
      </c>
      <c r="K389">
        <v>105.258467</v>
      </c>
      <c r="O389">
        <f t="shared" si="310"/>
        <v>933138</v>
      </c>
      <c r="P389">
        <f t="shared" si="311"/>
        <v>933138</v>
      </c>
      <c r="Q389">
        <f t="shared" si="312"/>
        <v>0</v>
      </c>
      <c r="R389">
        <f t="shared" si="313"/>
        <v>0</v>
      </c>
      <c r="S389">
        <f t="shared" si="314"/>
        <v>0</v>
      </c>
      <c r="T389">
        <f t="shared" si="315"/>
        <v>0</v>
      </c>
      <c r="U389">
        <f t="shared" si="316"/>
        <v>0</v>
      </c>
      <c r="V389">
        <f t="shared" si="317"/>
        <v>0</v>
      </c>
      <c r="W389">
        <f t="shared" si="318"/>
        <v>0</v>
      </c>
      <c r="X389">
        <f t="shared" si="319"/>
        <v>0</v>
      </c>
      <c r="Y389">
        <f t="shared" si="320"/>
        <v>0</v>
      </c>
      <c r="AA389">
        <v>46416371</v>
      </c>
      <c r="AB389">
        <f t="shared" si="321"/>
        <v>4892.5</v>
      </c>
      <c r="AC389">
        <f t="shared" si="345"/>
        <v>4892.5</v>
      </c>
      <c r="AD389">
        <f>ROUND((((ET389)-(EU389))+AE389),6)</f>
        <v>0</v>
      </c>
      <c r="AE389">
        <f>ROUND((EU389),6)</f>
        <v>0</v>
      </c>
      <c r="AF389">
        <f>ROUND((EV389),6)</f>
        <v>0</v>
      </c>
      <c r="AG389">
        <f t="shared" si="323"/>
        <v>0</v>
      </c>
      <c r="AH389">
        <f>(EW389)</f>
        <v>0</v>
      </c>
      <c r="AI389">
        <f>(EX389)</f>
        <v>0</v>
      </c>
      <c r="AJ389">
        <f t="shared" si="324"/>
        <v>0</v>
      </c>
      <c r="AK389">
        <v>4892.5</v>
      </c>
      <c r="AL389">
        <v>4892.5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1</v>
      </c>
      <c r="AW389">
        <v>1</v>
      </c>
      <c r="AZ389">
        <v>1</v>
      </c>
      <c r="BA389">
        <v>1</v>
      </c>
      <c r="BB389">
        <v>1</v>
      </c>
      <c r="BC389">
        <v>1</v>
      </c>
      <c r="BD389" t="s">
        <v>3</v>
      </c>
      <c r="BE389" t="s">
        <v>3</v>
      </c>
      <c r="BF389" t="s">
        <v>3</v>
      </c>
      <c r="BG389" t="s">
        <v>3</v>
      </c>
      <c r="BH389">
        <v>3</v>
      </c>
      <c r="BI389">
        <v>4</v>
      </c>
      <c r="BJ389" t="s">
        <v>3</v>
      </c>
      <c r="BM389">
        <v>0</v>
      </c>
      <c r="BN389">
        <v>0</v>
      </c>
      <c r="BO389" t="s">
        <v>3</v>
      </c>
      <c r="BP389">
        <v>0</v>
      </c>
      <c r="BQ389">
        <v>16</v>
      </c>
      <c r="BR389">
        <v>0</v>
      </c>
      <c r="BS389">
        <v>1</v>
      </c>
      <c r="BT389">
        <v>1</v>
      </c>
      <c r="BU389">
        <v>1</v>
      </c>
      <c r="BV389">
        <v>1</v>
      </c>
      <c r="BW389">
        <v>1</v>
      </c>
      <c r="BX389">
        <v>1</v>
      </c>
      <c r="BY389" t="s">
        <v>3</v>
      </c>
      <c r="BZ389">
        <v>0</v>
      </c>
      <c r="CA389">
        <v>0</v>
      </c>
      <c r="CB389" t="s">
        <v>3</v>
      </c>
      <c r="CE389">
        <v>0</v>
      </c>
      <c r="CF389">
        <v>0</v>
      </c>
      <c r="CG389">
        <v>0</v>
      </c>
      <c r="CM389">
        <v>0</v>
      </c>
      <c r="CN389" t="s">
        <v>3</v>
      </c>
      <c r="CO389">
        <v>0</v>
      </c>
      <c r="CP389">
        <f t="shared" si="325"/>
        <v>933138</v>
      </c>
      <c r="CQ389">
        <f t="shared" si="326"/>
        <v>4892.5</v>
      </c>
      <c r="CR389">
        <f t="shared" si="327"/>
        <v>0</v>
      </c>
      <c r="CS389">
        <f t="shared" si="328"/>
        <v>0</v>
      </c>
      <c r="CT389">
        <f t="shared" si="329"/>
        <v>0</v>
      </c>
      <c r="CU389">
        <f t="shared" si="330"/>
        <v>0</v>
      </c>
      <c r="CV389">
        <f t="shared" si="331"/>
        <v>0</v>
      </c>
      <c r="CW389">
        <f t="shared" si="332"/>
        <v>0</v>
      </c>
      <c r="CX389">
        <f t="shared" si="333"/>
        <v>0</v>
      </c>
      <c r="CY389">
        <f t="shared" si="334"/>
        <v>0</v>
      </c>
      <c r="CZ389">
        <f t="shared" si="335"/>
        <v>0</v>
      </c>
      <c r="DC389" t="s">
        <v>3</v>
      </c>
      <c r="DD389" t="s">
        <v>3</v>
      </c>
      <c r="DE389" t="s">
        <v>3</v>
      </c>
      <c r="DF389" t="s">
        <v>3</v>
      </c>
      <c r="DG389" t="s">
        <v>3</v>
      </c>
      <c r="DH389" t="s">
        <v>3</v>
      </c>
      <c r="DI389" t="s">
        <v>3</v>
      </c>
      <c r="DJ389" t="s">
        <v>3</v>
      </c>
      <c r="DK389" t="s">
        <v>3</v>
      </c>
      <c r="DL389" t="s">
        <v>3</v>
      </c>
      <c r="DM389" t="s">
        <v>3</v>
      </c>
      <c r="DN389">
        <v>0</v>
      </c>
      <c r="DO389">
        <v>0</v>
      </c>
      <c r="DP389">
        <v>1</v>
      </c>
      <c r="DQ389">
        <v>1</v>
      </c>
      <c r="DU389">
        <v>1009</v>
      </c>
      <c r="DV389" t="s">
        <v>184</v>
      </c>
      <c r="DW389" t="s">
        <v>184</v>
      </c>
      <c r="DX389">
        <v>1000</v>
      </c>
      <c r="DZ389" t="s">
        <v>3</v>
      </c>
      <c r="EA389" t="s">
        <v>3</v>
      </c>
      <c r="EB389" t="s">
        <v>3</v>
      </c>
      <c r="EC389" t="s">
        <v>3</v>
      </c>
      <c r="EE389">
        <v>42475850</v>
      </c>
      <c r="EF389">
        <v>16</v>
      </c>
      <c r="EG389" t="s">
        <v>147</v>
      </c>
      <c r="EH389">
        <v>0</v>
      </c>
      <c r="EI389" t="s">
        <v>3</v>
      </c>
      <c r="EJ389">
        <v>4</v>
      </c>
      <c r="EK389">
        <v>0</v>
      </c>
      <c r="EL389" t="s">
        <v>148</v>
      </c>
      <c r="EM389" t="s">
        <v>149</v>
      </c>
      <c r="EO389" t="s">
        <v>3</v>
      </c>
      <c r="EQ389">
        <v>0</v>
      </c>
      <c r="ER389">
        <v>4892.5</v>
      </c>
      <c r="ES389">
        <v>4892.5</v>
      </c>
      <c r="ET389">
        <v>0</v>
      </c>
      <c r="EU389">
        <v>0</v>
      </c>
      <c r="EV389">
        <v>0</v>
      </c>
      <c r="EW389">
        <v>0</v>
      </c>
      <c r="EX389">
        <v>0</v>
      </c>
      <c r="EZ389">
        <v>5</v>
      </c>
      <c r="FC389">
        <v>1</v>
      </c>
      <c r="FD389">
        <v>18</v>
      </c>
      <c r="FF389">
        <v>5700</v>
      </c>
      <c r="FQ389">
        <v>0</v>
      </c>
      <c r="FR389">
        <f t="shared" si="336"/>
        <v>0</v>
      </c>
      <c r="FS389">
        <v>0</v>
      </c>
      <c r="FX389">
        <v>0</v>
      </c>
      <c r="FY389">
        <v>0</v>
      </c>
      <c r="GA389" t="s">
        <v>291</v>
      </c>
      <c r="GD389">
        <v>1</v>
      </c>
      <c r="GF389">
        <v>2054945668</v>
      </c>
      <c r="GG389">
        <v>2</v>
      </c>
      <c r="GH389">
        <v>3</v>
      </c>
      <c r="GI389">
        <v>4</v>
      </c>
      <c r="GJ389">
        <v>0</v>
      </c>
      <c r="GK389">
        <v>0</v>
      </c>
      <c r="GL389">
        <f t="shared" si="337"/>
        <v>0</v>
      </c>
      <c r="GM389">
        <f t="shared" si="338"/>
        <v>933138</v>
      </c>
      <c r="GN389">
        <f t="shared" si="339"/>
        <v>0</v>
      </c>
      <c r="GO389">
        <f t="shared" si="340"/>
        <v>0</v>
      </c>
      <c r="GP389">
        <f t="shared" si="341"/>
        <v>933138</v>
      </c>
      <c r="GR389">
        <v>1</v>
      </c>
      <c r="GS389">
        <v>1</v>
      </c>
      <c r="GT389">
        <v>0</v>
      </c>
      <c r="GU389" t="s">
        <v>3</v>
      </c>
      <c r="GV389">
        <f t="shared" si="342"/>
        <v>0</v>
      </c>
      <c r="GW389">
        <v>1</v>
      </c>
      <c r="GX389">
        <f t="shared" si="343"/>
        <v>0</v>
      </c>
      <c r="HA389">
        <v>0</v>
      </c>
      <c r="HB389">
        <v>0</v>
      </c>
      <c r="HC389">
        <f t="shared" si="344"/>
        <v>0</v>
      </c>
      <c r="HE389" t="s">
        <v>56</v>
      </c>
      <c r="HF389" t="s">
        <v>151</v>
      </c>
      <c r="HM389" t="s">
        <v>3</v>
      </c>
      <c r="HN389" t="s">
        <v>3</v>
      </c>
      <c r="HO389" t="s">
        <v>3</v>
      </c>
      <c r="HP389" t="s">
        <v>3</v>
      </c>
      <c r="HQ389" t="s">
        <v>3</v>
      </c>
      <c r="IK389">
        <v>0</v>
      </c>
    </row>
    <row r="390" spans="1:245" s="53" customFormat="1" x14ac:dyDescent="0.2">
      <c r="A390" s="53">
        <v>17</v>
      </c>
      <c r="B390" s="53">
        <v>1</v>
      </c>
      <c r="C390" s="53">
        <f>ROW(SmtRes!A327)</f>
        <v>327</v>
      </c>
      <c r="D390" s="53">
        <f>ROW(EtalonRes!A310)</f>
        <v>310</v>
      </c>
      <c r="E390" s="53" t="s">
        <v>174</v>
      </c>
      <c r="F390" s="53" t="s">
        <v>292</v>
      </c>
      <c r="G390" s="53" t="s">
        <v>293</v>
      </c>
      <c r="H390" s="53" t="s">
        <v>284</v>
      </c>
      <c r="I390" s="53">
        <v>1.8120000000000001</v>
      </c>
      <c r="J390" s="53">
        <v>0</v>
      </c>
      <c r="K390" s="53">
        <f>ROUND(561/1000,9)</f>
        <v>0.56100000000000005</v>
      </c>
      <c r="O390" s="53">
        <f t="shared" si="310"/>
        <v>150367</v>
      </c>
      <c r="P390" s="53">
        <f t="shared" si="311"/>
        <v>135734</v>
      </c>
      <c r="Q390" s="53">
        <f t="shared" si="312"/>
        <v>14187</v>
      </c>
      <c r="R390" s="53">
        <f t="shared" si="313"/>
        <v>805</v>
      </c>
      <c r="S390" s="53">
        <f t="shared" si="314"/>
        <v>446</v>
      </c>
      <c r="T390" s="53">
        <f t="shared" si="315"/>
        <v>0</v>
      </c>
      <c r="U390" s="53">
        <f t="shared" si="316"/>
        <v>1.4586599999999998</v>
      </c>
      <c r="V390" s="53">
        <f t="shared" si="317"/>
        <v>11.752632</v>
      </c>
      <c r="W390" s="53">
        <f t="shared" si="318"/>
        <v>0</v>
      </c>
      <c r="X390" s="53">
        <f t="shared" si="319"/>
        <v>1776</v>
      </c>
      <c r="Y390" s="53">
        <f t="shared" si="320"/>
        <v>1188</v>
      </c>
      <c r="AA390" s="53">
        <v>46416371</v>
      </c>
      <c r="AB390" s="53">
        <f t="shared" si="321"/>
        <v>9629.1239999999998</v>
      </c>
      <c r="AC390" s="53">
        <f>ROUND(((ES390*2)),6)</f>
        <v>9036</v>
      </c>
      <c r="AD390" s="53">
        <f>ROUND(((((ET390*1.15*2))-((EU390*1.15*2)))+AE390),6)</f>
        <v>586.04</v>
      </c>
      <c r="AE390" s="53">
        <f>ROUND(((EU390*1.15*2)),6)</f>
        <v>12.788</v>
      </c>
      <c r="AF390" s="53">
        <f>ROUND(((EV390*1.15*2)),6)</f>
        <v>7.0839999999999996</v>
      </c>
      <c r="AG390" s="53">
        <f t="shared" si="323"/>
        <v>0</v>
      </c>
      <c r="AH390" s="53">
        <f>((EW390*1.15*2))</f>
        <v>0.80499999999999994</v>
      </c>
      <c r="AI390" s="53">
        <f>((EX390*1.15*2*6))</f>
        <v>6.4859999999999998</v>
      </c>
      <c r="AJ390" s="53">
        <f t="shared" si="324"/>
        <v>0</v>
      </c>
      <c r="AK390" s="53">
        <v>4775.88</v>
      </c>
      <c r="AL390" s="53">
        <v>4518</v>
      </c>
      <c r="AM390" s="53">
        <v>254.8</v>
      </c>
      <c r="AN390" s="53">
        <v>5.56</v>
      </c>
      <c r="AO390" s="53">
        <v>3.08</v>
      </c>
      <c r="AP390" s="53">
        <v>0</v>
      </c>
      <c r="AQ390" s="53">
        <v>0.35</v>
      </c>
      <c r="AR390" s="53">
        <v>0.47</v>
      </c>
      <c r="AS390" s="53">
        <v>0</v>
      </c>
      <c r="AT390" s="53">
        <v>142</v>
      </c>
      <c r="AU390" s="53">
        <v>95</v>
      </c>
      <c r="AV390" s="53">
        <v>1</v>
      </c>
      <c r="AW390" s="53">
        <v>1</v>
      </c>
      <c r="AZ390" s="53">
        <v>1</v>
      </c>
      <c r="BA390" s="53">
        <v>34.75</v>
      </c>
      <c r="BB390" s="53">
        <v>13.36</v>
      </c>
      <c r="BC390" s="53">
        <v>8.2899999999999991</v>
      </c>
      <c r="BD390" s="53" t="s">
        <v>3</v>
      </c>
      <c r="BE390" s="53" t="s">
        <v>3</v>
      </c>
      <c r="BF390" s="53" t="s">
        <v>3</v>
      </c>
      <c r="BG390" s="53" t="s">
        <v>3</v>
      </c>
      <c r="BH390" s="53">
        <v>0</v>
      </c>
      <c r="BI390" s="53">
        <v>1</v>
      </c>
      <c r="BJ390" s="53" t="s">
        <v>294</v>
      </c>
      <c r="BM390" s="53">
        <v>27001</v>
      </c>
      <c r="BN390" s="53">
        <v>0</v>
      </c>
      <c r="BO390" s="53" t="s">
        <v>3</v>
      </c>
      <c r="BP390" s="53">
        <v>0</v>
      </c>
      <c r="BQ390" s="53">
        <v>2</v>
      </c>
      <c r="BR390" s="53">
        <v>0</v>
      </c>
      <c r="BS390" s="53">
        <v>34.75</v>
      </c>
      <c r="BT390" s="53">
        <v>1</v>
      </c>
      <c r="BU390" s="53">
        <v>1</v>
      </c>
      <c r="BV390" s="53">
        <v>1</v>
      </c>
      <c r="BW390" s="53">
        <v>1</v>
      </c>
      <c r="BX390" s="53">
        <v>1</v>
      </c>
      <c r="BY390" s="53" t="s">
        <v>3</v>
      </c>
      <c r="BZ390" s="53">
        <v>142</v>
      </c>
      <c r="CA390" s="53">
        <v>95</v>
      </c>
      <c r="CB390" s="53" t="s">
        <v>3</v>
      </c>
      <c r="CE390" s="53">
        <v>0</v>
      </c>
      <c r="CF390" s="53">
        <v>0</v>
      </c>
      <c r="CG390" s="53">
        <v>0</v>
      </c>
      <c r="CM390" s="53">
        <v>0</v>
      </c>
      <c r="CN390" s="53" t="s">
        <v>675</v>
      </c>
      <c r="CO390" s="53">
        <v>0</v>
      </c>
      <c r="CP390" s="53">
        <f t="shared" si="325"/>
        <v>150367</v>
      </c>
      <c r="CQ390" s="53">
        <f t="shared" si="326"/>
        <v>74908.439999999988</v>
      </c>
      <c r="CR390" s="53">
        <f t="shared" si="327"/>
        <v>7829.4943999999996</v>
      </c>
      <c r="CS390" s="53">
        <f t="shared" si="328"/>
        <v>444.38299999999998</v>
      </c>
      <c r="CT390" s="53">
        <f t="shared" si="329"/>
        <v>246.16899999999998</v>
      </c>
      <c r="CU390" s="53">
        <f t="shared" si="330"/>
        <v>0</v>
      </c>
      <c r="CV390" s="53">
        <f t="shared" si="331"/>
        <v>0.80499999999999994</v>
      </c>
      <c r="CW390" s="53">
        <f t="shared" si="332"/>
        <v>6.4859999999999998</v>
      </c>
      <c r="CX390" s="53">
        <f t="shared" si="333"/>
        <v>0</v>
      </c>
      <c r="CY390" s="53">
        <f t="shared" si="334"/>
        <v>1776.42</v>
      </c>
      <c r="CZ390" s="53">
        <f t="shared" si="335"/>
        <v>1188.45</v>
      </c>
      <c r="DC390" s="53" t="s">
        <v>3</v>
      </c>
      <c r="DD390" s="53" t="s">
        <v>303</v>
      </c>
      <c r="DE390" s="53" t="s">
        <v>304</v>
      </c>
      <c r="DF390" s="53" t="s">
        <v>304</v>
      </c>
      <c r="DG390" s="53" t="s">
        <v>305</v>
      </c>
      <c r="DH390" s="53" t="s">
        <v>3</v>
      </c>
      <c r="DI390" s="53" t="s">
        <v>305</v>
      </c>
      <c r="DJ390" s="53" t="s">
        <v>304</v>
      </c>
      <c r="DK390" s="53" t="s">
        <v>3</v>
      </c>
      <c r="DL390" s="53" t="s">
        <v>3</v>
      </c>
      <c r="DM390" s="53" t="s">
        <v>3</v>
      </c>
      <c r="DN390" s="53">
        <v>0</v>
      </c>
      <c r="DO390" s="53">
        <v>0</v>
      </c>
      <c r="DP390" s="53">
        <v>1</v>
      </c>
      <c r="DQ390" s="53">
        <v>1</v>
      </c>
      <c r="DU390" s="53">
        <v>1013</v>
      </c>
      <c r="DV390" s="53" t="s">
        <v>284</v>
      </c>
      <c r="DW390" s="53" t="s">
        <v>284</v>
      </c>
      <c r="DX390" s="53">
        <v>1</v>
      </c>
      <c r="DZ390" s="53" t="s">
        <v>3</v>
      </c>
      <c r="EA390" s="53" t="s">
        <v>3</v>
      </c>
      <c r="EB390" s="53" t="s">
        <v>3</v>
      </c>
      <c r="EC390" s="53" t="s">
        <v>3</v>
      </c>
      <c r="EE390" s="53">
        <v>42475950</v>
      </c>
      <c r="EF390" s="53">
        <v>2</v>
      </c>
      <c r="EG390" s="53" t="s">
        <v>22</v>
      </c>
      <c r="EH390" s="53">
        <v>0</v>
      </c>
      <c r="EI390" s="53" t="s">
        <v>3</v>
      </c>
      <c r="EJ390" s="53">
        <v>1</v>
      </c>
      <c r="EK390" s="53">
        <v>27001</v>
      </c>
      <c r="EL390" s="53" t="s">
        <v>248</v>
      </c>
      <c r="EM390" s="53" t="s">
        <v>249</v>
      </c>
      <c r="EO390" s="53" t="s">
        <v>34</v>
      </c>
      <c r="EQ390" s="53">
        <v>0</v>
      </c>
      <c r="ER390" s="53">
        <v>4775.88</v>
      </c>
      <c r="ES390" s="53">
        <v>4518</v>
      </c>
      <c r="ET390" s="53">
        <v>254.8</v>
      </c>
      <c r="EU390" s="53">
        <v>5.56</v>
      </c>
      <c r="EV390" s="53">
        <v>3.08</v>
      </c>
      <c r="EW390" s="53">
        <v>0.35</v>
      </c>
      <c r="EX390" s="53">
        <v>0.47</v>
      </c>
      <c r="EY390" s="53">
        <v>0</v>
      </c>
      <c r="FQ390" s="53">
        <v>0</v>
      </c>
      <c r="FR390" s="53">
        <f t="shared" si="336"/>
        <v>0</v>
      </c>
      <c r="FS390" s="53">
        <v>0</v>
      </c>
      <c r="FX390" s="53">
        <v>142</v>
      </c>
      <c r="FY390" s="53">
        <v>95</v>
      </c>
      <c r="GA390" s="53" t="s">
        <v>3</v>
      </c>
      <c r="GD390" s="53">
        <v>1</v>
      </c>
      <c r="GF390" s="53">
        <v>-419478316</v>
      </c>
      <c r="GG390" s="53">
        <v>2</v>
      </c>
      <c r="GH390" s="53">
        <v>1</v>
      </c>
      <c r="GI390" s="53">
        <v>4</v>
      </c>
      <c r="GJ390" s="53">
        <v>0</v>
      </c>
      <c r="GK390" s="53">
        <v>0</v>
      </c>
      <c r="GL390" s="53">
        <f t="shared" si="337"/>
        <v>0</v>
      </c>
      <c r="GM390" s="53">
        <f t="shared" si="338"/>
        <v>153331</v>
      </c>
      <c r="GN390" s="53">
        <f t="shared" si="339"/>
        <v>153331</v>
      </c>
      <c r="GO390" s="53">
        <f t="shared" si="340"/>
        <v>0</v>
      </c>
      <c r="GP390" s="53">
        <f t="shared" si="341"/>
        <v>0</v>
      </c>
      <c r="GR390" s="53">
        <v>0</v>
      </c>
      <c r="GS390" s="53">
        <v>3</v>
      </c>
      <c r="GT390" s="53">
        <v>0</v>
      </c>
      <c r="GU390" s="53" t="s">
        <v>3</v>
      </c>
      <c r="GV390" s="53">
        <f t="shared" si="342"/>
        <v>0</v>
      </c>
      <c r="GW390" s="53">
        <v>1</v>
      </c>
      <c r="GX390" s="53">
        <f t="shared" si="343"/>
        <v>0</v>
      </c>
      <c r="HA390" s="53">
        <v>0</v>
      </c>
      <c r="HB390" s="53">
        <v>0</v>
      </c>
      <c r="HC390" s="53">
        <f t="shared" si="344"/>
        <v>0</v>
      </c>
      <c r="HE390" s="53" t="s">
        <v>3</v>
      </c>
      <c r="HF390" s="53" t="s">
        <v>3</v>
      </c>
      <c r="HM390" s="53" t="s">
        <v>3</v>
      </c>
      <c r="HN390" s="53" t="s">
        <v>3</v>
      </c>
      <c r="HO390" s="53" t="s">
        <v>3</v>
      </c>
      <c r="HP390" s="53" t="s">
        <v>3</v>
      </c>
      <c r="HQ390" s="53" t="s">
        <v>3</v>
      </c>
      <c r="IK390" s="53">
        <v>0</v>
      </c>
    </row>
    <row r="391" spans="1:245" x14ac:dyDescent="0.2">
      <c r="A391">
        <v>18</v>
      </c>
      <c r="B391">
        <v>1</v>
      </c>
      <c r="C391">
        <v>325</v>
      </c>
      <c r="E391" t="s">
        <v>181</v>
      </c>
      <c r="F391" t="s">
        <v>287</v>
      </c>
      <c r="G391" t="s">
        <v>288</v>
      </c>
      <c r="H391" t="s">
        <v>184</v>
      </c>
      <c r="I391">
        <f>I390*J391</f>
        <v>-47.836799999999997</v>
      </c>
      <c r="J391">
        <v>-26.4</v>
      </c>
      <c r="K391">
        <v>-13.2</v>
      </c>
      <c r="O391">
        <f t="shared" si="310"/>
        <v>-135662</v>
      </c>
      <c r="P391">
        <f t="shared" si="311"/>
        <v>-135662</v>
      </c>
      <c r="Q391">
        <f t="shared" si="312"/>
        <v>0</v>
      </c>
      <c r="R391">
        <f t="shared" si="313"/>
        <v>0</v>
      </c>
      <c r="S391">
        <f t="shared" si="314"/>
        <v>0</v>
      </c>
      <c r="T391">
        <f t="shared" si="315"/>
        <v>0</v>
      </c>
      <c r="U391">
        <f t="shared" si="316"/>
        <v>0</v>
      </c>
      <c r="V391">
        <f t="shared" si="317"/>
        <v>0</v>
      </c>
      <c r="W391">
        <f t="shared" si="318"/>
        <v>0</v>
      </c>
      <c r="X391">
        <f t="shared" si="319"/>
        <v>0</v>
      </c>
      <c r="Y391">
        <f t="shared" si="320"/>
        <v>0</v>
      </c>
      <c r="AA391">
        <v>46416371</v>
      </c>
      <c r="AB391">
        <f t="shared" si="321"/>
        <v>342.09</v>
      </c>
      <c r="AC391">
        <f>ROUND((ES391),6)</f>
        <v>342.09</v>
      </c>
      <c r="AD391">
        <f>ROUND((((ET391)-(EU391))+AE391),6)</f>
        <v>0</v>
      </c>
      <c r="AE391">
        <f>ROUND((EU391),6)</f>
        <v>0</v>
      </c>
      <c r="AF391">
        <f>ROUND((EV391),6)</f>
        <v>0</v>
      </c>
      <c r="AG391">
        <f t="shared" si="323"/>
        <v>0</v>
      </c>
      <c r="AH391">
        <f>(EW391)</f>
        <v>0</v>
      </c>
      <c r="AI391">
        <f>(EX391)</f>
        <v>0</v>
      </c>
      <c r="AJ391">
        <f t="shared" si="324"/>
        <v>0</v>
      </c>
      <c r="AK391">
        <v>342.09</v>
      </c>
      <c r="AL391">
        <v>342.09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1</v>
      </c>
      <c r="AW391">
        <v>1</v>
      </c>
      <c r="AZ391">
        <v>1</v>
      </c>
      <c r="BA391">
        <v>1</v>
      </c>
      <c r="BB391">
        <v>1</v>
      </c>
      <c r="BC391">
        <v>8.2899999999999991</v>
      </c>
      <c r="BD391" t="s">
        <v>3</v>
      </c>
      <c r="BE391" t="s">
        <v>3</v>
      </c>
      <c r="BF391" t="s">
        <v>3</v>
      </c>
      <c r="BG391" t="s">
        <v>3</v>
      </c>
      <c r="BH391">
        <v>3</v>
      </c>
      <c r="BI391">
        <v>1</v>
      </c>
      <c r="BJ391" t="s">
        <v>289</v>
      </c>
      <c r="BM391">
        <v>500001</v>
      </c>
      <c r="BN391">
        <v>0</v>
      </c>
      <c r="BO391" t="s">
        <v>3</v>
      </c>
      <c r="BP391">
        <v>0</v>
      </c>
      <c r="BQ391">
        <v>8</v>
      </c>
      <c r="BR391">
        <v>1</v>
      </c>
      <c r="BS391">
        <v>1</v>
      </c>
      <c r="BT391">
        <v>1</v>
      </c>
      <c r="BU391">
        <v>1</v>
      </c>
      <c r="BV391">
        <v>1</v>
      </c>
      <c r="BW391">
        <v>1</v>
      </c>
      <c r="BX391">
        <v>1</v>
      </c>
      <c r="BY391" t="s">
        <v>3</v>
      </c>
      <c r="BZ391">
        <v>0</v>
      </c>
      <c r="CA391">
        <v>0</v>
      </c>
      <c r="CB391" t="s">
        <v>3</v>
      </c>
      <c r="CE391">
        <v>0</v>
      </c>
      <c r="CF391">
        <v>0</v>
      </c>
      <c r="CG391">
        <v>0</v>
      </c>
      <c r="CM391">
        <v>0</v>
      </c>
      <c r="CN391" t="s">
        <v>3</v>
      </c>
      <c r="CO391">
        <v>0</v>
      </c>
      <c r="CP391">
        <f t="shared" si="325"/>
        <v>-135662</v>
      </c>
      <c r="CQ391">
        <f t="shared" si="326"/>
        <v>2835.9260999999997</v>
      </c>
      <c r="CR391">
        <f t="shared" si="327"/>
        <v>0</v>
      </c>
      <c r="CS391">
        <f t="shared" si="328"/>
        <v>0</v>
      </c>
      <c r="CT391">
        <f t="shared" si="329"/>
        <v>0</v>
      </c>
      <c r="CU391">
        <f t="shared" si="330"/>
        <v>0</v>
      </c>
      <c r="CV391">
        <f t="shared" si="331"/>
        <v>0</v>
      </c>
      <c r="CW391">
        <f t="shared" si="332"/>
        <v>0</v>
      </c>
      <c r="CX391">
        <f t="shared" si="333"/>
        <v>0</v>
      </c>
      <c r="CY391">
        <f t="shared" si="334"/>
        <v>0</v>
      </c>
      <c r="CZ391">
        <f t="shared" si="335"/>
        <v>0</v>
      </c>
      <c r="DC391" t="s">
        <v>3</v>
      </c>
      <c r="DD391" t="s">
        <v>3</v>
      </c>
      <c r="DE391" t="s">
        <v>3</v>
      </c>
      <c r="DF391" t="s">
        <v>3</v>
      </c>
      <c r="DG391" t="s">
        <v>3</v>
      </c>
      <c r="DH391" t="s">
        <v>3</v>
      </c>
      <c r="DI391" t="s">
        <v>3</v>
      </c>
      <c r="DJ391" t="s">
        <v>3</v>
      </c>
      <c r="DK391" t="s">
        <v>3</v>
      </c>
      <c r="DL391" t="s">
        <v>3</v>
      </c>
      <c r="DM391" t="s">
        <v>3</v>
      </c>
      <c r="DN391">
        <v>0</v>
      </c>
      <c r="DO391">
        <v>0</v>
      </c>
      <c r="DP391">
        <v>1</v>
      </c>
      <c r="DQ391">
        <v>1</v>
      </c>
      <c r="DU391">
        <v>1009</v>
      </c>
      <c r="DV391" t="s">
        <v>184</v>
      </c>
      <c r="DW391" t="s">
        <v>184</v>
      </c>
      <c r="DX391">
        <v>1000</v>
      </c>
      <c r="DZ391" t="s">
        <v>3</v>
      </c>
      <c r="EA391" t="s">
        <v>3</v>
      </c>
      <c r="EB391" t="s">
        <v>3</v>
      </c>
      <c r="EC391" t="s">
        <v>3</v>
      </c>
      <c r="EE391">
        <v>42475842</v>
      </c>
      <c r="EF391">
        <v>8</v>
      </c>
      <c r="EG391" t="s">
        <v>141</v>
      </c>
      <c r="EH391">
        <v>0</v>
      </c>
      <c r="EI391" t="s">
        <v>3</v>
      </c>
      <c r="EJ391">
        <v>1</v>
      </c>
      <c r="EK391">
        <v>500001</v>
      </c>
      <c r="EL391" t="s">
        <v>142</v>
      </c>
      <c r="EM391" t="s">
        <v>143</v>
      </c>
      <c r="EO391" t="s">
        <v>3</v>
      </c>
      <c r="EQ391">
        <v>0</v>
      </c>
      <c r="ER391">
        <v>342.09</v>
      </c>
      <c r="ES391">
        <v>342.09</v>
      </c>
      <c r="ET391">
        <v>0</v>
      </c>
      <c r="EU391">
        <v>0</v>
      </c>
      <c r="EV391">
        <v>0</v>
      </c>
      <c r="EW391">
        <v>0</v>
      </c>
      <c r="EX391">
        <v>0</v>
      </c>
      <c r="FQ391">
        <v>0</v>
      </c>
      <c r="FR391">
        <f t="shared" si="336"/>
        <v>0</v>
      </c>
      <c r="FS391">
        <v>0</v>
      </c>
      <c r="FX391">
        <v>0</v>
      </c>
      <c r="FY391">
        <v>0</v>
      </c>
      <c r="GA391" t="s">
        <v>3</v>
      </c>
      <c r="GD391">
        <v>1</v>
      </c>
      <c r="GF391">
        <v>1746175502</v>
      </c>
      <c r="GG391">
        <v>2</v>
      </c>
      <c r="GH391">
        <v>1</v>
      </c>
      <c r="GI391">
        <v>4</v>
      </c>
      <c r="GJ391">
        <v>0</v>
      </c>
      <c r="GK391">
        <v>0</v>
      </c>
      <c r="GL391">
        <f t="shared" si="337"/>
        <v>0</v>
      </c>
      <c r="GM391">
        <f t="shared" si="338"/>
        <v>-135662</v>
      </c>
      <c r="GN391">
        <f t="shared" si="339"/>
        <v>-135662</v>
      </c>
      <c r="GO391">
        <f t="shared" si="340"/>
        <v>0</v>
      </c>
      <c r="GP391">
        <f t="shared" si="341"/>
        <v>0</v>
      </c>
      <c r="GR391">
        <v>0</v>
      </c>
      <c r="GS391">
        <v>3</v>
      </c>
      <c r="GT391">
        <v>0</v>
      </c>
      <c r="GU391" t="s">
        <v>3</v>
      </c>
      <c r="GV391">
        <f t="shared" si="342"/>
        <v>0</v>
      </c>
      <c r="GW391">
        <v>1</v>
      </c>
      <c r="GX391">
        <f t="shared" si="343"/>
        <v>0</v>
      </c>
      <c r="HA391">
        <v>0</v>
      </c>
      <c r="HB391">
        <v>0</v>
      </c>
      <c r="HC391">
        <f t="shared" si="344"/>
        <v>0</v>
      </c>
      <c r="HE391" t="s">
        <v>3</v>
      </c>
      <c r="HF391" t="s">
        <v>3</v>
      </c>
      <c r="HM391" t="s">
        <v>303</v>
      </c>
      <c r="HN391" t="s">
        <v>3</v>
      </c>
      <c r="HO391" t="s">
        <v>3</v>
      </c>
      <c r="HP391" t="s">
        <v>3</v>
      </c>
      <c r="HQ391" t="s">
        <v>3</v>
      </c>
      <c r="IK391">
        <v>0</v>
      </c>
    </row>
    <row r="392" spans="1:245" x14ac:dyDescent="0.2">
      <c r="A392">
        <v>18</v>
      </c>
      <c r="B392">
        <v>1</v>
      </c>
      <c r="C392">
        <v>327</v>
      </c>
      <c r="E392" t="s">
        <v>186</v>
      </c>
      <c r="F392" t="s">
        <v>145</v>
      </c>
      <c r="G392" t="s">
        <v>290</v>
      </c>
      <c r="H392" t="s">
        <v>184</v>
      </c>
      <c r="I392">
        <f>I390*J392</f>
        <v>47.803208556149727</v>
      </c>
      <c r="J392">
        <v>26.38146167557932</v>
      </c>
      <c r="K392">
        <v>26.381461999999999</v>
      </c>
      <c r="O392">
        <f t="shared" si="310"/>
        <v>233877</v>
      </c>
      <c r="P392">
        <f t="shared" si="311"/>
        <v>233877</v>
      </c>
      <c r="Q392">
        <f t="shared" si="312"/>
        <v>0</v>
      </c>
      <c r="R392">
        <f t="shared" si="313"/>
        <v>0</v>
      </c>
      <c r="S392">
        <f t="shared" si="314"/>
        <v>0</v>
      </c>
      <c r="T392">
        <f t="shared" si="315"/>
        <v>0</v>
      </c>
      <c r="U392">
        <f t="shared" si="316"/>
        <v>0</v>
      </c>
      <c r="V392">
        <f t="shared" si="317"/>
        <v>0</v>
      </c>
      <c r="W392">
        <f t="shared" si="318"/>
        <v>0</v>
      </c>
      <c r="X392">
        <f t="shared" si="319"/>
        <v>0</v>
      </c>
      <c r="Y392">
        <f t="shared" si="320"/>
        <v>0</v>
      </c>
      <c r="AA392">
        <v>46416371</v>
      </c>
      <c r="AB392">
        <f t="shared" si="321"/>
        <v>4892.5</v>
      </c>
      <c r="AC392">
        <f>ROUND((ES392),6)</f>
        <v>4892.5</v>
      </c>
      <c r="AD392">
        <f>ROUND((((ET392)-(EU392))+AE392),6)</f>
        <v>0</v>
      </c>
      <c r="AE392">
        <f>ROUND((EU392),6)</f>
        <v>0</v>
      </c>
      <c r="AF392">
        <f>ROUND((EV392),6)</f>
        <v>0</v>
      </c>
      <c r="AG392">
        <f t="shared" si="323"/>
        <v>0</v>
      </c>
      <c r="AH392">
        <f>(EW392)</f>
        <v>0</v>
      </c>
      <c r="AI392">
        <f>(EX392)</f>
        <v>0</v>
      </c>
      <c r="AJ392">
        <f t="shared" si="324"/>
        <v>0</v>
      </c>
      <c r="AK392">
        <v>4892.5</v>
      </c>
      <c r="AL392">
        <v>4892.5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1</v>
      </c>
      <c r="AW392">
        <v>1</v>
      </c>
      <c r="AZ392">
        <v>1</v>
      </c>
      <c r="BA392">
        <v>1</v>
      </c>
      <c r="BB392">
        <v>1</v>
      </c>
      <c r="BC392">
        <v>1</v>
      </c>
      <c r="BD392" t="s">
        <v>3</v>
      </c>
      <c r="BE392" t="s">
        <v>3</v>
      </c>
      <c r="BF392" t="s">
        <v>3</v>
      </c>
      <c r="BG392" t="s">
        <v>3</v>
      </c>
      <c r="BH392">
        <v>3</v>
      </c>
      <c r="BI392">
        <v>4</v>
      </c>
      <c r="BJ392" t="s">
        <v>3</v>
      </c>
      <c r="BM392">
        <v>0</v>
      </c>
      <c r="BN392">
        <v>0</v>
      </c>
      <c r="BO392" t="s">
        <v>3</v>
      </c>
      <c r="BP392">
        <v>0</v>
      </c>
      <c r="BQ392">
        <v>16</v>
      </c>
      <c r="BR392">
        <v>0</v>
      </c>
      <c r="BS392">
        <v>1</v>
      </c>
      <c r="BT392">
        <v>1</v>
      </c>
      <c r="BU392">
        <v>1</v>
      </c>
      <c r="BV392">
        <v>1</v>
      </c>
      <c r="BW392">
        <v>1</v>
      </c>
      <c r="BX392">
        <v>1</v>
      </c>
      <c r="BY392" t="s">
        <v>3</v>
      </c>
      <c r="BZ392">
        <v>0</v>
      </c>
      <c r="CA392">
        <v>0</v>
      </c>
      <c r="CB392" t="s">
        <v>3</v>
      </c>
      <c r="CE392">
        <v>0</v>
      </c>
      <c r="CF392">
        <v>0</v>
      </c>
      <c r="CG392">
        <v>0</v>
      </c>
      <c r="CM392">
        <v>0</v>
      </c>
      <c r="CN392" t="s">
        <v>3</v>
      </c>
      <c r="CO392">
        <v>0</v>
      </c>
      <c r="CP392">
        <f t="shared" si="325"/>
        <v>233877</v>
      </c>
      <c r="CQ392">
        <f t="shared" si="326"/>
        <v>4892.5</v>
      </c>
      <c r="CR392">
        <f t="shared" si="327"/>
        <v>0</v>
      </c>
      <c r="CS392">
        <f t="shared" si="328"/>
        <v>0</v>
      </c>
      <c r="CT392">
        <f t="shared" si="329"/>
        <v>0</v>
      </c>
      <c r="CU392">
        <f t="shared" si="330"/>
        <v>0</v>
      </c>
      <c r="CV392">
        <f t="shared" si="331"/>
        <v>0</v>
      </c>
      <c r="CW392">
        <f t="shared" si="332"/>
        <v>0</v>
      </c>
      <c r="CX392">
        <f t="shared" si="333"/>
        <v>0</v>
      </c>
      <c r="CY392">
        <f t="shared" si="334"/>
        <v>0</v>
      </c>
      <c r="CZ392">
        <f t="shared" si="335"/>
        <v>0</v>
      </c>
      <c r="DC392" t="s">
        <v>3</v>
      </c>
      <c r="DD392" t="s">
        <v>3</v>
      </c>
      <c r="DE392" t="s">
        <v>3</v>
      </c>
      <c r="DF392" t="s">
        <v>3</v>
      </c>
      <c r="DG392" t="s">
        <v>3</v>
      </c>
      <c r="DH392" t="s">
        <v>3</v>
      </c>
      <c r="DI392" t="s">
        <v>3</v>
      </c>
      <c r="DJ392" t="s">
        <v>3</v>
      </c>
      <c r="DK392" t="s">
        <v>3</v>
      </c>
      <c r="DL392" t="s">
        <v>3</v>
      </c>
      <c r="DM392" t="s">
        <v>3</v>
      </c>
      <c r="DN392">
        <v>0</v>
      </c>
      <c r="DO392">
        <v>0</v>
      </c>
      <c r="DP392">
        <v>1</v>
      </c>
      <c r="DQ392">
        <v>1</v>
      </c>
      <c r="DU392">
        <v>1009</v>
      </c>
      <c r="DV392" t="s">
        <v>184</v>
      </c>
      <c r="DW392" t="s">
        <v>184</v>
      </c>
      <c r="DX392">
        <v>1000</v>
      </c>
      <c r="DZ392" t="s">
        <v>3</v>
      </c>
      <c r="EA392" t="s">
        <v>3</v>
      </c>
      <c r="EB392" t="s">
        <v>3</v>
      </c>
      <c r="EC392" t="s">
        <v>3</v>
      </c>
      <c r="EE392">
        <v>42475850</v>
      </c>
      <c r="EF392">
        <v>16</v>
      </c>
      <c r="EG392" t="s">
        <v>147</v>
      </c>
      <c r="EH392">
        <v>0</v>
      </c>
      <c r="EI392" t="s">
        <v>3</v>
      </c>
      <c r="EJ392">
        <v>4</v>
      </c>
      <c r="EK392">
        <v>0</v>
      </c>
      <c r="EL392" t="s">
        <v>148</v>
      </c>
      <c r="EM392" t="s">
        <v>149</v>
      </c>
      <c r="EO392" t="s">
        <v>3</v>
      </c>
      <c r="EQ392">
        <v>0</v>
      </c>
      <c r="ER392">
        <v>4892.5</v>
      </c>
      <c r="ES392">
        <v>4892.5</v>
      </c>
      <c r="ET392">
        <v>0</v>
      </c>
      <c r="EU392">
        <v>0</v>
      </c>
      <c r="EV392">
        <v>0</v>
      </c>
      <c r="EW392">
        <v>0</v>
      </c>
      <c r="EX392">
        <v>0</v>
      </c>
      <c r="EZ392">
        <v>5</v>
      </c>
      <c r="FC392">
        <v>1</v>
      </c>
      <c r="FD392">
        <v>18</v>
      </c>
      <c r="FF392">
        <v>5700</v>
      </c>
      <c r="FQ392">
        <v>0</v>
      </c>
      <c r="FR392">
        <f t="shared" si="336"/>
        <v>0</v>
      </c>
      <c r="FS392">
        <v>0</v>
      </c>
      <c r="FX392">
        <v>0</v>
      </c>
      <c r="FY392">
        <v>0</v>
      </c>
      <c r="GA392" t="s">
        <v>291</v>
      </c>
      <c r="GD392">
        <v>1</v>
      </c>
      <c r="GF392">
        <v>2054945668</v>
      </c>
      <c r="GG392">
        <v>2</v>
      </c>
      <c r="GH392">
        <v>3</v>
      </c>
      <c r="GI392">
        <v>4</v>
      </c>
      <c r="GJ392">
        <v>0</v>
      </c>
      <c r="GK392">
        <v>0</v>
      </c>
      <c r="GL392">
        <f t="shared" si="337"/>
        <v>0</v>
      </c>
      <c r="GM392">
        <f t="shared" si="338"/>
        <v>233877</v>
      </c>
      <c r="GN392">
        <f t="shared" si="339"/>
        <v>0</v>
      </c>
      <c r="GO392">
        <f t="shared" si="340"/>
        <v>0</v>
      </c>
      <c r="GP392">
        <f t="shared" si="341"/>
        <v>233877</v>
      </c>
      <c r="GR392">
        <v>1</v>
      </c>
      <c r="GS392">
        <v>1</v>
      </c>
      <c r="GT392">
        <v>0</v>
      </c>
      <c r="GU392" t="s">
        <v>3</v>
      </c>
      <c r="GV392">
        <f t="shared" si="342"/>
        <v>0</v>
      </c>
      <c r="GW392">
        <v>1</v>
      </c>
      <c r="GX392">
        <f t="shared" si="343"/>
        <v>0</v>
      </c>
      <c r="HA392">
        <v>0</v>
      </c>
      <c r="HB392">
        <v>0</v>
      </c>
      <c r="HC392">
        <f t="shared" si="344"/>
        <v>0</v>
      </c>
      <c r="HE392" t="s">
        <v>56</v>
      </c>
      <c r="HF392" t="s">
        <v>151</v>
      </c>
      <c r="HM392" t="s">
        <v>3</v>
      </c>
      <c r="HN392" t="s">
        <v>3</v>
      </c>
      <c r="HO392" t="s">
        <v>3</v>
      </c>
      <c r="HP392" t="s">
        <v>3</v>
      </c>
      <c r="HQ392" t="s">
        <v>3</v>
      </c>
      <c r="IK392">
        <v>0</v>
      </c>
    </row>
    <row r="394" spans="1:245" x14ac:dyDescent="0.2">
      <c r="A394" s="2">
        <v>51</v>
      </c>
      <c r="B394" s="2">
        <f>B369</f>
        <v>1</v>
      </c>
      <c r="C394" s="2">
        <f>A369</f>
        <v>5</v>
      </c>
      <c r="D394" s="2">
        <f>ROW(A369)</f>
        <v>369</v>
      </c>
      <c r="E394" s="2"/>
      <c r="F394" s="2" t="str">
        <f>IF(F369&lt;&gt;"",F369,"")</f>
        <v>Новый подраздел</v>
      </c>
      <c r="G394" s="2" t="str">
        <f>IF(G369&lt;&gt;"",G369,"")</f>
        <v>Устройство асфальтированного покрытия</v>
      </c>
      <c r="H394" s="2">
        <v>0</v>
      </c>
      <c r="I394" s="2"/>
      <c r="J394" s="2"/>
      <c r="K394" s="2"/>
      <c r="L394" s="2"/>
      <c r="M394" s="2"/>
      <c r="N394" s="2"/>
      <c r="O394" s="2">
        <f t="shared" ref="O394:T394" si="346">ROUND(AB394,0)</f>
        <v>6395341</v>
      </c>
      <c r="P394" s="2">
        <f t="shared" si="346"/>
        <v>3859378</v>
      </c>
      <c r="Q394" s="2">
        <f t="shared" si="346"/>
        <v>2449784</v>
      </c>
      <c r="R394" s="2">
        <f t="shared" si="346"/>
        <v>241894</v>
      </c>
      <c r="S394" s="2">
        <f t="shared" si="346"/>
        <v>86179</v>
      </c>
      <c r="T394" s="2">
        <f t="shared" si="346"/>
        <v>0</v>
      </c>
      <c r="U394" s="2">
        <f>AH394</f>
        <v>335.96549765000003</v>
      </c>
      <c r="V394" s="2">
        <f>AI394</f>
        <v>622.29463549999991</v>
      </c>
      <c r="W394" s="2">
        <f>ROUND(AJ394,0)</f>
        <v>0</v>
      </c>
      <c r="X394" s="2">
        <f>ROUND(AK394,0)</f>
        <v>461931</v>
      </c>
      <c r="Y394" s="2">
        <f>ROUND(AL394,0)</f>
        <v>307904</v>
      </c>
      <c r="Z394" s="2"/>
      <c r="AA394" s="2"/>
      <c r="AB394" s="2">
        <f>ROUND(SUMIF(AA373:AA392,"=46416371",O373:O392),0)</f>
        <v>6395341</v>
      </c>
      <c r="AC394" s="2">
        <f>ROUND(SUMIF(AA373:AA392,"=46416371",P373:P392),0)</f>
        <v>3859378</v>
      </c>
      <c r="AD394" s="2">
        <f>ROUND(SUMIF(AA373:AA392,"=46416371",Q373:Q392),0)</f>
        <v>2449784</v>
      </c>
      <c r="AE394" s="2">
        <f>ROUND(SUMIF(AA373:AA392,"=46416371",R373:R392),0)</f>
        <v>241894</v>
      </c>
      <c r="AF394" s="2">
        <f>ROUND(SUMIF(AA373:AA392,"=46416371",S373:S392),0)</f>
        <v>86179</v>
      </c>
      <c r="AG394" s="2">
        <f>ROUND(SUMIF(AA373:AA392,"=46416371",T373:T392),0)</f>
        <v>0</v>
      </c>
      <c r="AH394" s="2">
        <f>SUMIF(AA373:AA392,"=46416371",U373:U392)</f>
        <v>335.96549765000003</v>
      </c>
      <c r="AI394" s="2">
        <f>SUMIF(AA373:AA392,"=46416371",V373:V392)</f>
        <v>622.29463549999991</v>
      </c>
      <c r="AJ394" s="2">
        <f>ROUND(SUMIF(AA373:AA392,"=46416371",W373:W392),0)</f>
        <v>0</v>
      </c>
      <c r="AK394" s="2">
        <f>ROUND(SUMIF(AA373:AA392,"=46416371",X373:X392),0)</f>
        <v>461931</v>
      </c>
      <c r="AL394" s="2">
        <f>ROUND(SUMIF(AA373:AA392,"=46416371",Y373:Y392),0)</f>
        <v>307904</v>
      </c>
      <c r="AM394" s="2"/>
      <c r="AN394" s="2"/>
      <c r="AO394" s="2">
        <f t="shared" ref="AO394:BD394" si="347">ROUND(BX394,0)</f>
        <v>0</v>
      </c>
      <c r="AP394" s="2">
        <f t="shared" si="347"/>
        <v>0</v>
      </c>
      <c r="AQ394" s="2">
        <f t="shared" si="347"/>
        <v>0</v>
      </c>
      <c r="AR394" s="2">
        <f t="shared" si="347"/>
        <v>7165176</v>
      </c>
      <c r="AS394" s="2">
        <f t="shared" si="347"/>
        <v>3343619</v>
      </c>
      <c r="AT394" s="2">
        <f t="shared" si="347"/>
        <v>0</v>
      </c>
      <c r="AU394" s="2">
        <f t="shared" si="347"/>
        <v>3821557</v>
      </c>
      <c r="AV394" s="2">
        <f t="shared" si="347"/>
        <v>3859378</v>
      </c>
      <c r="AW394" s="2">
        <f t="shared" si="347"/>
        <v>3859378</v>
      </c>
      <c r="AX394" s="2">
        <f t="shared" si="347"/>
        <v>0</v>
      </c>
      <c r="AY394" s="2">
        <f t="shared" si="347"/>
        <v>3859378</v>
      </c>
      <c r="AZ394" s="2">
        <f t="shared" si="347"/>
        <v>0</v>
      </c>
      <c r="BA394" s="2">
        <f t="shared" si="347"/>
        <v>0</v>
      </c>
      <c r="BB394" s="2">
        <f t="shared" si="347"/>
        <v>0</v>
      </c>
      <c r="BC394" s="2">
        <f t="shared" si="347"/>
        <v>0</v>
      </c>
      <c r="BD394" s="2">
        <f t="shared" si="347"/>
        <v>59722</v>
      </c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>
        <f>ROUND(SUMIF(AA373:AA392,"=46416371",FQ373:FQ392),0)</f>
        <v>0</v>
      </c>
      <c r="BY394" s="2">
        <f>ROUND(SUMIF(AA373:AA392,"=46416371",FR373:FR392),0)</f>
        <v>0</v>
      </c>
      <c r="BZ394" s="2">
        <f>ROUND(SUMIF(AA373:AA392,"=46416371",GL373:GL392),0)</f>
        <v>0</v>
      </c>
      <c r="CA394" s="2">
        <f>ROUND(SUMIF(AA373:AA392,"=46416371",GM373:GM392),0)</f>
        <v>7165176</v>
      </c>
      <c r="CB394" s="2">
        <f>ROUND(SUMIF(AA373:AA392,"=46416371",GN373:GN392),0)</f>
        <v>3343619</v>
      </c>
      <c r="CC394" s="2">
        <f>ROUND(SUMIF(AA373:AA392,"=46416371",GO373:GO392),0)</f>
        <v>0</v>
      </c>
      <c r="CD394" s="2">
        <f>ROUND(SUMIF(AA373:AA392,"=46416371",GP373:GP392),0)</f>
        <v>3821557</v>
      </c>
      <c r="CE394" s="2">
        <f>AC394-BX394</f>
        <v>3859378</v>
      </c>
      <c r="CF394" s="2">
        <f>AC394-BY394</f>
        <v>3859378</v>
      </c>
      <c r="CG394" s="2">
        <f>BX394-BZ394</f>
        <v>0</v>
      </c>
      <c r="CH394" s="2">
        <f>AC394-BX394-BY394+BZ394</f>
        <v>3859378</v>
      </c>
      <c r="CI394" s="2">
        <f>BY394-BZ394</f>
        <v>0</v>
      </c>
      <c r="CJ394" s="2">
        <f>ROUND(SUMIF(AA373:AA392,"=46416371",GX373:GX392),0)</f>
        <v>0</v>
      </c>
      <c r="CK394" s="2">
        <f>ROUND(SUMIF(AA373:AA392,"=46416371",GY373:GY392),0)</f>
        <v>0</v>
      </c>
      <c r="CL394" s="2">
        <f>ROUND(SUMIF(AA373:AA392,"=46416371",GZ373:GZ392),0)</f>
        <v>0</v>
      </c>
      <c r="CM394" s="2">
        <f>ROUND(SUMIF(AA373:AA392,"=46416371",HD373:HD392),0)</f>
        <v>59722</v>
      </c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>
        <v>0</v>
      </c>
    </row>
    <row r="396" spans="1:245" x14ac:dyDescent="0.2">
      <c r="A396" s="4">
        <v>50</v>
      </c>
      <c r="B396" s="4">
        <v>0</v>
      </c>
      <c r="C396" s="4">
        <v>0</v>
      </c>
      <c r="D396" s="4">
        <v>1</v>
      </c>
      <c r="E396" s="4">
        <v>201</v>
      </c>
      <c r="F396" s="4">
        <f>ROUND(Source!O394,O396)</f>
        <v>6395341</v>
      </c>
      <c r="G396" s="4" t="s">
        <v>68</v>
      </c>
      <c r="H396" s="4" t="s">
        <v>69</v>
      </c>
      <c r="I396" s="4"/>
      <c r="J396" s="4"/>
      <c r="K396" s="4">
        <v>201</v>
      </c>
      <c r="L396" s="4">
        <v>1</v>
      </c>
      <c r="M396" s="4">
        <v>3</v>
      </c>
      <c r="N396" s="4" t="s">
        <v>3</v>
      </c>
      <c r="O396" s="4">
        <v>0</v>
      </c>
      <c r="P396" s="4"/>
      <c r="Q396" s="4"/>
      <c r="R396" s="4"/>
      <c r="S396" s="4"/>
      <c r="T396" s="4"/>
      <c r="U396" s="4"/>
      <c r="V396" s="4"/>
      <c r="W396" s="4">
        <v>2044109</v>
      </c>
      <c r="X396" s="4">
        <v>1</v>
      </c>
      <c r="Y396" s="4">
        <v>2044109</v>
      </c>
      <c r="Z396" s="4"/>
      <c r="AA396" s="4"/>
      <c r="AB396" s="4"/>
    </row>
    <row r="397" spans="1:245" x14ac:dyDescent="0.2">
      <c r="A397" s="4">
        <v>50</v>
      </c>
      <c r="B397" s="4">
        <v>0</v>
      </c>
      <c r="C397" s="4">
        <v>0</v>
      </c>
      <c r="D397" s="4">
        <v>1</v>
      </c>
      <c r="E397" s="4">
        <v>202</v>
      </c>
      <c r="F397" s="4">
        <f>ROUND(Source!P394,O397)</f>
        <v>3859378</v>
      </c>
      <c r="G397" s="4" t="s">
        <v>70</v>
      </c>
      <c r="H397" s="4" t="s">
        <v>71</v>
      </c>
      <c r="I397" s="4"/>
      <c r="J397" s="4"/>
      <c r="K397" s="4">
        <v>202</v>
      </c>
      <c r="L397" s="4">
        <v>2</v>
      </c>
      <c r="M397" s="4">
        <v>3</v>
      </c>
      <c r="N397" s="4" t="s">
        <v>3</v>
      </c>
      <c r="O397" s="4">
        <v>0</v>
      </c>
      <c r="P397" s="4"/>
      <c r="Q397" s="4"/>
      <c r="R397" s="4"/>
      <c r="S397" s="4"/>
      <c r="T397" s="4"/>
      <c r="U397" s="4"/>
      <c r="V397" s="4"/>
      <c r="W397" s="4">
        <v>1152638</v>
      </c>
      <c r="X397" s="4">
        <v>1</v>
      </c>
      <c r="Y397" s="4">
        <v>1152638</v>
      </c>
      <c r="Z397" s="4"/>
      <c r="AA397" s="4"/>
      <c r="AB397" s="4"/>
    </row>
    <row r="398" spans="1:245" x14ac:dyDescent="0.2">
      <c r="A398" s="4">
        <v>50</v>
      </c>
      <c r="B398" s="4">
        <v>0</v>
      </c>
      <c r="C398" s="4">
        <v>0</v>
      </c>
      <c r="D398" s="4">
        <v>1</v>
      </c>
      <c r="E398" s="4">
        <v>222</v>
      </c>
      <c r="F398" s="4">
        <f>ROUND(Source!AO394,O398)</f>
        <v>0</v>
      </c>
      <c r="G398" s="4" t="s">
        <v>72</v>
      </c>
      <c r="H398" s="4" t="s">
        <v>73</v>
      </c>
      <c r="I398" s="4"/>
      <c r="J398" s="4"/>
      <c r="K398" s="4">
        <v>222</v>
      </c>
      <c r="L398" s="4">
        <v>3</v>
      </c>
      <c r="M398" s="4">
        <v>3</v>
      </c>
      <c r="N398" s="4" t="s">
        <v>3</v>
      </c>
      <c r="O398" s="4">
        <v>0</v>
      </c>
      <c r="P398" s="4"/>
      <c r="Q398" s="4"/>
      <c r="R398" s="4"/>
      <c r="S398" s="4"/>
      <c r="T398" s="4"/>
      <c r="U398" s="4"/>
      <c r="V398" s="4"/>
      <c r="W398" s="4">
        <v>0</v>
      </c>
      <c r="X398" s="4">
        <v>1</v>
      </c>
      <c r="Y398" s="4">
        <v>0</v>
      </c>
      <c r="Z398" s="4"/>
      <c r="AA398" s="4"/>
      <c r="AB398" s="4"/>
    </row>
    <row r="399" spans="1:245" x14ac:dyDescent="0.2">
      <c r="A399" s="4">
        <v>50</v>
      </c>
      <c r="B399" s="4">
        <v>0</v>
      </c>
      <c r="C399" s="4">
        <v>0</v>
      </c>
      <c r="D399" s="4">
        <v>1</v>
      </c>
      <c r="E399" s="4">
        <v>225</v>
      </c>
      <c r="F399" s="4">
        <f>ROUND(Source!AV394,O399)</f>
        <v>3859378</v>
      </c>
      <c r="G399" s="4" t="s">
        <v>74</v>
      </c>
      <c r="H399" s="4" t="s">
        <v>75</v>
      </c>
      <c r="I399" s="4"/>
      <c r="J399" s="4"/>
      <c r="K399" s="4">
        <v>225</v>
      </c>
      <c r="L399" s="4">
        <v>4</v>
      </c>
      <c r="M399" s="4">
        <v>3</v>
      </c>
      <c r="N399" s="4" t="s">
        <v>3</v>
      </c>
      <c r="O399" s="4">
        <v>0</v>
      </c>
      <c r="P399" s="4"/>
      <c r="Q399" s="4"/>
      <c r="R399" s="4"/>
      <c r="S399" s="4"/>
      <c r="T399" s="4"/>
      <c r="U399" s="4"/>
      <c r="V399" s="4"/>
      <c r="W399" s="4">
        <v>1152638</v>
      </c>
      <c r="X399" s="4">
        <v>1</v>
      </c>
      <c r="Y399" s="4">
        <v>1152638</v>
      </c>
      <c r="Z399" s="4"/>
      <c r="AA399" s="4"/>
      <c r="AB399" s="4"/>
    </row>
    <row r="400" spans="1:245" x14ac:dyDescent="0.2">
      <c r="A400" s="4">
        <v>50</v>
      </c>
      <c r="B400" s="4">
        <v>0</v>
      </c>
      <c r="C400" s="4">
        <v>0</v>
      </c>
      <c r="D400" s="4">
        <v>1</v>
      </c>
      <c r="E400" s="4">
        <v>226</v>
      </c>
      <c r="F400" s="4">
        <f>ROUND(Source!AW394,O400)</f>
        <v>3859378</v>
      </c>
      <c r="G400" s="4" t="s">
        <v>76</v>
      </c>
      <c r="H400" s="4" t="s">
        <v>77</v>
      </c>
      <c r="I400" s="4"/>
      <c r="J400" s="4"/>
      <c r="K400" s="4">
        <v>226</v>
      </c>
      <c r="L400" s="4">
        <v>5</v>
      </c>
      <c r="M400" s="4">
        <v>3</v>
      </c>
      <c r="N400" s="4" t="s">
        <v>3</v>
      </c>
      <c r="O400" s="4">
        <v>0</v>
      </c>
      <c r="P400" s="4"/>
      <c r="Q400" s="4"/>
      <c r="R400" s="4"/>
      <c r="S400" s="4"/>
      <c r="T400" s="4"/>
      <c r="U400" s="4"/>
      <c r="V400" s="4"/>
      <c r="W400" s="4">
        <v>1152638</v>
      </c>
      <c r="X400" s="4">
        <v>1</v>
      </c>
      <c r="Y400" s="4">
        <v>1152638</v>
      </c>
      <c r="Z400" s="4"/>
      <c r="AA400" s="4"/>
      <c r="AB400" s="4"/>
    </row>
    <row r="401" spans="1:28" x14ac:dyDescent="0.2">
      <c r="A401" s="4">
        <v>50</v>
      </c>
      <c r="B401" s="4">
        <v>0</v>
      </c>
      <c r="C401" s="4">
        <v>0</v>
      </c>
      <c r="D401" s="4">
        <v>1</v>
      </c>
      <c r="E401" s="4">
        <v>227</v>
      </c>
      <c r="F401" s="4">
        <f>ROUND(Source!AX394,O401)</f>
        <v>0</v>
      </c>
      <c r="G401" s="4" t="s">
        <v>78</v>
      </c>
      <c r="H401" s="4" t="s">
        <v>79</v>
      </c>
      <c r="I401" s="4"/>
      <c r="J401" s="4"/>
      <c r="K401" s="4">
        <v>227</v>
      </c>
      <c r="L401" s="4">
        <v>6</v>
      </c>
      <c r="M401" s="4">
        <v>3</v>
      </c>
      <c r="N401" s="4" t="s">
        <v>3</v>
      </c>
      <c r="O401" s="4">
        <v>0</v>
      </c>
      <c r="P401" s="4"/>
      <c r="Q401" s="4"/>
      <c r="R401" s="4"/>
      <c r="S401" s="4"/>
      <c r="T401" s="4"/>
      <c r="U401" s="4"/>
      <c r="V401" s="4"/>
      <c r="W401" s="4">
        <v>0</v>
      </c>
      <c r="X401" s="4">
        <v>1</v>
      </c>
      <c r="Y401" s="4">
        <v>0</v>
      </c>
      <c r="Z401" s="4"/>
      <c r="AA401" s="4"/>
      <c r="AB401" s="4"/>
    </row>
    <row r="402" spans="1:28" x14ac:dyDescent="0.2">
      <c r="A402" s="4">
        <v>50</v>
      </c>
      <c r="B402" s="4">
        <v>0</v>
      </c>
      <c r="C402" s="4">
        <v>0</v>
      </c>
      <c r="D402" s="4">
        <v>1</v>
      </c>
      <c r="E402" s="4">
        <v>228</v>
      </c>
      <c r="F402" s="4">
        <f>ROUND(Source!AY394,O402)</f>
        <v>3859378</v>
      </c>
      <c r="G402" s="4" t="s">
        <v>80</v>
      </c>
      <c r="H402" s="4" t="s">
        <v>81</v>
      </c>
      <c r="I402" s="4"/>
      <c r="J402" s="4"/>
      <c r="K402" s="4">
        <v>228</v>
      </c>
      <c r="L402" s="4">
        <v>7</v>
      </c>
      <c r="M402" s="4">
        <v>3</v>
      </c>
      <c r="N402" s="4" t="s">
        <v>3</v>
      </c>
      <c r="O402" s="4">
        <v>0</v>
      </c>
      <c r="P402" s="4"/>
      <c r="Q402" s="4"/>
      <c r="R402" s="4"/>
      <c r="S402" s="4"/>
      <c r="T402" s="4"/>
      <c r="U402" s="4"/>
      <c r="V402" s="4"/>
      <c r="W402" s="4">
        <v>1152638</v>
      </c>
      <c r="X402" s="4">
        <v>1</v>
      </c>
      <c r="Y402" s="4">
        <v>1152638</v>
      </c>
      <c r="Z402" s="4"/>
      <c r="AA402" s="4"/>
      <c r="AB402" s="4"/>
    </row>
    <row r="403" spans="1:28" x14ac:dyDescent="0.2">
      <c r="A403" s="4">
        <v>50</v>
      </c>
      <c r="B403" s="4">
        <v>0</v>
      </c>
      <c r="C403" s="4">
        <v>0</v>
      </c>
      <c r="D403" s="4">
        <v>1</v>
      </c>
      <c r="E403" s="4">
        <v>216</v>
      </c>
      <c r="F403" s="4">
        <f>ROUND(Source!AP394,O403)</f>
        <v>0</v>
      </c>
      <c r="G403" s="4" t="s">
        <v>82</v>
      </c>
      <c r="H403" s="4" t="s">
        <v>83</v>
      </c>
      <c r="I403" s="4"/>
      <c r="J403" s="4"/>
      <c r="K403" s="4">
        <v>216</v>
      </c>
      <c r="L403" s="4">
        <v>8</v>
      </c>
      <c r="M403" s="4">
        <v>3</v>
      </c>
      <c r="N403" s="4" t="s">
        <v>3</v>
      </c>
      <c r="O403" s="4">
        <v>0</v>
      </c>
      <c r="P403" s="4"/>
      <c r="Q403" s="4"/>
      <c r="R403" s="4"/>
      <c r="S403" s="4"/>
      <c r="T403" s="4"/>
      <c r="U403" s="4"/>
      <c r="V403" s="4"/>
      <c r="W403" s="4">
        <v>0</v>
      </c>
      <c r="X403" s="4">
        <v>1</v>
      </c>
      <c r="Y403" s="4">
        <v>0</v>
      </c>
      <c r="Z403" s="4"/>
      <c r="AA403" s="4"/>
      <c r="AB403" s="4"/>
    </row>
    <row r="404" spans="1:28" x14ac:dyDescent="0.2">
      <c r="A404" s="4">
        <v>50</v>
      </c>
      <c r="B404" s="4">
        <v>0</v>
      </c>
      <c r="C404" s="4">
        <v>0</v>
      </c>
      <c r="D404" s="4">
        <v>1</v>
      </c>
      <c r="E404" s="4">
        <v>223</v>
      </c>
      <c r="F404" s="4">
        <f>ROUND(Source!AQ394,O404)</f>
        <v>0</v>
      </c>
      <c r="G404" s="4" t="s">
        <v>84</v>
      </c>
      <c r="H404" s="4" t="s">
        <v>85</v>
      </c>
      <c r="I404" s="4"/>
      <c r="J404" s="4"/>
      <c r="K404" s="4">
        <v>223</v>
      </c>
      <c r="L404" s="4">
        <v>9</v>
      </c>
      <c r="M404" s="4">
        <v>3</v>
      </c>
      <c r="N404" s="4" t="s">
        <v>3</v>
      </c>
      <c r="O404" s="4">
        <v>0</v>
      </c>
      <c r="P404" s="4"/>
      <c r="Q404" s="4"/>
      <c r="R404" s="4"/>
      <c r="S404" s="4"/>
      <c r="T404" s="4"/>
      <c r="U404" s="4"/>
      <c r="V404" s="4"/>
      <c r="W404" s="4">
        <v>0</v>
      </c>
      <c r="X404" s="4">
        <v>1</v>
      </c>
      <c r="Y404" s="4">
        <v>0</v>
      </c>
      <c r="Z404" s="4"/>
      <c r="AA404" s="4"/>
      <c r="AB404" s="4"/>
    </row>
    <row r="405" spans="1:28" x14ac:dyDescent="0.2">
      <c r="A405" s="4">
        <v>50</v>
      </c>
      <c r="B405" s="4">
        <v>0</v>
      </c>
      <c r="C405" s="4">
        <v>0</v>
      </c>
      <c r="D405" s="4">
        <v>1</v>
      </c>
      <c r="E405" s="4">
        <v>229</v>
      </c>
      <c r="F405" s="4">
        <f>ROUND(Source!AZ394,O405)</f>
        <v>0</v>
      </c>
      <c r="G405" s="4" t="s">
        <v>86</v>
      </c>
      <c r="H405" s="4" t="s">
        <v>87</v>
      </c>
      <c r="I405" s="4"/>
      <c r="J405" s="4"/>
      <c r="K405" s="4">
        <v>229</v>
      </c>
      <c r="L405" s="4">
        <v>10</v>
      </c>
      <c r="M405" s="4">
        <v>3</v>
      </c>
      <c r="N405" s="4" t="s">
        <v>3</v>
      </c>
      <c r="O405" s="4">
        <v>0</v>
      </c>
      <c r="P405" s="4"/>
      <c r="Q405" s="4"/>
      <c r="R405" s="4"/>
      <c r="S405" s="4"/>
      <c r="T405" s="4"/>
      <c r="U405" s="4"/>
      <c r="V405" s="4"/>
      <c r="W405" s="4">
        <v>0</v>
      </c>
      <c r="X405" s="4">
        <v>1</v>
      </c>
      <c r="Y405" s="4">
        <v>0</v>
      </c>
      <c r="Z405" s="4"/>
      <c r="AA405" s="4"/>
      <c r="AB405" s="4"/>
    </row>
    <row r="406" spans="1:28" x14ac:dyDescent="0.2">
      <c r="A406" s="4">
        <v>50</v>
      </c>
      <c r="B406" s="4">
        <v>0</v>
      </c>
      <c r="C406" s="4">
        <v>0</v>
      </c>
      <c r="D406" s="4">
        <v>1</v>
      </c>
      <c r="E406" s="4">
        <v>203</v>
      </c>
      <c r="F406" s="4">
        <f>ROUND(Source!Q394,O406)</f>
        <v>2449784</v>
      </c>
      <c r="G406" s="4" t="s">
        <v>88</v>
      </c>
      <c r="H406" s="4" t="s">
        <v>89</v>
      </c>
      <c r="I406" s="4"/>
      <c r="J406" s="4"/>
      <c r="K406" s="4">
        <v>203</v>
      </c>
      <c r="L406" s="4">
        <v>11</v>
      </c>
      <c r="M406" s="4">
        <v>3</v>
      </c>
      <c r="N406" s="4" t="s">
        <v>3</v>
      </c>
      <c r="O406" s="4">
        <v>0</v>
      </c>
      <c r="P406" s="4"/>
      <c r="Q406" s="4"/>
      <c r="R406" s="4"/>
      <c r="S406" s="4"/>
      <c r="T406" s="4"/>
      <c r="U406" s="4"/>
      <c r="V406" s="4"/>
      <c r="W406" s="4">
        <v>864817</v>
      </c>
      <c r="X406" s="4">
        <v>1</v>
      </c>
      <c r="Y406" s="4">
        <v>864817</v>
      </c>
      <c r="Z406" s="4"/>
      <c r="AA406" s="4"/>
      <c r="AB406" s="4"/>
    </row>
    <row r="407" spans="1:28" x14ac:dyDescent="0.2">
      <c r="A407" s="4">
        <v>50</v>
      </c>
      <c r="B407" s="4">
        <v>0</v>
      </c>
      <c r="C407" s="4">
        <v>0</v>
      </c>
      <c r="D407" s="4">
        <v>1</v>
      </c>
      <c r="E407" s="4">
        <v>231</v>
      </c>
      <c r="F407" s="4">
        <f>ROUND(Source!BB394,O407)</f>
        <v>0</v>
      </c>
      <c r="G407" s="4" t="s">
        <v>90</v>
      </c>
      <c r="H407" s="4" t="s">
        <v>91</v>
      </c>
      <c r="I407" s="4"/>
      <c r="J407" s="4"/>
      <c r="K407" s="4">
        <v>231</v>
      </c>
      <c r="L407" s="4">
        <v>12</v>
      </c>
      <c r="M407" s="4">
        <v>3</v>
      </c>
      <c r="N407" s="4" t="s">
        <v>3</v>
      </c>
      <c r="O407" s="4">
        <v>0</v>
      </c>
      <c r="P407" s="4"/>
      <c r="Q407" s="4"/>
      <c r="R407" s="4"/>
      <c r="S407" s="4"/>
      <c r="T407" s="4"/>
      <c r="U407" s="4"/>
      <c r="V407" s="4"/>
      <c r="W407" s="4">
        <v>0</v>
      </c>
      <c r="X407" s="4">
        <v>1</v>
      </c>
      <c r="Y407" s="4">
        <v>0</v>
      </c>
      <c r="Z407" s="4"/>
      <c r="AA407" s="4"/>
      <c r="AB407" s="4"/>
    </row>
    <row r="408" spans="1:28" x14ac:dyDescent="0.2">
      <c r="A408" s="4">
        <v>50</v>
      </c>
      <c r="B408" s="4">
        <v>0</v>
      </c>
      <c r="C408" s="4">
        <v>0</v>
      </c>
      <c r="D408" s="4">
        <v>1</v>
      </c>
      <c r="E408" s="4">
        <v>204</v>
      </c>
      <c r="F408" s="4">
        <f>ROUND(Source!R394,O408)</f>
        <v>241894</v>
      </c>
      <c r="G408" s="4" t="s">
        <v>92</v>
      </c>
      <c r="H408" s="4" t="s">
        <v>93</v>
      </c>
      <c r="I408" s="4"/>
      <c r="J408" s="4"/>
      <c r="K408" s="4">
        <v>204</v>
      </c>
      <c r="L408" s="4">
        <v>13</v>
      </c>
      <c r="M408" s="4">
        <v>3</v>
      </c>
      <c r="N408" s="4" t="s">
        <v>3</v>
      </c>
      <c r="O408" s="4">
        <v>0</v>
      </c>
      <c r="P408" s="4"/>
      <c r="Q408" s="4"/>
      <c r="R408" s="4"/>
      <c r="S408" s="4"/>
      <c r="T408" s="4"/>
      <c r="U408" s="4"/>
      <c r="V408" s="4"/>
      <c r="W408" s="4">
        <v>85345</v>
      </c>
      <c r="X408" s="4">
        <v>1</v>
      </c>
      <c r="Y408" s="4">
        <v>85345</v>
      </c>
      <c r="Z408" s="4"/>
      <c r="AA408" s="4"/>
      <c r="AB408" s="4"/>
    </row>
    <row r="409" spans="1:28" x14ac:dyDescent="0.2">
      <c r="A409" s="4">
        <v>50</v>
      </c>
      <c r="B409" s="4">
        <v>0</v>
      </c>
      <c r="C409" s="4">
        <v>0</v>
      </c>
      <c r="D409" s="4">
        <v>1</v>
      </c>
      <c r="E409" s="4">
        <v>205</v>
      </c>
      <c r="F409" s="4">
        <f>ROUND(Source!S394,O409)</f>
        <v>86179</v>
      </c>
      <c r="G409" s="4" t="s">
        <v>94</v>
      </c>
      <c r="H409" s="4" t="s">
        <v>95</v>
      </c>
      <c r="I409" s="4"/>
      <c r="J409" s="4"/>
      <c r="K409" s="4">
        <v>205</v>
      </c>
      <c r="L409" s="4">
        <v>14</v>
      </c>
      <c r="M409" s="4">
        <v>3</v>
      </c>
      <c r="N409" s="4" t="s">
        <v>3</v>
      </c>
      <c r="O409" s="4">
        <v>0</v>
      </c>
      <c r="P409" s="4"/>
      <c r="Q409" s="4"/>
      <c r="R409" s="4"/>
      <c r="S409" s="4"/>
      <c r="T409" s="4"/>
      <c r="U409" s="4"/>
      <c r="V409" s="4"/>
      <c r="W409" s="4">
        <v>26654</v>
      </c>
      <c r="X409" s="4">
        <v>1</v>
      </c>
      <c r="Y409" s="4">
        <v>26654</v>
      </c>
      <c r="Z409" s="4"/>
      <c r="AA409" s="4"/>
      <c r="AB409" s="4"/>
    </row>
    <row r="410" spans="1:28" x14ac:dyDescent="0.2">
      <c r="A410" s="4">
        <v>50</v>
      </c>
      <c r="B410" s="4">
        <v>0</v>
      </c>
      <c r="C410" s="4">
        <v>0</v>
      </c>
      <c r="D410" s="4">
        <v>1</v>
      </c>
      <c r="E410" s="4">
        <v>232</v>
      </c>
      <c r="F410" s="4">
        <f>ROUND(Source!BC394,O410)</f>
        <v>0</v>
      </c>
      <c r="G410" s="4" t="s">
        <v>96</v>
      </c>
      <c r="H410" s="4" t="s">
        <v>97</v>
      </c>
      <c r="I410" s="4"/>
      <c r="J410" s="4"/>
      <c r="K410" s="4">
        <v>232</v>
      </c>
      <c r="L410" s="4">
        <v>15</v>
      </c>
      <c r="M410" s="4">
        <v>3</v>
      </c>
      <c r="N410" s="4" t="s">
        <v>3</v>
      </c>
      <c r="O410" s="4">
        <v>0</v>
      </c>
      <c r="P410" s="4"/>
      <c r="Q410" s="4"/>
      <c r="R410" s="4"/>
      <c r="S410" s="4"/>
      <c r="T410" s="4"/>
      <c r="U410" s="4"/>
      <c r="V410" s="4"/>
      <c r="W410" s="4">
        <v>0</v>
      </c>
      <c r="X410" s="4">
        <v>1</v>
      </c>
      <c r="Y410" s="4">
        <v>0</v>
      </c>
      <c r="Z410" s="4"/>
      <c r="AA410" s="4"/>
      <c r="AB410" s="4"/>
    </row>
    <row r="411" spans="1:28" x14ac:dyDescent="0.2">
      <c r="A411" s="4">
        <v>50</v>
      </c>
      <c r="B411" s="4">
        <v>0</v>
      </c>
      <c r="C411" s="4">
        <v>0</v>
      </c>
      <c r="D411" s="4">
        <v>1</v>
      </c>
      <c r="E411" s="4">
        <v>214</v>
      </c>
      <c r="F411" s="4">
        <f>ROUND(Source!AS394,O411)</f>
        <v>3343619</v>
      </c>
      <c r="G411" s="4" t="s">
        <v>98</v>
      </c>
      <c r="H411" s="4" t="s">
        <v>99</v>
      </c>
      <c r="I411" s="4"/>
      <c r="J411" s="4"/>
      <c r="K411" s="4">
        <v>214</v>
      </c>
      <c r="L411" s="4">
        <v>16</v>
      </c>
      <c r="M411" s="4">
        <v>3</v>
      </c>
      <c r="N411" s="4" t="s">
        <v>3</v>
      </c>
      <c r="O411" s="4">
        <v>0</v>
      </c>
      <c r="P411" s="4"/>
      <c r="Q411" s="4"/>
      <c r="R411" s="4"/>
      <c r="S411" s="4"/>
      <c r="T411" s="4"/>
      <c r="U411" s="4"/>
      <c r="V411" s="4"/>
      <c r="W411" s="4">
        <v>1166423</v>
      </c>
      <c r="X411" s="4">
        <v>1</v>
      </c>
      <c r="Y411" s="4">
        <v>1166423</v>
      </c>
      <c r="Z411" s="4"/>
      <c r="AA411" s="4"/>
      <c r="AB411" s="4"/>
    </row>
    <row r="412" spans="1:28" x14ac:dyDescent="0.2">
      <c r="A412" s="4">
        <v>50</v>
      </c>
      <c r="B412" s="4">
        <v>0</v>
      </c>
      <c r="C412" s="4">
        <v>0</v>
      </c>
      <c r="D412" s="4">
        <v>1</v>
      </c>
      <c r="E412" s="4">
        <v>215</v>
      </c>
      <c r="F412" s="4">
        <f>ROUND(Source!AT394,O412)</f>
        <v>0</v>
      </c>
      <c r="G412" s="4" t="s">
        <v>100</v>
      </c>
      <c r="H412" s="4" t="s">
        <v>101</v>
      </c>
      <c r="I412" s="4"/>
      <c r="J412" s="4"/>
      <c r="K412" s="4">
        <v>215</v>
      </c>
      <c r="L412" s="4">
        <v>17</v>
      </c>
      <c r="M412" s="4">
        <v>3</v>
      </c>
      <c r="N412" s="4" t="s">
        <v>3</v>
      </c>
      <c r="O412" s="4">
        <v>0</v>
      </c>
      <c r="P412" s="4"/>
      <c r="Q412" s="4"/>
      <c r="R412" s="4"/>
      <c r="S412" s="4"/>
      <c r="T412" s="4"/>
      <c r="U412" s="4"/>
      <c r="V412" s="4"/>
      <c r="W412" s="4">
        <v>0</v>
      </c>
      <c r="X412" s="4">
        <v>1</v>
      </c>
      <c r="Y412" s="4">
        <v>0</v>
      </c>
      <c r="Z412" s="4"/>
      <c r="AA412" s="4"/>
      <c r="AB412" s="4"/>
    </row>
    <row r="413" spans="1:28" x14ac:dyDescent="0.2">
      <c r="A413" s="4">
        <v>50</v>
      </c>
      <c r="B413" s="4">
        <v>0</v>
      </c>
      <c r="C413" s="4">
        <v>0</v>
      </c>
      <c r="D413" s="4">
        <v>1</v>
      </c>
      <c r="E413" s="4">
        <v>217</v>
      </c>
      <c r="F413" s="4">
        <f>ROUND(Source!AU394,O413)</f>
        <v>3821557</v>
      </c>
      <c r="G413" s="4" t="s">
        <v>102</v>
      </c>
      <c r="H413" s="4" t="s">
        <v>103</v>
      </c>
      <c r="I413" s="4"/>
      <c r="J413" s="4"/>
      <c r="K413" s="4">
        <v>217</v>
      </c>
      <c r="L413" s="4">
        <v>18</v>
      </c>
      <c r="M413" s="4">
        <v>3</v>
      </c>
      <c r="N413" s="4" t="s">
        <v>3</v>
      </c>
      <c r="O413" s="4">
        <v>0</v>
      </c>
      <c r="P413" s="4"/>
      <c r="Q413" s="4"/>
      <c r="R413" s="4"/>
      <c r="S413" s="4"/>
      <c r="T413" s="4"/>
      <c r="U413" s="4"/>
      <c r="V413" s="4"/>
      <c r="W413" s="4">
        <v>1135426</v>
      </c>
      <c r="X413" s="4">
        <v>1</v>
      </c>
      <c r="Y413" s="4">
        <v>1135426</v>
      </c>
      <c r="Z413" s="4"/>
      <c r="AA413" s="4"/>
      <c r="AB413" s="4"/>
    </row>
    <row r="414" spans="1:28" x14ac:dyDescent="0.2">
      <c r="A414" s="4">
        <v>50</v>
      </c>
      <c r="B414" s="4">
        <v>0</v>
      </c>
      <c r="C414" s="4">
        <v>0</v>
      </c>
      <c r="D414" s="4">
        <v>1</v>
      </c>
      <c r="E414" s="4">
        <v>230</v>
      </c>
      <c r="F414" s="4">
        <f>ROUND(Source!BA394,O414)</f>
        <v>0</v>
      </c>
      <c r="G414" s="4" t="s">
        <v>104</v>
      </c>
      <c r="H414" s="4" t="s">
        <v>105</v>
      </c>
      <c r="I414" s="4"/>
      <c r="J414" s="4"/>
      <c r="K414" s="4">
        <v>230</v>
      </c>
      <c r="L414" s="4">
        <v>19</v>
      </c>
      <c r="M414" s="4">
        <v>3</v>
      </c>
      <c r="N414" s="4" t="s">
        <v>3</v>
      </c>
      <c r="O414" s="4">
        <v>0</v>
      </c>
      <c r="P414" s="4"/>
      <c r="Q414" s="4"/>
      <c r="R414" s="4"/>
      <c r="S414" s="4"/>
      <c r="T414" s="4"/>
      <c r="U414" s="4"/>
      <c r="V414" s="4"/>
      <c r="W414" s="4">
        <v>0</v>
      </c>
      <c r="X414" s="4">
        <v>1</v>
      </c>
      <c r="Y414" s="4">
        <v>0</v>
      </c>
      <c r="Z414" s="4"/>
      <c r="AA414" s="4"/>
      <c r="AB414" s="4"/>
    </row>
    <row r="415" spans="1:28" x14ac:dyDescent="0.2">
      <c r="A415" s="4">
        <v>50</v>
      </c>
      <c r="B415" s="4">
        <v>0</v>
      </c>
      <c r="C415" s="4">
        <v>0</v>
      </c>
      <c r="D415" s="4">
        <v>1</v>
      </c>
      <c r="E415" s="4">
        <v>206</v>
      </c>
      <c r="F415" s="4">
        <f>ROUND(Source!T394,O415)</f>
        <v>0</v>
      </c>
      <c r="G415" s="4" t="s">
        <v>106</v>
      </c>
      <c r="H415" s="4" t="s">
        <v>107</v>
      </c>
      <c r="I415" s="4"/>
      <c r="J415" s="4"/>
      <c r="K415" s="4">
        <v>206</v>
      </c>
      <c r="L415" s="4">
        <v>20</v>
      </c>
      <c r="M415" s="4">
        <v>3</v>
      </c>
      <c r="N415" s="4" t="s">
        <v>3</v>
      </c>
      <c r="O415" s="4">
        <v>0</v>
      </c>
      <c r="P415" s="4"/>
      <c r="Q415" s="4"/>
      <c r="R415" s="4"/>
      <c r="S415" s="4"/>
      <c r="T415" s="4"/>
      <c r="U415" s="4"/>
      <c r="V415" s="4"/>
      <c r="W415" s="4">
        <v>0</v>
      </c>
      <c r="X415" s="4">
        <v>1</v>
      </c>
      <c r="Y415" s="4">
        <v>0</v>
      </c>
      <c r="Z415" s="4"/>
      <c r="AA415" s="4"/>
      <c r="AB415" s="4"/>
    </row>
    <row r="416" spans="1:28" x14ac:dyDescent="0.2">
      <c r="A416" s="4">
        <v>50</v>
      </c>
      <c r="B416" s="4">
        <v>0</v>
      </c>
      <c r="C416" s="4">
        <v>0</v>
      </c>
      <c r="D416" s="4">
        <v>1</v>
      </c>
      <c r="E416" s="4">
        <v>207</v>
      </c>
      <c r="F416" s="4">
        <f>Source!U394</f>
        <v>335.96549765000003</v>
      </c>
      <c r="G416" s="4" t="s">
        <v>108</v>
      </c>
      <c r="H416" s="4" t="s">
        <v>109</v>
      </c>
      <c r="I416" s="4"/>
      <c r="J416" s="4"/>
      <c r="K416" s="4">
        <v>207</v>
      </c>
      <c r="L416" s="4">
        <v>21</v>
      </c>
      <c r="M416" s="4">
        <v>3</v>
      </c>
      <c r="N416" s="4" t="s">
        <v>3</v>
      </c>
      <c r="O416" s="4">
        <v>-1</v>
      </c>
      <c r="P416" s="4"/>
      <c r="Q416" s="4"/>
      <c r="R416" s="4"/>
      <c r="S416" s="4"/>
      <c r="T416" s="4"/>
      <c r="U416" s="4"/>
      <c r="V416" s="4"/>
      <c r="W416" s="4">
        <v>94.68944175</v>
      </c>
      <c r="X416" s="4">
        <v>1</v>
      </c>
      <c r="Y416" s="4">
        <v>94.68944175</v>
      </c>
      <c r="Z416" s="4"/>
      <c r="AA416" s="4"/>
      <c r="AB416" s="4"/>
    </row>
    <row r="417" spans="1:206" x14ac:dyDescent="0.2">
      <c r="A417" s="4">
        <v>50</v>
      </c>
      <c r="B417" s="4">
        <v>0</v>
      </c>
      <c r="C417" s="4">
        <v>0</v>
      </c>
      <c r="D417" s="4">
        <v>1</v>
      </c>
      <c r="E417" s="4">
        <v>208</v>
      </c>
      <c r="F417" s="4">
        <f>Source!V394</f>
        <v>622.29463549999991</v>
      </c>
      <c r="G417" s="4" t="s">
        <v>110</v>
      </c>
      <c r="H417" s="4" t="s">
        <v>111</v>
      </c>
      <c r="I417" s="4"/>
      <c r="J417" s="4"/>
      <c r="K417" s="4">
        <v>208</v>
      </c>
      <c r="L417" s="4">
        <v>22</v>
      </c>
      <c r="M417" s="4">
        <v>3</v>
      </c>
      <c r="N417" s="4" t="s">
        <v>3</v>
      </c>
      <c r="O417" s="4">
        <v>-1</v>
      </c>
      <c r="P417" s="4"/>
      <c r="Q417" s="4"/>
      <c r="R417" s="4"/>
      <c r="S417" s="4"/>
      <c r="T417" s="4"/>
      <c r="U417" s="4"/>
      <c r="V417" s="4"/>
      <c r="W417" s="4">
        <v>197.42174199999999</v>
      </c>
      <c r="X417" s="4">
        <v>1</v>
      </c>
      <c r="Y417" s="4">
        <v>197.42174199999999</v>
      </c>
      <c r="Z417" s="4"/>
      <c r="AA417" s="4"/>
      <c r="AB417" s="4"/>
    </row>
    <row r="418" spans="1:206" x14ac:dyDescent="0.2">
      <c r="A418" s="4">
        <v>50</v>
      </c>
      <c r="B418" s="4">
        <v>0</v>
      </c>
      <c r="C418" s="4">
        <v>0</v>
      </c>
      <c r="D418" s="4">
        <v>1</v>
      </c>
      <c r="E418" s="4">
        <v>209</v>
      </c>
      <c r="F418" s="4">
        <f>ROUND(Source!W394,O418)</f>
        <v>0</v>
      </c>
      <c r="G418" s="4" t="s">
        <v>112</v>
      </c>
      <c r="H418" s="4" t="s">
        <v>113</v>
      </c>
      <c r="I418" s="4"/>
      <c r="J418" s="4"/>
      <c r="K418" s="4">
        <v>209</v>
      </c>
      <c r="L418" s="4">
        <v>23</v>
      </c>
      <c r="M418" s="4">
        <v>3</v>
      </c>
      <c r="N418" s="4" t="s">
        <v>3</v>
      </c>
      <c r="O418" s="4">
        <v>0</v>
      </c>
      <c r="P418" s="4"/>
      <c r="Q418" s="4"/>
      <c r="R418" s="4"/>
      <c r="S418" s="4"/>
      <c r="T418" s="4"/>
      <c r="U418" s="4"/>
      <c r="V418" s="4"/>
      <c r="W418" s="4">
        <v>0</v>
      </c>
      <c r="X418" s="4">
        <v>1</v>
      </c>
      <c r="Y418" s="4">
        <v>0</v>
      </c>
      <c r="Z418" s="4"/>
      <c r="AA418" s="4"/>
      <c r="AB418" s="4"/>
    </row>
    <row r="419" spans="1:206" x14ac:dyDescent="0.2">
      <c r="A419" s="4">
        <v>50</v>
      </c>
      <c r="B419" s="4">
        <v>0</v>
      </c>
      <c r="C419" s="4">
        <v>0</v>
      </c>
      <c r="D419" s="4">
        <v>1</v>
      </c>
      <c r="E419" s="4">
        <v>233</v>
      </c>
      <c r="F419" s="4">
        <f>ROUND(Source!BD394,O419)</f>
        <v>59722</v>
      </c>
      <c r="G419" s="4" t="s">
        <v>114</v>
      </c>
      <c r="H419" s="4" t="s">
        <v>115</v>
      </c>
      <c r="I419" s="4"/>
      <c r="J419" s="4"/>
      <c r="K419" s="4">
        <v>233</v>
      </c>
      <c r="L419" s="4">
        <v>24</v>
      </c>
      <c r="M419" s="4">
        <v>3</v>
      </c>
      <c r="N419" s="4" t="s">
        <v>3</v>
      </c>
      <c r="O419" s="4">
        <v>0</v>
      </c>
      <c r="P419" s="4"/>
      <c r="Q419" s="4"/>
      <c r="R419" s="4"/>
      <c r="S419" s="4"/>
      <c r="T419" s="4"/>
      <c r="U419" s="4"/>
      <c r="V419" s="4"/>
      <c r="W419" s="4">
        <v>59722</v>
      </c>
      <c r="X419" s="4">
        <v>1</v>
      </c>
      <c r="Y419" s="4">
        <v>59722</v>
      </c>
      <c r="Z419" s="4"/>
      <c r="AA419" s="4"/>
      <c r="AB419" s="4"/>
    </row>
    <row r="420" spans="1:206" x14ac:dyDescent="0.2">
      <c r="A420" s="4">
        <v>50</v>
      </c>
      <c r="B420" s="4">
        <v>0</v>
      </c>
      <c r="C420" s="4">
        <v>0</v>
      </c>
      <c r="D420" s="4">
        <v>1</v>
      </c>
      <c r="E420" s="4">
        <v>210</v>
      </c>
      <c r="F420" s="4">
        <f>ROUND(Source!X394,O420)</f>
        <v>461931</v>
      </c>
      <c r="G420" s="4" t="s">
        <v>116</v>
      </c>
      <c r="H420" s="4" t="s">
        <v>117</v>
      </c>
      <c r="I420" s="4"/>
      <c r="J420" s="4"/>
      <c r="K420" s="4">
        <v>210</v>
      </c>
      <c r="L420" s="4">
        <v>25</v>
      </c>
      <c r="M420" s="4">
        <v>3</v>
      </c>
      <c r="N420" s="4" t="s">
        <v>3</v>
      </c>
      <c r="O420" s="4">
        <v>0</v>
      </c>
      <c r="P420" s="4"/>
      <c r="Q420" s="4"/>
      <c r="R420" s="4"/>
      <c r="S420" s="4"/>
      <c r="T420" s="4"/>
      <c r="U420" s="4"/>
      <c r="V420" s="4"/>
      <c r="W420" s="4">
        <v>155106</v>
      </c>
      <c r="X420" s="4">
        <v>1</v>
      </c>
      <c r="Y420" s="4">
        <v>155106</v>
      </c>
      <c r="Z420" s="4"/>
      <c r="AA420" s="4"/>
      <c r="AB420" s="4"/>
    </row>
    <row r="421" spans="1:206" x14ac:dyDescent="0.2">
      <c r="A421" s="4">
        <v>50</v>
      </c>
      <c r="B421" s="4">
        <v>0</v>
      </c>
      <c r="C421" s="4">
        <v>0</v>
      </c>
      <c r="D421" s="4">
        <v>1</v>
      </c>
      <c r="E421" s="4">
        <v>211</v>
      </c>
      <c r="F421" s="4">
        <f>ROUND(Source!Y394,O421)</f>
        <v>307904</v>
      </c>
      <c r="G421" s="4" t="s">
        <v>118</v>
      </c>
      <c r="H421" s="4" t="s">
        <v>119</v>
      </c>
      <c r="I421" s="4"/>
      <c r="J421" s="4"/>
      <c r="K421" s="4">
        <v>211</v>
      </c>
      <c r="L421" s="4">
        <v>26</v>
      </c>
      <c r="M421" s="4">
        <v>3</v>
      </c>
      <c r="N421" s="4" t="s">
        <v>3</v>
      </c>
      <c r="O421" s="4">
        <v>0</v>
      </c>
      <c r="P421" s="4"/>
      <c r="Q421" s="4"/>
      <c r="R421" s="4"/>
      <c r="S421" s="4"/>
      <c r="T421" s="4"/>
      <c r="U421" s="4"/>
      <c r="V421" s="4"/>
      <c r="W421" s="4">
        <v>102634</v>
      </c>
      <c r="X421" s="4">
        <v>1</v>
      </c>
      <c r="Y421" s="4">
        <v>102634</v>
      </c>
      <c r="Z421" s="4"/>
      <c r="AA421" s="4"/>
      <c r="AB421" s="4"/>
    </row>
    <row r="422" spans="1:206" x14ac:dyDescent="0.2">
      <c r="A422" s="4">
        <v>50</v>
      </c>
      <c r="B422" s="4">
        <v>0</v>
      </c>
      <c r="C422" s="4">
        <v>0</v>
      </c>
      <c r="D422" s="4">
        <v>1</v>
      </c>
      <c r="E422" s="4">
        <v>224</v>
      </c>
      <c r="F422" s="4">
        <f>ROUND(Source!AR394,O422)</f>
        <v>7165176</v>
      </c>
      <c r="G422" s="4" t="s">
        <v>120</v>
      </c>
      <c r="H422" s="4" t="s">
        <v>121</v>
      </c>
      <c r="I422" s="4"/>
      <c r="J422" s="4"/>
      <c r="K422" s="4">
        <v>224</v>
      </c>
      <c r="L422" s="4">
        <v>27</v>
      </c>
      <c r="M422" s="4">
        <v>3</v>
      </c>
      <c r="N422" s="4" t="s">
        <v>3</v>
      </c>
      <c r="O422" s="4">
        <v>0</v>
      </c>
      <c r="P422" s="4"/>
      <c r="Q422" s="4"/>
      <c r="R422" s="4"/>
      <c r="S422" s="4"/>
      <c r="T422" s="4"/>
      <c r="U422" s="4"/>
      <c r="V422" s="4"/>
      <c r="W422" s="4">
        <v>2301849</v>
      </c>
      <c r="X422" s="4">
        <v>1</v>
      </c>
      <c r="Y422" s="4">
        <v>2301849</v>
      </c>
      <c r="Z422" s="4"/>
      <c r="AA422" s="4"/>
      <c r="AB422" s="4"/>
    </row>
    <row r="424" spans="1:206" x14ac:dyDescent="0.2">
      <c r="A424" s="2">
        <v>51</v>
      </c>
      <c r="B424" s="2">
        <f>B243</f>
        <v>1</v>
      </c>
      <c r="C424" s="2">
        <f>A243</f>
        <v>4</v>
      </c>
      <c r="D424" s="2">
        <f>ROW(A243)</f>
        <v>243</v>
      </c>
      <c r="E424" s="2"/>
      <c r="F424" s="2" t="str">
        <f>IF(F243&lt;&gt;"",F243,"")</f>
        <v>Новый раздел</v>
      </c>
      <c r="G424" s="2" t="str">
        <f>IF(G243&lt;&gt;"",G243,"")</f>
        <v>Выполнение работпо монтажу асфальтовыхпокрытий дорог , систем ливневой канализации и бордюрных камней</v>
      </c>
      <c r="H424" s="2">
        <v>0</v>
      </c>
      <c r="I424" s="2"/>
      <c r="J424" s="2"/>
      <c r="K424" s="2"/>
      <c r="L424" s="2"/>
      <c r="M424" s="2"/>
      <c r="N424" s="2"/>
      <c r="O424" s="2">
        <f t="shared" ref="O424:T424" si="348">ROUND(O258+O299+O339+O394+AB424,0)</f>
        <v>8314747</v>
      </c>
      <c r="P424" s="2">
        <f t="shared" si="348"/>
        <v>5376789</v>
      </c>
      <c r="Q424" s="2">
        <f t="shared" si="348"/>
        <v>2647204</v>
      </c>
      <c r="R424" s="2">
        <f t="shared" si="348"/>
        <v>285848</v>
      </c>
      <c r="S424" s="2">
        <f t="shared" si="348"/>
        <v>290754</v>
      </c>
      <c r="T424" s="2">
        <f t="shared" si="348"/>
        <v>0</v>
      </c>
      <c r="U424" s="2">
        <f>U258+U299+U339+U394+AH424</f>
        <v>1292.2820204</v>
      </c>
      <c r="V424" s="2">
        <f>V258+V299+V339+V394+AI424</f>
        <v>771.32011099999988</v>
      </c>
      <c r="W424" s="2">
        <f>ROUND(W258+W299+W339+W394+AJ424,0)</f>
        <v>0</v>
      </c>
      <c r="X424" s="2">
        <f>ROUND(X258+X299+X339+X394+AK424,0)</f>
        <v>750763</v>
      </c>
      <c r="Y424" s="2">
        <f>ROUND(Y258+Y299+Y339+Y394+AL424,0)</f>
        <v>494921</v>
      </c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>
        <f t="shared" ref="AO424:BD424" si="349">ROUND(AO258+AO299+AO339+AO394+BX424,0)</f>
        <v>0</v>
      </c>
      <c r="AP424" s="2">
        <f t="shared" si="349"/>
        <v>0</v>
      </c>
      <c r="AQ424" s="2">
        <f t="shared" si="349"/>
        <v>0</v>
      </c>
      <c r="AR424" s="2">
        <f t="shared" si="349"/>
        <v>9560431</v>
      </c>
      <c r="AS424" s="2">
        <f t="shared" si="349"/>
        <v>4990381</v>
      </c>
      <c r="AT424" s="2">
        <f t="shared" si="349"/>
        <v>0</v>
      </c>
      <c r="AU424" s="2">
        <f t="shared" si="349"/>
        <v>4570050</v>
      </c>
      <c r="AV424" s="2">
        <f t="shared" si="349"/>
        <v>5376789</v>
      </c>
      <c r="AW424" s="2">
        <f t="shared" si="349"/>
        <v>5376789</v>
      </c>
      <c r="AX424" s="2">
        <f t="shared" si="349"/>
        <v>0</v>
      </c>
      <c r="AY424" s="2">
        <f t="shared" si="349"/>
        <v>5376789</v>
      </c>
      <c r="AZ424" s="2">
        <f t="shared" si="349"/>
        <v>0</v>
      </c>
      <c r="BA424" s="2">
        <f t="shared" si="349"/>
        <v>0</v>
      </c>
      <c r="BB424" s="2">
        <f t="shared" si="349"/>
        <v>0</v>
      </c>
      <c r="BC424" s="2">
        <f t="shared" si="349"/>
        <v>0</v>
      </c>
      <c r="BD424" s="2">
        <f t="shared" si="349"/>
        <v>131614</v>
      </c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>
        <v>0</v>
      </c>
    </row>
    <row r="426" spans="1:206" x14ac:dyDescent="0.2">
      <c r="A426" s="4">
        <v>50</v>
      </c>
      <c r="B426" s="4">
        <v>0</v>
      </c>
      <c r="C426" s="4">
        <v>0</v>
      </c>
      <c r="D426" s="4">
        <v>1</v>
      </c>
      <c r="E426" s="4">
        <v>201</v>
      </c>
      <c r="F426" s="4">
        <f>ROUND(Source!O424,O426)</f>
        <v>8314747</v>
      </c>
      <c r="G426" s="4" t="s">
        <v>68</v>
      </c>
      <c r="H426" s="4" t="s">
        <v>69</v>
      </c>
      <c r="I426" s="4"/>
      <c r="J426" s="4"/>
      <c r="K426" s="4">
        <v>201</v>
      </c>
      <c r="L426" s="4">
        <v>1</v>
      </c>
      <c r="M426" s="4">
        <v>3</v>
      </c>
      <c r="N426" s="4" t="s">
        <v>3</v>
      </c>
      <c r="O426" s="4">
        <v>0</v>
      </c>
      <c r="P426" s="4"/>
      <c r="Q426" s="4"/>
      <c r="R426" s="4"/>
      <c r="S426" s="4"/>
      <c r="T426" s="4"/>
      <c r="U426" s="4"/>
      <c r="V426" s="4"/>
      <c r="W426" s="4">
        <v>3558036</v>
      </c>
      <c r="X426" s="4">
        <v>1</v>
      </c>
      <c r="Y426" s="4">
        <v>3558036</v>
      </c>
      <c r="Z426" s="4"/>
      <c r="AA426" s="4"/>
      <c r="AB426" s="4"/>
    </row>
    <row r="427" spans="1:206" x14ac:dyDescent="0.2">
      <c r="A427" s="4">
        <v>50</v>
      </c>
      <c r="B427" s="4">
        <v>0</v>
      </c>
      <c r="C427" s="4">
        <v>0</v>
      </c>
      <c r="D427" s="4">
        <v>1</v>
      </c>
      <c r="E427" s="4">
        <v>202</v>
      </c>
      <c r="F427" s="4">
        <f>ROUND(Source!P424,O427)</f>
        <v>5376789</v>
      </c>
      <c r="G427" s="4" t="s">
        <v>70</v>
      </c>
      <c r="H427" s="4" t="s">
        <v>71</v>
      </c>
      <c r="I427" s="4"/>
      <c r="J427" s="4"/>
      <c r="K427" s="4">
        <v>202</v>
      </c>
      <c r="L427" s="4">
        <v>2</v>
      </c>
      <c r="M427" s="4">
        <v>3</v>
      </c>
      <c r="N427" s="4" t="s">
        <v>3</v>
      </c>
      <c r="O427" s="4">
        <v>0</v>
      </c>
      <c r="P427" s="4"/>
      <c r="Q427" s="4"/>
      <c r="R427" s="4"/>
      <c r="S427" s="4"/>
      <c r="T427" s="4"/>
      <c r="U427" s="4"/>
      <c r="V427" s="4"/>
      <c r="W427" s="4">
        <v>2248843</v>
      </c>
      <c r="X427" s="4">
        <v>1</v>
      </c>
      <c r="Y427" s="4">
        <v>2248843</v>
      </c>
      <c r="Z427" s="4"/>
      <c r="AA427" s="4"/>
      <c r="AB427" s="4"/>
    </row>
    <row r="428" spans="1:206" x14ac:dyDescent="0.2">
      <c r="A428" s="4">
        <v>50</v>
      </c>
      <c r="B428" s="4">
        <v>0</v>
      </c>
      <c r="C428" s="4">
        <v>0</v>
      </c>
      <c r="D428" s="4">
        <v>1</v>
      </c>
      <c r="E428" s="4">
        <v>222</v>
      </c>
      <c r="F428" s="4">
        <f>ROUND(Source!AO424,O428)</f>
        <v>0</v>
      </c>
      <c r="G428" s="4" t="s">
        <v>72</v>
      </c>
      <c r="H428" s="4" t="s">
        <v>73</v>
      </c>
      <c r="I428" s="4"/>
      <c r="J428" s="4"/>
      <c r="K428" s="4">
        <v>222</v>
      </c>
      <c r="L428" s="4">
        <v>3</v>
      </c>
      <c r="M428" s="4">
        <v>3</v>
      </c>
      <c r="N428" s="4" t="s">
        <v>3</v>
      </c>
      <c r="O428" s="4">
        <v>0</v>
      </c>
      <c r="P428" s="4"/>
      <c r="Q428" s="4"/>
      <c r="R428" s="4"/>
      <c r="S428" s="4"/>
      <c r="T428" s="4"/>
      <c r="U428" s="4"/>
      <c r="V428" s="4"/>
      <c r="W428" s="4">
        <v>0</v>
      </c>
      <c r="X428" s="4">
        <v>1</v>
      </c>
      <c r="Y428" s="4">
        <v>0</v>
      </c>
      <c r="Z428" s="4"/>
      <c r="AA428" s="4"/>
      <c r="AB428" s="4"/>
    </row>
    <row r="429" spans="1:206" x14ac:dyDescent="0.2">
      <c r="A429" s="4">
        <v>50</v>
      </c>
      <c r="B429" s="4">
        <v>0</v>
      </c>
      <c r="C429" s="4">
        <v>0</v>
      </c>
      <c r="D429" s="4">
        <v>1</v>
      </c>
      <c r="E429" s="4">
        <v>225</v>
      </c>
      <c r="F429" s="4">
        <f>ROUND(Source!AV424,O429)</f>
        <v>5376789</v>
      </c>
      <c r="G429" s="4" t="s">
        <v>74</v>
      </c>
      <c r="H429" s="4" t="s">
        <v>75</v>
      </c>
      <c r="I429" s="4"/>
      <c r="J429" s="4"/>
      <c r="K429" s="4">
        <v>225</v>
      </c>
      <c r="L429" s="4">
        <v>4</v>
      </c>
      <c r="M429" s="4">
        <v>3</v>
      </c>
      <c r="N429" s="4" t="s">
        <v>3</v>
      </c>
      <c r="O429" s="4">
        <v>0</v>
      </c>
      <c r="P429" s="4"/>
      <c r="Q429" s="4"/>
      <c r="R429" s="4"/>
      <c r="S429" s="4"/>
      <c r="T429" s="4"/>
      <c r="U429" s="4"/>
      <c r="V429" s="4"/>
      <c r="W429" s="4">
        <v>2248843</v>
      </c>
      <c r="X429" s="4">
        <v>1</v>
      </c>
      <c r="Y429" s="4">
        <v>2248843</v>
      </c>
      <c r="Z429" s="4"/>
      <c r="AA429" s="4"/>
      <c r="AB429" s="4"/>
    </row>
    <row r="430" spans="1:206" x14ac:dyDescent="0.2">
      <c r="A430" s="4">
        <v>50</v>
      </c>
      <c r="B430" s="4">
        <v>0</v>
      </c>
      <c r="C430" s="4">
        <v>0</v>
      </c>
      <c r="D430" s="4">
        <v>1</v>
      </c>
      <c r="E430" s="4">
        <v>226</v>
      </c>
      <c r="F430" s="4">
        <f>ROUND(Source!AW424,O430)</f>
        <v>5376789</v>
      </c>
      <c r="G430" s="4" t="s">
        <v>76</v>
      </c>
      <c r="H430" s="4" t="s">
        <v>77</v>
      </c>
      <c r="I430" s="4"/>
      <c r="J430" s="4"/>
      <c r="K430" s="4">
        <v>226</v>
      </c>
      <c r="L430" s="4">
        <v>5</v>
      </c>
      <c r="M430" s="4">
        <v>3</v>
      </c>
      <c r="N430" s="4" t="s">
        <v>3</v>
      </c>
      <c r="O430" s="4">
        <v>0</v>
      </c>
      <c r="P430" s="4"/>
      <c r="Q430" s="4"/>
      <c r="R430" s="4"/>
      <c r="S430" s="4"/>
      <c r="T430" s="4"/>
      <c r="U430" s="4"/>
      <c r="V430" s="4"/>
      <c r="W430" s="4">
        <v>2248843</v>
      </c>
      <c r="X430" s="4">
        <v>1</v>
      </c>
      <c r="Y430" s="4">
        <v>2248843</v>
      </c>
      <c r="Z430" s="4"/>
      <c r="AA430" s="4"/>
      <c r="AB430" s="4"/>
    </row>
    <row r="431" spans="1:206" x14ac:dyDescent="0.2">
      <c r="A431" s="4">
        <v>50</v>
      </c>
      <c r="B431" s="4">
        <v>0</v>
      </c>
      <c r="C431" s="4">
        <v>0</v>
      </c>
      <c r="D431" s="4">
        <v>1</v>
      </c>
      <c r="E431" s="4">
        <v>227</v>
      </c>
      <c r="F431" s="4">
        <f>ROUND(Source!AX424,O431)</f>
        <v>0</v>
      </c>
      <c r="G431" s="4" t="s">
        <v>78</v>
      </c>
      <c r="H431" s="4" t="s">
        <v>79</v>
      </c>
      <c r="I431" s="4"/>
      <c r="J431" s="4"/>
      <c r="K431" s="4">
        <v>227</v>
      </c>
      <c r="L431" s="4">
        <v>6</v>
      </c>
      <c r="M431" s="4">
        <v>3</v>
      </c>
      <c r="N431" s="4" t="s">
        <v>3</v>
      </c>
      <c r="O431" s="4">
        <v>0</v>
      </c>
      <c r="P431" s="4"/>
      <c r="Q431" s="4"/>
      <c r="R431" s="4"/>
      <c r="S431" s="4"/>
      <c r="T431" s="4"/>
      <c r="U431" s="4"/>
      <c r="V431" s="4"/>
      <c r="W431" s="4">
        <v>0</v>
      </c>
      <c r="X431" s="4">
        <v>1</v>
      </c>
      <c r="Y431" s="4">
        <v>0</v>
      </c>
      <c r="Z431" s="4"/>
      <c r="AA431" s="4"/>
      <c r="AB431" s="4"/>
    </row>
    <row r="432" spans="1:206" x14ac:dyDescent="0.2">
      <c r="A432" s="4">
        <v>50</v>
      </c>
      <c r="B432" s="4">
        <v>0</v>
      </c>
      <c r="C432" s="4">
        <v>0</v>
      </c>
      <c r="D432" s="4">
        <v>1</v>
      </c>
      <c r="E432" s="4">
        <v>228</v>
      </c>
      <c r="F432" s="4">
        <f>ROUND(Source!AY424,O432)</f>
        <v>5376789</v>
      </c>
      <c r="G432" s="4" t="s">
        <v>80</v>
      </c>
      <c r="H432" s="4" t="s">
        <v>81</v>
      </c>
      <c r="I432" s="4"/>
      <c r="J432" s="4"/>
      <c r="K432" s="4">
        <v>228</v>
      </c>
      <c r="L432" s="4">
        <v>7</v>
      </c>
      <c r="M432" s="4">
        <v>3</v>
      </c>
      <c r="N432" s="4" t="s">
        <v>3</v>
      </c>
      <c r="O432" s="4">
        <v>0</v>
      </c>
      <c r="P432" s="4"/>
      <c r="Q432" s="4"/>
      <c r="R432" s="4"/>
      <c r="S432" s="4"/>
      <c r="T432" s="4"/>
      <c r="U432" s="4"/>
      <c r="V432" s="4"/>
      <c r="W432" s="4">
        <v>2248843</v>
      </c>
      <c r="X432" s="4">
        <v>1</v>
      </c>
      <c r="Y432" s="4">
        <v>2248843</v>
      </c>
      <c r="Z432" s="4"/>
      <c r="AA432" s="4"/>
      <c r="AB432" s="4"/>
    </row>
    <row r="433" spans="1:28" x14ac:dyDescent="0.2">
      <c r="A433" s="4">
        <v>50</v>
      </c>
      <c r="B433" s="4">
        <v>0</v>
      </c>
      <c r="C433" s="4">
        <v>0</v>
      </c>
      <c r="D433" s="4">
        <v>1</v>
      </c>
      <c r="E433" s="4">
        <v>216</v>
      </c>
      <c r="F433" s="4">
        <f>ROUND(Source!AP424,O433)</f>
        <v>0</v>
      </c>
      <c r="G433" s="4" t="s">
        <v>82</v>
      </c>
      <c r="H433" s="4" t="s">
        <v>83</v>
      </c>
      <c r="I433" s="4"/>
      <c r="J433" s="4"/>
      <c r="K433" s="4">
        <v>216</v>
      </c>
      <c r="L433" s="4">
        <v>8</v>
      </c>
      <c r="M433" s="4">
        <v>3</v>
      </c>
      <c r="N433" s="4" t="s">
        <v>3</v>
      </c>
      <c r="O433" s="4">
        <v>0</v>
      </c>
      <c r="P433" s="4"/>
      <c r="Q433" s="4"/>
      <c r="R433" s="4"/>
      <c r="S433" s="4"/>
      <c r="T433" s="4"/>
      <c r="U433" s="4"/>
      <c r="V433" s="4"/>
      <c r="W433" s="4">
        <v>0</v>
      </c>
      <c r="X433" s="4">
        <v>1</v>
      </c>
      <c r="Y433" s="4">
        <v>0</v>
      </c>
      <c r="Z433" s="4"/>
      <c r="AA433" s="4"/>
      <c r="AB433" s="4"/>
    </row>
    <row r="434" spans="1:28" x14ac:dyDescent="0.2">
      <c r="A434" s="4">
        <v>50</v>
      </c>
      <c r="B434" s="4">
        <v>0</v>
      </c>
      <c r="C434" s="4">
        <v>0</v>
      </c>
      <c r="D434" s="4">
        <v>1</v>
      </c>
      <c r="E434" s="4">
        <v>223</v>
      </c>
      <c r="F434" s="4">
        <f>ROUND(Source!AQ424,O434)</f>
        <v>0</v>
      </c>
      <c r="G434" s="4" t="s">
        <v>84</v>
      </c>
      <c r="H434" s="4" t="s">
        <v>85</v>
      </c>
      <c r="I434" s="4"/>
      <c r="J434" s="4"/>
      <c r="K434" s="4">
        <v>223</v>
      </c>
      <c r="L434" s="4">
        <v>9</v>
      </c>
      <c r="M434" s="4">
        <v>3</v>
      </c>
      <c r="N434" s="4" t="s">
        <v>3</v>
      </c>
      <c r="O434" s="4">
        <v>0</v>
      </c>
      <c r="P434" s="4"/>
      <c r="Q434" s="4"/>
      <c r="R434" s="4"/>
      <c r="S434" s="4"/>
      <c r="T434" s="4"/>
      <c r="U434" s="4"/>
      <c r="V434" s="4"/>
      <c r="W434" s="4">
        <v>0</v>
      </c>
      <c r="X434" s="4">
        <v>1</v>
      </c>
      <c r="Y434" s="4">
        <v>0</v>
      </c>
      <c r="Z434" s="4"/>
      <c r="AA434" s="4"/>
      <c r="AB434" s="4"/>
    </row>
    <row r="435" spans="1:28" x14ac:dyDescent="0.2">
      <c r="A435" s="4">
        <v>50</v>
      </c>
      <c r="B435" s="4">
        <v>0</v>
      </c>
      <c r="C435" s="4">
        <v>0</v>
      </c>
      <c r="D435" s="4">
        <v>1</v>
      </c>
      <c r="E435" s="4">
        <v>229</v>
      </c>
      <c r="F435" s="4">
        <f>ROUND(Source!AZ424,O435)</f>
        <v>0</v>
      </c>
      <c r="G435" s="4" t="s">
        <v>86</v>
      </c>
      <c r="H435" s="4" t="s">
        <v>87</v>
      </c>
      <c r="I435" s="4"/>
      <c r="J435" s="4"/>
      <c r="K435" s="4">
        <v>229</v>
      </c>
      <c r="L435" s="4">
        <v>10</v>
      </c>
      <c r="M435" s="4">
        <v>3</v>
      </c>
      <c r="N435" s="4" t="s">
        <v>3</v>
      </c>
      <c r="O435" s="4">
        <v>0</v>
      </c>
      <c r="P435" s="4"/>
      <c r="Q435" s="4"/>
      <c r="R435" s="4"/>
      <c r="S435" s="4"/>
      <c r="T435" s="4"/>
      <c r="U435" s="4"/>
      <c r="V435" s="4"/>
      <c r="W435" s="4">
        <v>0</v>
      </c>
      <c r="X435" s="4">
        <v>1</v>
      </c>
      <c r="Y435" s="4">
        <v>0</v>
      </c>
      <c r="Z435" s="4"/>
      <c r="AA435" s="4"/>
      <c r="AB435" s="4"/>
    </row>
    <row r="436" spans="1:28" x14ac:dyDescent="0.2">
      <c r="A436" s="4">
        <v>50</v>
      </c>
      <c r="B436" s="4">
        <v>0</v>
      </c>
      <c r="C436" s="4">
        <v>0</v>
      </c>
      <c r="D436" s="4">
        <v>1</v>
      </c>
      <c r="E436" s="4">
        <v>203</v>
      </c>
      <c r="F436" s="4">
        <f>ROUND(Source!Q424,O436)</f>
        <v>2647204</v>
      </c>
      <c r="G436" s="4" t="s">
        <v>88</v>
      </c>
      <c r="H436" s="4" t="s">
        <v>89</v>
      </c>
      <c r="I436" s="4"/>
      <c r="J436" s="4"/>
      <c r="K436" s="4">
        <v>203</v>
      </c>
      <c r="L436" s="4">
        <v>11</v>
      </c>
      <c r="M436" s="4">
        <v>3</v>
      </c>
      <c r="N436" s="4" t="s">
        <v>3</v>
      </c>
      <c r="O436" s="4">
        <v>0</v>
      </c>
      <c r="P436" s="4"/>
      <c r="Q436" s="4"/>
      <c r="R436" s="4"/>
      <c r="S436" s="4"/>
      <c r="T436" s="4"/>
      <c r="U436" s="4"/>
      <c r="V436" s="4"/>
      <c r="W436" s="4">
        <v>1091762</v>
      </c>
      <c r="X436" s="4">
        <v>1</v>
      </c>
      <c r="Y436" s="4">
        <v>1091762</v>
      </c>
      <c r="Z436" s="4"/>
      <c r="AA436" s="4"/>
      <c r="AB436" s="4"/>
    </row>
    <row r="437" spans="1:28" x14ac:dyDescent="0.2">
      <c r="A437" s="4">
        <v>50</v>
      </c>
      <c r="B437" s="4">
        <v>0</v>
      </c>
      <c r="C437" s="4">
        <v>0</v>
      </c>
      <c r="D437" s="4">
        <v>1</v>
      </c>
      <c r="E437" s="4">
        <v>231</v>
      </c>
      <c r="F437" s="4">
        <f>ROUND(Source!BB424,O437)</f>
        <v>0</v>
      </c>
      <c r="G437" s="4" t="s">
        <v>90</v>
      </c>
      <c r="H437" s="4" t="s">
        <v>91</v>
      </c>
      <c r="I437" s="4"/>
      <c r="J437" s="4"/>
      <c r="K437" s="4">
        <v>231</v>
      </c>
      <c r="L437" s="4">
        <v>12</v>
      </c>
      <c r="M437" s="4">
        <v>3</v>
      </c>
      <c r="N437" s="4" t="s">
        <v>3</v>
      </c>
      <c r="O437" s="4">
        <v>0</v>
      </c>
      <c r="P437" s="4"/>
      <c r="Q437" s="4"/>
      <c r="R437" s="4"/>
      <c r="S437" s="4"/>
      <c r="T437" s="4"/>
      <c r="U437" s="4"/>
      <c r="V437" s="4"/>
      <c r="W437" s="4">
        <v>0</v>
      </c>
      <c r="X437" s="4">
        <v>1</v>
      </c>
      <c r="Y437" s="4">
        <v>0</v>
      </c>
      <c r="Z437" s="4"/>
      <c r="AA437" s="4"/>
      <c r="AB437" s="4"/>
    </row>
    <row r="438" spans="1:28" x14ac:dyDescent="0.2">
      <c r="A438" s="4">
        <v>50</v>
      </c>
      <c r="B438" s="4">
        <v>0</v>
      </c>
      <c r="C438" s="4">
        <v>0</v>
      </c>
      <c r="D438" s="4">
        <v>1</v>
      </c>
      <c r="E438" s="4">
        <v>204</v>
      </c>
      <c r="F438" s="4">
        <f>ROUND(Source!R424,O438)</f>
        <v>285848</v>
      </c>
      <c r="G438" s="4" t="s">
        <v>92</v>
      </c>
      <c r="H438" s="4" t="s">
        <v>93</v>
      </c>
      <c r="I438" s="4"/>
      <c r="J438" s="4"/>
      <c r="K438" s="4">
        <v>204</v>
      </c>
      <c r="L438" s="4">
        <v>13</v>
      </c>
      <c r="M438" s="4">
        <v>3</v>
      </c>
      <c r="N438" s="4" t="s">
        <v>3</v>
      </c>
      <c r="O438" s="4">
        <v>0</v>
      </c>
      <c r="P438" s="4"/>
      <c r="Q438" s="4"/>
      <c r="R438" s="4"/>
      <c r="S438" s="4"/>
      <c r="T438" s="4"/>
      <c r="U438" s="4"/>
      <c r="V438" s="4"/>
      <c r="W438" s="4">
        <v>138549</v>
      </c>
      <c r="X438" s="4">
        <v>1</v>
      </c>
      <c r="Y438" s="4">
        <v>138549</v>
      </c>
      <c r="Z438" s="4"/>
      <c r="AA438" s="4"/>
      <c r="AB438" s="4"/>
    </row>
    <row r="439" spans="1:28" x14ac:dyDescent="0.2">
      <c r="A439" s="4">
        <v>50</v>
      </c>
      <c r="B439" s="4">
        <v>0</v>
      </c>
      <c r="C439" s="4">
        <v>0</v>
      </c>
      <c r="D439" s="4">
        <v>1</v>
      </c>
      <c r="E439" s="4">
        <v>205</v>
      </c>
      <c r="F439" s="4">
        <f>ROUND(Source!S424,O439)</f>
        <v>290754</v>
      </c>
      <c r="G439" s="4" t="s">
        <v>94</v>
      </c>
      <c r="H439" s="4" t="s">
        <v>95</v>
      </c>
      <c r="I439" s="4"/>
      <c r="J439" s="4"/>
      <c r="K439" s="4">
        <v>205</v>
      </c>
      <c r="L439" s="4">
        <v>14</v>
      </c>
      <c r="M439" s="4">
        <v>3</v>
      </c>
      <c r="N439" s="4" t="s">
        <v>3</v>
      </c>
      <c r="O439" s="4">
        <v>0</v>
      </c>
      <c r="P439" s="4"/>
      <c r="Q439" s="4"/>
      <c r="R439" s="4"/>
      <c r="S439" s="4"/>
      <c r="T439" s="4"/>
      <c r="U439" s="4"/>
      <c r="V439" s="4"/>
      <c r="W439" s="4">
        <v>217431</v>
      </c>
      <c r="X439" s="4">
        <v>1</v>
      </c>
      <c r="Y439" s="4">
        <v>217431</v>
      </c>
      <c r="Z439" s="4"/>
      <c r="AA439" s="4"/>
      <c r="AB439" s="4"/>
    </row>
    <row r="440" spans="1:28" x14ac:dyDescent="0.2">
      <c r="A440" s="4">
        <v>50</v>
      </c>
      <c r="B440" s="4">
        <v>0</v>
      </c>
      <c r="C440" s="4">
        <v>0</v>
      </c>
      <c r="D440" s="4">
        <v>1</v>
      </c>
      <c r="E440" s="4">
        <v>232</v>
      </c>
      <c r="F440" s="4">
        <f>ROUND(Source!BC424,O440)</f>
        <v>0</v>
      </c>
      <c r="G440" s="4" t="s">
        <v>96</v>
      </c>
      <c r="H440" s="4" t="s">
        <v>97</v>
      </c>
      <c r="I440" s="4"/>
      <c r="J440" s="4"/>
      <c r="K440" s="4">
        <v>232</v>
      </c>
      <c r="L440" s="4">
        <v>15</v>
      </c>
      <c r="M440" s="4">
        <v>3</v>
      </c>
      <c r="N440" s="4" t="s">
        <v>3</v>
      </c>
      <c r="O440" s="4">
        <v>0</v>
      </c>
      <c r="P440" s="4"/>
      <c r="Q440" s="4"/>
      <c r="R440" s="4"/>
      <c r="S440" s="4"/>
      <c r="T440" s="4"/>
      <c r="U440" s="4"/>
      <c r="V440" s="4"/>
      <c r="W440" s="4">
        <v>0</v>
      </c>
      <c r="X440" s="4">
        <v>1</v>
      </c>
      <c r="Y440" s="4">
        <v>0</v>
      </c>
      <c r="Z440" s="4"/>
      <c r="AA440" s="4"/>
      <c r="AB440" s="4"/>
    </row>
    <row r="441" spans="1:28" x14ac:dyDescent="0.2">
      <c r="A441" s="4">
        <v>50</v>
      </c>
      <c r="B441" s="4">
        <v>0</v>
      </c>
      <c r="C441" s="4">
        <v>0</v>
      </c>
      <c r="D441" s="4">
        <v>1</v>
      </c>
      <c r="E441" s="4">
        <v>214</v>
      </c>
      <c r="F441" s="4">
        <f>ROUND(Source!AS424,O441)</f>
        <v>4990381</v>
      </c>
      <c r="G441" s="4" t="s">
        <v>98</v>
      </c>
      <c r="H441" s="4" t="s">
        <v>99</v>
      </c>
      <c r="I441" s="4"/>
      <c r="J441" s="4"/>
      <c r="K441" s="4">
        <v>214</v>
      </c>
      <c r="L441" s="4">
        <v>16</v>
      </c>
      <c r="M441" s="4">
        <v>3</v>
      </c>
      <c r="N441" s="4" t="s">
        <v>3</v>
      </c>
      <c r="O441" s="4">
        <v>0</v>
      </c>
      <c r="P441" s="4"/>
      <c r="Q441" s="4"/>
      <c r="R441" s="4"/>
      <c r="S441" s="4"/>
      <c r="T441" s="4"/>
      <c r="U441" s="4"/>
      <c r="V441" s="4"/>
      <c r="W441" s="4">
        <v>2539407</v>
      </c>
      <c r="X441" s="4">
        <v>1</v>
      </c>
      <c r="Y441" s="4">
        <v>2539407</v>
      </c>
      <c r="Z441" s="4"/>
      <c r="AA441" s="4"/>
      <c r="AB441" s="4"/>
    </row>
    <row r="442" spans="1:28" x14ac:dyDescent="0.2">
      <c r="A442" s="4">
        <v>50</v>
      </c>
      <c r="B442" s="4">
        <v>0</v>
      </c>
      <c r="C442" s="4">
        <v>0</v>
      </c>
      <c r="D442" s="4">
        <v>1</v>
      </c>
      <c r="E442" s="4">
        <v>215</v>
      </c>
      <c r="F442" s="4">
        <f>ROUND(Source!AT424,O442)</f>
        <v>0</v>
      </c>
      <c r="G442" s="4" t="s">
        <v>100</v>
      </c>
      <c r="H442" s="4" t="s">
        <v>101</v>
      </c>
      <c r="I442" s="4"/>
      <c r="J442" s="4"/>
      <c r="K442" s="4">
        <v>215</v>
      </c>
      <c r="L442" s="4">
        <v>17</v>
      </c>
      <c r="M442" s="4">
        <v>3</v>
      </c>
      <c r="N442" s="4" t="s">
        <v>3</v>
      </c>
      <c r="O442" s="4">
        <v>0</v>
      </c>
      <c r="P442" s="4"/>
      <c r="Q442" s="4"/>
      <c r="R442" s="4"/>
      <c r="S442" s="4"/>
      <c r="T442" s="4"/>
      <c r="U442" s="4"/>
      <c r="V442" s="4"/>
      <c r="W442" s="4">
        <v>0</v>
      </c>
      <c r="X442" s="4">
        <v>1</v>
      </c>
      <c r="Y442" s="4">
        <v>0</v>
      </c>
      <c r="Z442" s="4"/>
      <c r="AA442" s="4"/>
      <c r="AB442" s="4"/>
    </row>
    <row r="443" spans="1:28" x14ac:dyDescent="0.2">
      <c r="A443" s="4">
        <v>50</v>
      </c>
      <c r="B443" s="4">
        <v>0</v>
      </c>
      <c r="C443" s="4">
        <v>0</v>
      </c>
      <c r="D443" s="4">
        <v>1</v>
      </c>
      <c r="E443" s="4">
        <v>217</v>
      </c>
      <c r="F443" s="4">
        <f>ROUND(Source!AU424,O443)</f>
        <v>4570050</v>
      </c>
      <c r="G443" s="4" t="s">
        <v>102</v>
      </c>
      <c r="H443" s="4" t="s">
        <v>103</v>
      </c>
      <c r="I443" s="4"/>
      <c r="J443" s="4"/>
      <c r="K443" s="4">
        <v>217</v>
      </c>
      <c r="L443" s="4">
        <v>18</v>
      </c>
      <c r="M443" s="4">
        <v>3</v>
      </c>
      <c r="N443" s="4" t="s">
        <v>3</v>
      </c>
      <c r="O443" s="4">
        <v>0</v>
      </c>
      <c r="P443" s="4"/>
      <c r="Q443" s="4"/>
      <c r="R443" s="4"/>
      <c r="S443" s="4"/>
      <c r="T443" s="4"/>
      <c r="U443" s="4"/>
      <c r="V443" s="4"/>
      <c r="W443" s="4">
        <v>1722157</v>
      </c>
      <c r="X443" s="4">
        <v>1</v>
      </c>
      <c r="Y443" s="4">
        <v>1722157</v>
      </c>
      <c r="Z443" s="4"/>
      <c r="AA443" s="4"/>
      <c r="AB443" s="4"/>
    </row>
    <row r="444" spans="1:28" x14ac:dyDescent="0.2">
      <c r="A444" s="4">
        <v>50</v>
      </c>
      <c r="B444" s="4">
        <v>0</v>
      </c>
      <c r="C444" s="4">
        <v>0</v>
      </c>
      <c r="D444" s="4">
        <v>1</v>
      </c>
      <c r="E444" s="4">
        <v>230</v>
      </c>
      <c r="F444" s="4">
        <f>ROUND(Source!BA424,O444)</f>
        <v>0</v>
      </c>
      <c r="G444" s="4" t="s">
        <v>104</v>
      </c>
      <c r="H444" s="4" t="s">
        <v>105</v>
      </c>
      <c r="I444" s="4"/>
      <c r="J444" s="4"/>
      <c r="K444" s="4">
        <v>230</v>
      </c>
      <c r="L444" s="4">
        <v>19</v>
      </c>
      <c r="M444" s="4">
        <v>3</v>
      </c>
      <c r="N444" s="4" t="s">
        <v>3</v>
      </c>
      <c r="O444" s="4">
        <v>0</v>
      </c>
      <c r="P444" s="4"/>
      <c r="Q444" s="4"/>
      <c r="R444" s="4"/>
      <c r="S444" s="4"/>
      <c r="T444" s="4"/>
      <c r="U444" s="4"/>
      <c r="V444" s="4"/>
      <c r="W444" s="4">
        <v>0</v>
      </c>
      <c r="X444" s="4">
        <v>1</v>
      </c>
      <c r="Y444" s="4">
        <v>0</v>
      </c>
      <c r="Z444" s="4"/>
      <c r="AA444" s="4"/>
      <c r="AB444" s="4"/>
    </row>
    <row r="445" spans="1:28" x14ac:dyDescent="0.2">
      <c r="A445" s="4">
        <v>50</v>
      </c>
      <c r="B445" s="4">
        <v>0</v>
      </c>
      <c r="C445" s="4">
        <v>0</v>
      </c>
      <c r="D445" s="4">
        <v>1</v>
      </c>
      <c r="E445" s="4">
        <v>206</v>
      </c>
      <c r="F445" s="4">
        <f>ROUND(Source!T424,O445)</f>
        <v>0</v>
      </c>
      <c r="G445" s="4" t="s">
        <v>106</v>
      </c>
      <c r="H445" s="4" t="s">
        <v>107</v>
      </c>
      <c r="I445" s="4"/>
      <c r="J445" s="4"/>
      <c r="K445" s="4">
        <v>206</v>
      </c>
      <c r="L445" s="4">
        <v>20</v>
      </c>
      <c r="M445" s="4">
        <v>3</v>
      </c>
      <c r="N445" s="4" t="s">
        <v>3</v>
      </c>
      <c r="O445" s="4">
        <v>0</v>
      </c>
      <c r="P445" s="4"/>
      <c r="Q445" s="4"/>
      <c r="R445" s="4"/>
      <c r="S445" s="4"/>
      <c r="T445" s="4"/>
      <c r="U445" s="4"/>
      <c r="V445" s="4"/>
      <c r="W445" s="4">
        <v>0</v>
      </c>
      <c r="X445" s="4">
        <v>1</v>
      </c>
      <c r="Y445" s="4">
        <v>0</v>
      </c>
      <c r="Z445" s="4"/>
      <c r="AA445" s="4"/>
      <c r="AB445" s="4"/>
    </row>
    <row r="446" spans="1:28" x14ac:dyDescent="0.2">
      <c r="A446" s="4">
        <v>50</v>
      </c>
      <c r="B446" s="4">
        <v>0</v>
      </c>
      <c r="C446" s="4">
        <v>0</v>
      </c>
      <c r="D446" s="4">
        <v>1</v>
      </c>
      <c r="E446" s="4">
        <v>207</v>
      </c>
      <c r="F446" s="4">
        <f>Source!U424</f>
        <v>1292.2820204</v>
      </c>
      <c r="G446" s="4" t="s">
        <v>108</v>
      </c>
      <c r="H446" s="4" t="s">
        <v>109</v>
      </c>
      <c r="I446" s="4"/>
      <c r="J446" s="4"/>
      <c r="K446" s="4">
        <v>207</v>
      </c>
      <c r="L446" s="4">
        <v>21</v>
      </c>
      <c r="M446" s="4">
        <v>3</v>
      </c>
      <c r="N446" s="4" t="s">
        <v>3</v>
      </c>
      <c r="O446" s="4">
        <v>-1</v>
      </c>
      <c r="P446" s="4"/>
      <c r="Q446" s="4"/>
      <c r="R446" s="4"/>
      <c r="S446" s="4"/>
      <c r="T446" s="4"/>
      <c r="U446" s="4"/>
      <c r="V446" s="4"/>
      <c r="W446" s="4">
        <v>771.16086474999975</v>
      </c>
      <c r="X446" s="4">
        <v>1</v>
      </c>
      <c r="Y446" s="4">
        <v>771.16086474999975</v>
      </c>
      <c r="Z446" s="4"/>
      <c r="AA446" s="4"/>
      <c r="AB446" s="4"/>
    </row>
    <row r="447" spans="1:28" x14ac:dyDescent="0.2">
      <c r="A447" s="4">
        <v>50</v>
      </c>
      <c r="B447" s="4">
        <v>0</v>
      </c>
      <c r="C447" s="4">
        <v>0</v>
      </c>
      <c r="D447" s="4">
        <v>1</v>
      </c>
      <c r="E447" s="4">
        <v>208</v>
      </c>
      <c r="F447" s="4">
        <f>Source!V424</f>
        <v>771.32011099999988</v>
      </c>
      <c r="G447" s="4" t="s">
        <v>110</v>
      </c>
      <c r="H447" s="4" t="s">
        <v>111</v>
      </c>
      <c r="I447" s="4"/>
      <c r="J447" s="4"/>
      <c r="K447" s="4">
        <v>208</v>
      </c>
      <c r="L447" s="4">
        <v>22</v>
      </c>
      <c r="M447" s="4">
        <v>3</v>
      </c>
      <c r="N447" s="4" t="s">
        <v>3</v>
      </c>
      <c r="O447" s="4">
        <v>-1</v>
      </c>
      <c r="P447" s="4"/>
      <c r="Q447" s="4"/>
      <c r="R447" s="4"/>
      <c r="S447" s="4"/>
      <c r="T447" s="4"/>
      <c r="U447" s="4"/>
      <c r="V447" s="4"/>
      <c r="W447" s="4">
        <v>332.99595499999998</v>
      </c>
      <c r="X447" s="4">
        <v>1</v>
      </c>
      <c r="Y447" s="4">
        <v>332.99595499999998</v>
      </c>
      <c r="Z447" s="4"/>
      <c r="AA447" s="4"/>
      <c r="AB447" s="4"/>
    </row>
    <row r="448" spans="1:28" x14ac:dyDescent="0.2">
      <c r="A448" s="4">
        <v>50</v>
      </c>
      <c r="B448" s="4">
        <v>0</v>
      </c>
      <c r="C448" s="4">
        <v>0</v>
      </c>
      <c r="D448" s="4">
        <v>1</v>
      </c>
      <c r="E448" s="4">
        <v>209</v>
      </c>
      <c r="F448" s="4">
        <f>ROUND(Source!W424,O448)</f>
        <v>0</v>
      </c>
      <c r="G448" s="4" t="s">
        <v>112</v>
      </c>
      <c r="H448" s="4" t="s">
        <v>113</v>
      </c>
      <c r="I448" s="4"/>
      <c r="J448" s="4"/>
      <c r="K448" s="4">
        <v>209</v>
      </c>
      <c r="L448" s="4">
        <v>23</v>
      </c>
      <c r="M448" s="4">
        <v>3</v>
      </c>
      <c r="N448" s="4" t="s">
        <v>3</v>
      </c>
      <c r="O448" s="4">
        <v>0</v>
      </c>
      <c r="P448" s="4"/>
      <c r="Q448" s="4"/>
      <c r="R448" s="4"/>
      <c r="S448" s="4"/>
      <c r="T448" s="4"/>
      <c r="U448" s="4"/>
      <c r="V448" s="4"/>
      <c r="W448" s="4">
        <v>0</v>
      </c>
      <c r="X448" s="4">
        <v>1</v>
      </c>
      <c r="Y448" s="4">
        <v>0</v>
      </c>
      <c r="Z448" s="4"/>
      <c r="AA448" s="4"/>
      <c r="AB448" s="4"/>
    </row>
    <row r="449" spans="1:206" x14ac:dyDescent="0.2">
      <c r="A449" s="4">
        <v>50</v>
      </c>
      <c r="B449" s="4">
        <v>0</v>
      </c>
      <c r="C449" s="4">
        <v>0</v>
      </c>
      <c r="D449" s="4">
        <v>1</v>
      </c>
      <c r="E449" s="4">
        <v>233</v>
      </c>
      <c r="F449" s="4">
        <f>ROUND(Source!BD424,O449)</f>
        <v>131614</v>
      </c>
      <c r="G449" s="4" t="s">
        <v>114</v>
      </c>
      <c r="H449" s="4" t="s">
        <v>115</v>
      </c>
      <c r="I449" s="4"/>
      <c r="J449" s="4"/>
      <c r="K449" s="4">
        <v>233</v>
      </c>
      <c r="L449" s="4">
        <v>24</v>
      </c>
      <c r="M449" s="4">
        <v>3</v>
      </c>
      <c r="N449" s="4" t="s">
        <v>3</v>
      </c>
      <c r="O449" s="4">
        <v>0</v>
      </c>
      <c r="P449" s="4"/>
      <c r="Q449" s="4"/>
      <c r="R449" s="4"/>
      <c r="S449" s="4"/>
      <c r="T449" s="4"/>
      <c r="U449" s="4"/>
      <c r="V449" s="4"/>
      <c r="W449" s="4">
        <v>131614</v>
      </c>
      <c r="X449" s="4">
        <v>1</v>
      </c>
      <c r="Y449" s="4">
        <v>131614</v>
      </c>
      <c r="Z449" s="4"/>
      <c r="AA449" s="4"/>
      <c r="AB449" s="4"/>
    </row>
    <row r="450" spans="1:206" x14ac:dyDescent="0.2">
      <c r="A450" s="4">
        <v>50</v>
      </c>
      <c r="B450" s="4">
        <v>0</v>
      </c>
      <c r="C450" s="4">
        <v>0</v>
      </c>
      <c r="D450" s="4">
        <v>1</v>
      </c>
      <c r="E450" s="4">
        <v>210</v>
      </c>
      <c r="F450" s="4">
        <f>ROUND(Source!X424,O450)</f>
        <v>750763</v>
      </c>
      <c r="G450" s="4" t="s">
        <v>116</v>
      </c>
      <c r="H450" s="4" t="s">
        <v>117</v>
      </c>
      <c r="I450" s="4"/>
      <c r="J450" s="4"/>
      <c r="K450" s="4">
        <v>210</v>
      </c>
      <c r="L450" s="4">
        <v>25</v>
      </c>
      <c r="M450" s="4">
        <v>3</v>
      </c>
      <c r="N450" s="4" t="s">
        <v>3</v>
      </c>
      <c r="O450" s="4">
        <v>0</v>
      </c>
      <c r="P450" s="4"/>
      <c r="Q450" s="4"/>
      <c r="R450" s="4"/>
      <c r="S450" s="4"/>
      <c r="T450" s="4"/>
      <c r="U450" s="4"/>
      <c r="V450" s="4"/>
      <c r="W450" s="4">
        <v>423409</v>
      </c>
      <c r="X450" s="4">
        <v>1</v>
      </c>
      <c r="Y450" s="4">
        <v>423409</v>
      </c>
      <c r="Z450" s="4"/>
      <c r="AA450" s="4"/>
      <c r="AB450" s="4"/>
    </row>
    <row r="451" spans="1:206" x14ac:dyDescent="0.2">
      <c r="A451" s="4">
        <v>50</v>
      </c>
      <c r="B451" s="4">
        <v>0</v>
      </c>
      <c r="C451" s="4">
        <v>0</v>
      </c>
      <c r="D451" s="4">
        <v>1</v>
      </c>
      <c r="E451" s="4">
        <v>211</v>
      </c>
      <c r="F451" s="4">
        <f>ROUND(Source!Y424,O451)</f>
        <v>494921</v>
      </c>
      <c r="G451" s="4" t="s">
        <v>118</v>
      </c>
      <c r="H451" s="4" t="s">
        <v>119</v>
      </c>
      <c r="I451" s="4"/>
      <c r="J451" s="4"/>
      <c r="K451" s="4">
        <v>211</v>
      </c>
      <c r="L451" s="4">
        <v>26</v>
      </c>
      <c r="M451" s="4">
        <v>3</v>
      </c>
      <c r="N451" s="4" t="s">
        <v>3</v>
      </c>
      <c r="O451" s="4">
        <v>0</v>
      </c>
      <c r="P451" s="4"/>
      <c r="Q451" s="4"/>
      <c r="R451" s="4"/>
      <c r="S451" s="4"/>
      <c r="T451" s="4"/>
      <c r="U451" s="4"/>
      <c r="V451" s="4"/>
      <c r="W451" s="4">
        <v>280119</v>
      </c>
      <c r="X451" s="4">
        <v>1</v>
      </c>
      <c r="Y451" s="4">
        <v>280119</v>
      </c>
      <c r="Z451" s="4"/>
      <c r="AA451" s="4"/>
      <c r="AB451" s="4"/>
    </row>
    <row r="452" spans="1:206" x14ac:dyDescent="0.2">
      <c r="A452" s="4">
        <v>50</v>
      </c>
      <c r="B452" s="4">
        <v>0</v>
      </c>
      <c r="C452" s="4">
        <v>0</v>
      </c>
      <c r="D452" s="4">
        <v>1</v>
      </c>
      <c r="E452" s="4">
        <v>224</v>
      </c>
      <c r="F452" s="4">
        <f>ROUND(Source!AR424,O452)</f>
        <v>9560431</v>
      </c>
      <c r="G452" s="4" t="s">
        <v>120</v>
      </c>
      <c r="H452" s="4" t="s">
        <v>121</v>
      </c>
      <c r="I452" s="4"/>
      <c r="J452" s="4"/>
      <c r="K452" s="4">
        <v>224</v>
      </c>
      <c r="L452" s="4">
        <v>27</v>
      </c>
      <c r="M452" s="4">
        <v>3</v>
      </c>
      <c r="N452" s="4" t="s">
        <v>3</v>
      </c>
      <c r="O452" s="4">
        <v>0</v>
      </c>
      <c r="P452" s="4"/>
      <c r="Q452" s="4"/>
      <c r="R452" s="4"/>
      <c r="S452" s="4"/>
      <c r="T452" s="4"/>
      <c r="U452" s="4"/>
      <c r="V452" s="4"/>
      <c r="W452" s="4">
        <v>4261564</v>
      </c>
      <c r="X452" s="4">
        <v>1</v>
      </c>
      <c r="Y452" s="4">
        <v>4261564</v>
      </c>
      <c r="Z452" s="4"/>
      <c r="AA452" s="4"/>
      <c r="AB452" s="4"/>
    </row>
    <row r="454" spans="1:206" x14ac:dyDescent="0.2">
      <c r="A454" s="2">
        <v>51</v>
      </c>
      <c r="B454" s="2">
        <f>B20</f>
        <v>1</v>
      </c>
      <c r="C454" s="2">
        <f>A20</f>
        <v>3</v>
      </c>
      <c r="D454" s="2">
        <f>ROW(A20)</f>
        <v>20</v>
      </c>
      <c r="E454" s="2"/>
      <c r="F454" s="2" t="str">
        <f>IF(F20&lt;&gt;"",F20,"")</f>
        <v>Новая локальная смета</v>
      </c>
      <c r="G454" s="2" t="str">
        <f>IF(G20&lt;&gt;"",G20,"")</f>
        <v>Новая локальная смета</v>
      </c>
      <c r="H454" s="2">
        <v>0</v>
      </c>
      <c r="I454" s="2"/>
      <c r="J454" s="2"/>
      <c r="K454" s="2"/>
      <c r="L454" s="2"/>
      <c r="M454" s="2"/>
      <c r="N454" s="2"/>
      <c r="O454" s="2">
        <f t="shared" ref="O454:T454" si="350">ROUND(O37+O213+O424+AB454,0)</f>
        <v>8964953</v>
      </c>
      <c r="P454" s="2">
        <f t="shared" si="350"/>
        <v>5816249</v>
      </c>
      <c r="Q454" s="2">
        <f t="shared" si="350"/>
        <v>2680480</v>
      </c>
      <c r="R454" s="2">
        <f t="shared" si="350"/>
        <v>293443</v>
      </c>
      <c r="S454" s="2">
        <f t="shared" si="350"/>
        <v>468224</v>
      </c>
      <c r="T454" s="2">
        <f t="shared" si="350"/>
        <v>0</v>
      </c>
      <c r="U454" s="2">
        <f>U37+U213+U424+AH454</f>
        <v>1931.8591802000001</v>
      </c>
      <c r="V454" s="2">
        <f>V37+V213+V424+AI454</f>
        <v>791.76232412499985</v>
      </c>
      <c r="W454" s="2">
        <f>ROUND(W37+W213+W424+AJ454,0)</f>
        <v>0</v>
      </c>
      <c r="X454" s="2">
        <f>ROUND(X37+X213+X424+AK454,0)</f>
        <v>966833</v>
      </c>
      <c r="Y454" s="2">
        <f>ROUND(Y37+Y213+Y424+AL454,0)</f>
        <v>630547</v>
      </c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>
        <f t="shared" ref="AO454:BD454" si="351">ROUND(AO37+AO213+AO424+BX454,0)</f>
        <v>0</v>
      </c>
      <c r="AP454" s="2">
        <f t="shared" si="351"/>
        <v>0</v>
      </c>
      <c r="AQ454" s="2">
        <f t="shared" si="351"/>
        <v>0</v>
      </c>
      <c r="AR454" s="2">
        <f t="shared" si="351"/>
        <v>10562333</v>
      </c>
      <c r="AS454" s="2">
        <f t="shared" si="351"/>
        <v>5621464</v>
      </c>
      <c r="AT454" s="2">
        <f t="shared" si="351"/>
        <v>0</v>
      </c>
      <c r="AU454" s="2">
        <f t="shared" si="351"/>
        <v>4940869</v>
      </c>
      <c r="AV454" s="2">
        <f t="shared" si="351"/>
        <v>5816249</v>
      </c>
      <c r="AW454" s="2">
        <f t="shared" si="351"/>
        <v>5816249</v>
      </c>
      <c r="AX454" s="2">
        <f t="shared" si="351"/>
        <v>0</v>
      </c>
      <c r="AY454" s="2">
        <f t="shared" si="351"/>
        <v>5816249</v>
      </c>
      <c r="AZ454" s="2">
        <f t="shared" si="351"/>
        <v>0</v>
      </c>
      <c r="BA454" s="2">
        <f t="shared" si="351"/>
        <v>0</v>
      </c>
      <c r="BB454" s="2">
        <f t="shared" si="351"/>
        <v>0</v>
      </c>
      <c r="BC454" s="2">
        <f t="shared" si="351"/>
        <v>0</v>
      </c>
      <c r="BD454" s="2">
        <f t="shared" si="351"/>
        <v>131614</v>
      </c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>
        <v>0</v>
      </c>
    </row>
    <row r="456" spans="1:206" x14ac:dyDescent="0.2">
      <c r="A456" s="4">
        <v>50</v>
      </c>
      <c r="B456" s="4">
        <v>0</v>
      </c>
      <c r="C456" s="4">
        <v>0</v>
      </c>
      <c r="D456" s="4">
        <v>1</v>
      </c>
      <c r="E456" s="4">
        <v>201</v>
      </c>
      <c r="F456" s="4">
        <f>ROUND(Source!O454,O456)</f>
        <v>8964953</v>
      </c>
      <c r="G456" s="4" t="s">
        <v>68</v>
      </c>
      <c r="H456" s="4" t="s">
        <v>69</v>
      </c>
      <c r="I456" s="4"/>
      <c r="J456" s="4"/>
      <c r="K456" s="4">
        <v>201</v>
      </c>
      <c r="L456" s="4">
        <v>1</v>
      </c>
      <c r="M456" s="4">
        <v>3</v>
      </c>
      <c r="N456" s="4" t="s">
        <v>3</v>
      </c>
      <c r="O456" s="4">
        <v>0</v>
      </c>
      <c r="P456" s="4"/>
      <c r="Q456" s="4"/>
      <c r="R456" s="4"/>
      <c r="S456" s="4"/>
      <c r="T456" s="4"/>
      <c r="U456" s="4"/>
      <c r="V456" s="4"/>
      <c r="W456" s="4">
        <v>4317453</v>
      </c>
      <c r="X456" s="4">
        <v>1</v>
      </c>
      <c r="Y456" s="4">
        <v>4317453</v>
      </c>
      <c r="Z456" s="4"/>
      <c r="AA456" s="4"/>
      <c r="AB456" s="4"/>
    </row>
    <row r="457" spans="1:206" x14ac:dyDescent="0.2">
      <c r="A457" s="4">
        <v>50</v>
      </c>
      <c r="B457" s="4">
        <v>0</v>
      </c>
      <c r="C457" s="4">
        <v>0</v>
      </c>
      <c r="D457" s="4">
        <v>1</v>
      </c>
      <c r="E457" s="4">
        <v>202</v>
      </c>
      <c r="F457" s="4">
        <f>ROUND(Source!P454,O457)</f>
        <v>5816249</v>
      </c>
      <c r="G457" s="4" t="s">
        <v>70</v>
      </c>
      <c r="H457" s="4" t="s">
        <v>71</v>
      </c>
      <c r="I457" s="4"/>
      <c r="J457" s="4"/>
      <c r="K457" s="4">
        <v>202</v>
      </c>
      <c r="L457" s="4">
        <v>2</v>
      </c>
      <c r="M457" s="4">
        <v>3</v>
      </c>
      <c r="N457" s="4" t="s">
        <v>3</v>
      </c>
      <c r="O457" s="4">
        <v>0</v>
      </c>
      <c r="P457" s="4"/>
      <c r="Q457" s="4"/>
      <c r="R457" s="4"/>
      <c r="S457" s="4"/>
      <c r="T457" s="4"/>
      <c r="U457" s="4"/>
      <c r="V457" s="4"/>
      <c r="W457" s="4">
        <v>2721839</v>
      </c>
      <c r="X457" s="4">
        <v>1</v>
      </c>
      <c r="Y457" s="4">
        <v>2721839</v>
      </c>
      <c r="Z457" s="4"/>
      <c r="AA457" s="4"/>
      <c r="AB457" s="4"/>
    </row>
    <row r="458" spans="1:206" x14ac:dyDescent="0.2">
      <c r="A458" s="4">
        <v>50</v>
      </c>
      <c r="B458" s="4">
        <v>0</v>
      </c>
      <c r="C458" s="4">
        <v>0</v>
      </c>
      <c r="D458" s="4">
        <v>1</v>
      </c>
      <c r="E458" s="4">
        <v>222</v>
      </c>
      <c r="F458" s="4">
        <f>ROUND(Source!AO454,O458)</f>
        <v>0</v>
      </c>
      <c r="G458" s="4" t="s">
        <v>72</v>
      </c>
      <c r="H458" s="4" t="s">
        <v>73</v>
      </c>
      <c r="I458" s="4"/>
      <c r="J458" s="4"/>
      <c r="K458" s="4">
        <v>222</v>
      </c>
      <c r="L458" s="4">
        <v>3</v>
      </c>
      <c r="M458" s="4">
        <v>3</v>
      </c>
      <c r="N458" s="4" t="s">
        <v>3</v>
      </c>
      <c r="O458" s="4">
        <v>0</v>
      </c>
      <c r="P458" s="4"/>
      <c r="Q458" s="4"/>
      <c r="R458" s="4"/>
      <c r="S458" s="4"/>
      <c r="T458" s="4"/>
      <c r="U458" s="4"/>
      <c r="V458" s="4"/>
      <c r="W458" s="4">
        <v>0</v>
      </c>
      <c r="X458" s="4">
        <v>1</v>
      </c>
      <c r="Y458" s="4">
        <v>0</v>
      </c>
      <c r="Z458" s="4"/>
      <c r="AA458" s="4"/>
      <c r="AB458" s="4"/>
    </row>
    <row r="459" spans="1:206" x14ac:dyDescent="0.2">
      <c r="A459" s="4">
        <v>50</v>
      </c>
      <c r="B459" s="4">
        <v>0</v>
      </c>
      <c r="C459" s="4">
        <v>0</v>
      </c>
      <c r="D459" s="4">
        <v>1</v>
      </c>
      <c r="E459" s="4">
        <v>225</v>
      </c>
      <c r="F459" s="4">
        <f>ROUND(Source!AV454,O459)</f>
        <v>5816249</v>
      </c>
      <c r="G459" s="4" t="s">
        <v>74</v>
      </c>
      <c r="H459" s="4" t="s">
        <v>75</v>
      </c>
      <c r="I459" s="4"/>
      <c r="J459" s="4"/>
      <c r="K459" s="4">
        <v>225</v>
      </c>
      <c r="L459" s="4">
        <v>4</v>
      </c>
      <c r="M459" s="4">
        <v>3</v>
      </c>
      <c r="N459" s="4" t="s">
        <v>3</v>
      </c>
      <c r="O459" s="4">
        <v>0</v>
      </c>
      <c r="P459" s="4"/>
      <c r="Q459" s="4"/>
      <c r="R459" s="4"/>
      <c r="S459" s="4"/>
      <c r="T459" s="4"/>
      <c r="U459" s="4"/>
      <c r="V459" s="4"/>
      <c r="W459" s="4">
        <v>2721839</v>
      </c>
      <c r="X459" s="4">
        <v>1</v>
      </c>
      <c r="Y459" s="4">
        <v>2721839</v>
      </c>
      <c r="Z459" s="4"/>
      <c r="AA459" s="4"/>
      <c r="AB459" s="4"/>
    </row>
    <row r="460" spans="1:206" x14ac:dyDescent="0.2">
      <c r="A460" s="4">
        <v>50</v>
      </c>
      <c r="B460" s="4">
        <v>0</v>
      </c>
      <c r="C460" s="4">
        <v>0</v>
      </c>
      <c r="D460" s="4">
        <v>1</v>
      </c>
      <c r="E460" s="4">
        <v>226</v>
      </c>
      <c r="F460" s="4">
        <f>ROUND(Source!AW454,O460)</f>
        <v>5816249</v>
      </c>
      <c r="G460" s="4" t="s">
        <v>76</v>
      </c>
      <c r="H460" s="4" t="s">
        <v>77</v>
      </c>
      <c r="I460" s="4"/>
      <c r="J460" s="4"/>
      <c r="K460" s="4">
        <v>226</v>
      </c>
      <c r="L460" s="4">
        <v>5</v>
      </c>
      <c r="M460" s="4">
        <v>3</v>
      </c>
      <c r="N460" s="4" t="s">
        <v>3</v>
      </c>
      <c r="O460" s="4">
        <v>0</v>
      </c>
      <c r="P460" s="4"/>
      <c r="Q460" s="4"/>
      <c r="R460" s="4"/>
      <c r="S460" s="4"/>
      <c r="T460" s="4"/>
      <c r="U460" s="4"/>
      <c r="V460" s="4"/>
      <c r="W460" s="4">
        <v>2721839</v>
      </c>
      <c r="X460" s="4">
        <v>1</v>
      </c>
      <c r="Y460" s="4">
        <v>2721839</v>
      </c>
      <c r="Z460" s="4"/>
      <c r="AA460" s="4"/>
      <c r="AB460" s="4"/>
    </row>
    <row r="461" spans="1:206" x14ac:dyDescent="0.2">
      <c r="A461" s="4">
        <v>50</v>
      </c>
      <c r="B461" s="4">
        <v>0</v>
      </c>
      <c r="C461" s="4">
        <v>0</v>
      </c>
      <c r="D461" s="4">
        <v>1</v>
      </c>
      <c r="E461" s="4">
        <v>227</v>
      </c>
      <c r="F461" s="4">
        <f>ROUND(Source!AX454,O461)</f>
        <v>0</v>
      </c>
      <c r="G461" s="4" t="s">
        <v>78</v>
      </c>
      <c r="H461" s="4" t="s">
        <v>79</v>
      </c>
      <c r="I461" s="4"/>
      <c r="J461" s="4"/>
      <c r="K461" s="4">
        <v>227</v>
      </c>
      <c r="L461" s="4">
        <v>6</v>
      </c>
      <c r="M461" s="4">
        <v>3</v>
      </c>
      <c r="N461" s="4" t="s">
        <v>3</v>
      </c>
      <c r="O461" s="4">
        <v>0</v>
      </c>
      <c r="P461" s="4"/>
      <c r="Q461" s="4"/>
      <c r="R461" s="4"/>
      <c r="S461" s="4"/>
      <c r="T461" s="4"/>
      <c r="U461" s="4"/>
      <c r="V461" s="4"/>
      <c r="W461" s="4">
        <v>0</v>
      </c>
      <c r="X461" s="4">
        <v>1</v>
      </c>
      <c r="Y461" s="4">
        <v>0</v>
      </c>
      <c r="Z461" s="4"/>
      <c r="AA461" s="4"/>
      <c r="AB461" s="4"/>
    </row>
    <row r="462" spans="1:206" x14ac:dyDescent="0.2">
      <c r="A462" s="4">
        <v>50</v>
      </c>
      <c r="B462" s="4">
        <v>0</v>
      </c>
      <c r="C462" s="4">
        <v>0</v>
      </c>
      <c r="D462" s="4">
        <v>1</v>
      </c>
      <c r="E462" s="4">
        <v>228</v>
      </c>
      <c r="F462" s="4">
        <f>ROUND(Source!AY454,O462)</f>
        <v>5816249</v>
      </c>
      <c r="G462" s="4" t="s">
        <v>80</v>
      </c>
      <c r="H462" s="4" t="s">
        <v>81</v>
      </c>
      <c r="I462" s="4"/>
      <c r="J462" s="4"/>
      <c r="K462" s="4">
        <v>228</v>
      </c>
      <c r="L462" s="4">
        <v>7</v>
      </c>
      <c r="M462" s="4">
        <v>3</v>
      </c>
      <c r="N462" s="4" t="s">
        <v>3</v>
      </c>
      <c r="O462" s="4">
        <v>0</v>
      </c>
      <c r="P462" s="4"/>
      <c r="Q462" s="4"/>
      <c r="R462" s="4"/>
      <c r="S462" s="4"/>
      <c r="T462" s="4"/>
      <c r="U462" s="4"/>
      <c r="V462" s="4"/>
      <c r="W462" s="4">
        <v>2721839</v>
      </c>
      <c r="X462" s="4">
        <v>1</v>
      </c>
      <c r="Y462" s="4">
        <v>2721839</v>
      </c>
      <c r="Z462" s="4"/>
      <c r="AA462" s="4"/>
      <c r="AB462" s="4"/>
    </row>
    <row r="463" spans="1:206" x14ac:dyDescent="0.2">
      <c r="A463" s="4">
        <v>50</v>
      </c>
      <c r="B463" s="4">
        <v>0</v>
      </c>
      <c r="C463" s="4">
        <v>0</v>
      </c>
      <c r="D463" s="4">
        <v>1</v>
      </c>
      <c r="E463" s="4">
        <v>216</v>
      </c>
      <c r="F463" s="4">
        <f>ROUND(Source!AP454,O463)</f>
        <v>0</v>
      </c>
      <c r="G463" s="4" t="s">
        <v>82</v>
      </c>
      <c r="H463" s="4" t="s">
        <v>83</v>
      </c>
      <c r="I463" s="4"/>
      <c r="J463" s="4"/>
      <c r="K463" s="4">
        <v>216</v>
      </c>
      <c r="L463" s="4">
        <v>8</v>
      </c>
      <c r="M463" s="4">
        <v>3</v>
      </c>
      <c r="N463" s="4" t="s">
        <v>3</v>
      </c>
      <c r="O463" s="4">
        <v>0</v>
      </c>
      <c r="P463" s="4"/>
      <c r="Q463" s="4"/>
      <c r="R463" s="4"/>
      <c r="S463" s="4"/>
      <c r="T463" s="4"/>
      <c r="U463" s="4"/>
      <c r="V463" s="4"/>
      <c r="W463" s="4">
        <v>0</v>
      </c>
      <c r="X463" s="4">
        <v>1</v>
      </c>
      <c r="Y463" s="4">
        <v>0</v>
      </c>
      <c r="Z463" s="4"/>
      <c r="AA463" s="4"/>
      <c r="AB463" s="4"/>
    </row>
    <row r="464" spans="1:206" x14ac:dyDescent="0.2">
      <c r="A464" s="4">
        <v>50</v>
      </c>
      <c r="B464" s="4">
        <v>0</v>
      </c>
      <c r="C464" s="4">
        <v>0</v>
      </c>
      <c r="D464" s="4">
        <v>1</v>
      </c>
      <c r="E464" s="4">
        <v>223</v>
      </c>
      <c r="F464" s="4">
        <f>ROUND(Source!AQ454,O464)</f>
        <v>0</v>
      </c>
      <c r="G464" s="4" t="s">
        <v>84</v>
      </c>
      <c r="H464" s="4" t="s">
        <v>85</v>
      </c>
      <c r="I464" s="4"/>
      <c r="J464" s="4"/>
      <c r="K464" s="4">
        <v>223</v>
      </c>
      <c r="L464" s="4">
        <v>9</v>
      </c>
      <c r="M464" s="4">
        <v>3</v>
      </c>
      <c r="N464" s="4" t="s">
        <v>3</v>
      </c>
      <c r="O464" s="4">
        <v>0</v>
      </c>
      <c r="P464" s="4"/>
      <c r="Q464" s="4"/>
      <c r="R464" s="4"/>
      <c r="S464" s="4"/>
      <c r="T464" s="4"/>
      <c r="U464" s="4"/>
      <c r="V464" s="4"/>
      <c r="W464" s="4">
        <v>0</v>
      </c>
      <c r="X464" s="4">
        <v>1</v>
      </c>
      <c r="Y464" s="4">
        <v>0</v>
      </c>
      <c r="Z464" s="4"/>
      <c r="AA464" s="4"/>
      <c r="AB464" s="4"/>
    </row>
    <row r="465" spans="1:28" x14ac:dyDescent="0.2">
      <c r="A465" s="4">
        <v>50</v>
      </c>
      <c r="B465" s="4">
        <v>0</v>
      </c>
      <c r="C465" s="4">
        <v>0</v>
      </c>
      <c r="D465" s="4">
        <v>1</v>
      </c>
      <c r="E465" s="4">
        <v>229</v>
      </c>
      <c r="F465" s="4">
        <f>ROUND(Source!AZ454,O465)</f>
        <v>0</v>
      </c>
      <c r="G465" s="4" t="s">
        <v>86</v>
      </c>
      <c r="H465" s="4" t="s">
        <v>87</v>
      </c>
      <c r="I465" s="4"/>
      <c r="J465" s="4"/>
      <c r="K465" s="4">
        <v>229</v>
      </c>
      <c r="L465" s="4">
        <v>10</v>
      </c>
      <c r="M465" s="4">
        <v>3</v>
      </c>
      <c r="N465" s="4" t="s">
        <v>3</v>
      </c>
      <c r="O465" s="4">
        <v>0</v>
      </c>
      <c r="P465" s="4"/>
      <c r="Q465" s="4"/>
      <c r="R465" s="4"/>
      <c r="S465" s="4"/>
      <c r="T465" s="4"/>
      <c r="U465" s="4"/>
      <c r="V465" s="4"/>
      <c r="W465" s="4">
        <v>0</v>
      </c>
      <c r="X465" s="4">
        <v>1</v>
      </c>
      <c r="Y465" s="4">
        <v>0</v>
      </c>
      <c r="Z465" s="4"/>
      <c r="AA465" s="4"/>
      <c r="AB465" s="4"/>
    </row>
    <row r="466" spans="1:28" x14ac:dyDescent="0.2">
      <c r="A466" s="4">
        <v>50</v>
      </c>
      <c r="B466" s="4">
        <v>0</v>
      </c>
      <c r="C466" s="4">
        <v>0</v>
      </c>
      <c r="D466" s="4">
        <v>1</v>
      </c>
      <c r="E466" s="4">
        <v>203</v>
      </c>
      <c r="F466" s="4">
        <f>ROUND(Source!Q454,O466)</f>
        <v>2680480</v>
      </c>
      <c r="G466" s="4" t="s">
        <v>88</v>
      </c>
      <c r="H466" s="4" t="s">
        <v>89</v>
      </c>
      <c r="I466" s="4"/>
      <c r="J466" s="4"/>
      <c r="K466" s="4">
        <v>203</v>
      </c>
      <c r="L466" s="4">
        <v>11</v>
      </c>
      <c r="M466" s="4">
        <v>3</v>
      </c>
      <c r="N466" s="4" t="s">
        <v>3</v>
      </c>
      <c r="O466" s="4">
        <v>0</v>
      </c>
      <c r="P466" s="4"/>
      <c r="Q466" s="4"/>
      <c r="R466" s="4"/>
      <c r="S466" s="4"/>
      <c r="T466" s="4"/>
      <c r="U466" s="4"/>
      <c r="V466" s="4"/>
      <c r="W466" s="4">
        <v>1150419</v>
      </c>
      <c r="X466" s="4">
        <v>1</v>
      </c>
      <c r="Y466" s="4">
        <v>1150419</v>
      </c>
      <c r="Z466" s="4"/>
      <c r="AA466" s="4"/>
      <c r="AB466" s="4"/>
    </row>
    <row r="467" spans="1:28" x14ac:dyDescent="0.2">
      <c r="A467" s="4">
        <v>50</v>
      </c>
      <c r="B467" s="4">
        <v>0</v>
      </c>
      <c r="C467" s="4">
        <v>0</v>
      </c>
      <c r="D467" s="4">
        <v>1</v>
      </c>
      <c r="E467" s="4">
        <v>231</v>
      </c>
      <c r="F467" s="4">
        <f>ROUND(Source!BB454,O467)</f>
        <v>0</v>
      </c>
      <c r="G467" s="4" t="s">
        <v>90</v>
      </c>
      <c r="H467" s="4" t="s">
        <v>91</v>
      </c>
      <c r="I467" s="4"/>
      <c r="J467" s="4"/>
      <c r="K467" s="4">
        <v>231</v>
      </c>
      <c r="L467" s="4">
        <v>12</v>
      </c>
      <c r="M467" s="4">
        <v>3</v>
      </c>
      <c r="N467" s="4" t="s">
        <v>3</v>
      </c>
      <c r="O467" s="4">
        <v>0</v>
      </c>
      <c r="P467" s="4"/>
      <c r="Q467" s="4"/>
      <c r="R467" s="4"/>
      <c r="S467" s="4"/>
      <c r="T467" s="4"/>
      <c r="U467" s="4"/>
      <c r="V467" s="4"/>
      <c r="W467" s="4">
        <v>0</v>
      </c>
      <c r="X467" s="4">
        <v>1</v>
      </c>
      <c r="Y467" s="4">
        <v>0</v>
      </c>
      <c r="Z467" s="4"/>
      <c r="AA467" s="4"/>
      <c r="AB467" s="4"/>
    </row>
    <row r="468" spans="1:28" x14ac:dyDescent="0.2">
      <c r="A468" s="4">
        <v>50</v>
      </c>
      <c r="B468" s="4">
        <v>0</v>
      </c>
      <c r="C468" s="4">
        <v>0</v>
      </c>
      <c r="D468" s="4">
        <v>1</v>
      </c>
      <c r="E468" s="4">
        <v>204</v>
      </c>
      <c r="F468" s="4">
        <f>ROUND(Source!R454,O468)</f>
        <v>293443</v>
      </c>
      <c r="G468" s="4" t="s">
        <v>92</v>
      </c>
      <c r="H468" s="4" t="s">
        <v>93</v>
      </c>
      <c r="I468" s="4"/>
      <c r="J468" s="4"/>
      <c r="K468" s="4">
        <v>204</v>
      </c>
      <c r="L468" s="4">
        <v>13</v>
      </c>
      <c r="M468" s="4">
        <v>3</v>
      </c>
      <c r="N468" s="4" t="s">
        <v>3</v>
      </c>
      <c r="O468" s="4">
        <v>0</v>
      </c>
      <c r="P468" s="4"/>
      <c r="Q468" s="4"/>
      <c r="R468" s="4"/>
      <c r="S468" s="4"/>
      <c r="T468" s="4"/>
      <c r="U468" s="4"/>
      <c r="V468" s="4"/>
      <c r="W468" s="4">
        <v>151216</v>
      </c>
      <c r="X468" s="4">
        <v>1</v>
      </c>
      <c r="Y468" s="4">
        <v>151216</v>
      </c>
      <c r="Z468" s="4"/>
      <c r="AA468" s="4"/>
      <c r="AB468" s="4"/>
    </row>
    <row r="469" spans="1:28" x14ac:dyDescent="0.2">
      <c r="A469" s="4">
        <v>50</v>
      </c>
      <c r="B469" s="4">
        <v>0</v>
      </c>
      <c r="C469" s="4">
        <v>0</v>
      </c>
      <c r="D469" s="4">
        <v>1</v>
      </c>
      <c r="E469" s="4">
        <v>205</v>
      </c>
      <c r="F469" s="4">
        <f>ROUND(Source!S454,O469)</f>
        <v>468224</v>
      </c>
      <c r="G469" s="4" t="s">
        <v>94</v>
      </c>
      <c r="H469" s="4" t="s">
        <v>95</v>
      </c>
      <c r="I469" s="4"/>
      <c r="J469" s="4"/>
      <c r="K469" s="4">
        <v>205</v>
      </c>
      <c r="L469" s="4">
        <v>14</v>
      </c>
      <c r="M469" s="4">
        <v>3</v>
      </c>
      <c r="N469" s="4" t="s">
        <v>3</v>
      </c>
      <c r="O469" s="4">
        <v>0</v>
      </c>
      <c r="P469" s="4"/>
      <c r="Q469" s="4"/>
      <c r="R469" s="4"/>
      <c r="S469" s="4"/>
      <c r="T469" s="4"/>
      <c r="U469" s="4"/>
      <c r="V469" s="4"/>
      <c r="W469" s="4">
        <v>445195</v>
      </c>
      <c r="X469" s="4">
        <v>1</v>
      </c>
      <c r="Y469" s="4">
        <v>445195</v>
      </c>
      <c r="Z469" s="4"/>
      <c r="AA469" s="4"/>
      <c r="AB469" s="4"/>
    </row>
    <row r="470" spans="1:28" x14ac:dyDescent="0.2">
      <c r="A470" s="4">
        <v>50</v>
      </c>
      <c r="B470" s="4">
        <v>0</v>
      </c>
      <c r="C470" s="4">
        <v>0</v>
      </c>
      <c r="D470" s="4">
        <v>1</v>
      </c>
      <c r="E470" s="4">
        <v>232</v>
      </c>
      <c r="F470" s="4">
        <f>ROUND(Source!BC454,O470)</f>
        <v>0</v>
      </c>
      <c r="G470" s="4" t="s">
        <v>96</v>
      </c>
      <c r="H470" s="4" t="s">
        <v>97</v>
      </c>
      <c r="I470" s="4"/>
      <c r="J470" s="4"/>
      <c r="K470" s="4">
        <v>232</v>
      </c>
      <c r="L470" s="4">
        <v>15</v>
      </c>
      <c r="M470" s="4">
        <v>3</v>
      </c>
      <c r="N470" s="4" t="s">
        <v>3</v>
      </c>
      <c r="O470" s="4">
        <v>0</v>
      </c>
      <c r="P470" s="4"/>
      <c r="Q470" s="4"/>
      <c r="R470" s="4"/>
      <c r="S470" s="4"/>
      <c r="T470" s="4"/>
      <c r="U470" s="4"/>
      <c r="V470" s="4"/>
      <c r="W470" s="4">
        <v>0</v>
      </c>
      <c r="X470" s="4">
        <v>1</v>
      </c>
      <c r="Y470" s="4">
        <v>0</v>
      </c>
      <c r="Z470" s="4"/>
      <c r="AA470" s="4"/>
      <c r="AB470" s="4"/>
    </row>
    <row r="471" spans="1:28" x14ac:dyDescent="0.2">
      <c r="A471" s="4">
        <v>50</v>
      </c>
      <c r="B471" s="4">
        <v>0</v>
      </c>
      <c r="C471" s="4">
        <v>0</v>
      </c>
      <c r="D471" s="4">
        <v>1</v>
      </c>
      <c r="E471" s="4">
        <v>214</v>
      </c>
      <c r="F471" s="4">
        <f>ROUND(Source!AS454,O471)</f>
        <v>5621464</v>
      </c>
      <c r="G471" s="4" t="s">
        <v>98</v>
      </c>
      <c r="H471" s="4" t="s">
        <v>99</v>
      </c>
      <c r="I471" s="4"/>
      <c r="J471" s="4"/>
      <c r="K471" s="4">
        <v>214</v>
      </c>
      <c r="L471" s="4">
        <v>16</v>
      </c>
      <c r="M471" s="4">
        <v>3</v>
      </c>
      <c r="N471" s="4" t="s">
        <v>3</v>
      </c>
      <c r="O471" s="4">
        <v>0</v>
      </c>
      <c r="P471" s="4"/>
      <c r="Q471" s="4"/>
      <c r="R471" s="4"/>
      <c r="S471" s="4"/>
      <c r="T471" s="4"/>
      <c r="U471" s="4"/>
      <c r="V471" s="4"/>
      <c r="W471" s="4">
        <v>3341571</v>
      </c>
      <c r="X471" s="4">
        <v>1</v>
      </c>
      <c r="Y471" s="4">
        <v>3341571</v>
      </c>
      <c r="Z471" s="4"/>
      <c r="AA471" s="4"/>
      <c r="AB471" s="4"/>
    </row>
    <row r="472" spans="1:28" x14ac:dyDescent="0.2">
      <c r="A472" s="4">
        <v>50</v>
      </c>
      <c r="B472" s="4">
        <v>0</v>
      </c>
      <c r="C472" s="4">
        <v>0</v>
      </c>
      <c r="D472" s="4">
        <v>1</v>
      </c>
      <c r="E472" s="4">
        <v>215</v>
      </c>
      <c r="F472" s="4">
        <f>ROUND(Source!AT454,O472)</f>
        <v>0</v>
      </c>
      <c r="G472" s="4" t="s">
        <v>100</v>
      </c>
      <c r="H472" s="4" t="s">
        <v>101</v>
      </c>
      <c r="I472" s="4"/>
      <c r="J472" s="4"/>
      <c r="K472" s="4">
        <v>215</v>
      </c>
      <c r="L472" s="4">
        <v>17</v>
      </c>
      <c r="M472" s="4">
        <v>3</v>
      </c>
      <c r="N472" s="4" t="s">
        <v>3</v>
      </c>
      <c r="O472" s="4">
        <v>0</v>
      </c>
      <c r="P472" s="4"/>
      <c r="Q472" s="4"/>
      <c r="R472" s="4"/>
      <c r="S472" s="4"/>
      <c r="T472" s="4"/>
      <c r="U472" s="4"/>
      <c r="V472" s="4"/>
      <c r="W472" s="4">
        <v>0</v>
      </c>
      <c r="X472" s="4">
        <v>1</v>
      </c>
      <c r="Y472" s="4">
        <v>0</v>
      </c>
      <c r="Z472" s="4"/>
      <c r="AA472" s="4"/>
      <c r="AB472" s="4"/>
    </row>
    <row r="473" spans="1:28" x14ac:dyDescent="0.2">
      <c r="A473" s="4">
        <v>50</v>
      </c>
      <c r="B473" s="4">
        <v>0</v>
      </c>
      <c r="C473" s="4">
        <v>0</v>
      </c>
      <c r="D473" s="4">
        <v>1</v>
      </c>
      <c r="E473" s="4">
        <v>217</v>
      </c>
      <c r="F473" s="4">
        <f>ROUND(Source!AU454,O473)</f>
        <v>4940869</v>
      </c>
      <c r="G473" s="4" t="s">
        <v>102</v>
      </c>
      <c r="H473" s="4" t="s">
        <v>103</v>
      </c>
      <c r="I473" s="4"/>
      <c r="J473" s="4"/>
      <c r="K473" s="4">
        <v>217</v>
      </c>
      <c r="L473" s="4">
        <v>18</v>
      </c>
      <c r="M473" s="4">
        <v>3</v>
      </c>
      <c r="N473" s="4" t="s">
        <v>3</v>
      </c>
      <c r="O473" s="4">
        <v>0</v>
      </c>
      <c r="P473" s="4"/>
      <c r="Q473" s="4"/>
      <c r="R473" s="4"/>
      <c r="S473" s="4"/>
      <c r="T473" s="4"/>
      <c r="U473" s="4"/>
      <c r="V473" s="4"/>
      <c r="W473" s="4">
        <v>2120390</v>
      </c>
      <c r="X473" s="4">
        <v>1</v>
      </c>
      <c r="Y473" s="4">
        <v>2120390</v>
      </c>
      <c r="Z473" s="4"/>
      <c r="AA473" s="4"/>
      <c r="AB473" s="4"/>
    </row>
    <row r="474" spans="1:28" x14ac:dyDescent="0.2">
      <c r="A474" s="4">
        <v>50</v>
      </c>
      <c r="B474" s="4">
        <v>0</v>
      </c>
      <c r="C474" s="4">
        <v>0</v>
      </c>
      <c r="D474" s="4">
        <v>1</v>
      </c>
      <c r="E474" s="4">
        <v>230</v>
      </c>
      <c r="F474" s="4">
        <f>ROUND(Source!BA454,O474)</f>
        <v>0</v>
      </c>
      <c r="G474" s="4" t="s">
        <v>104</v>
      </c>
      <c r="H474" s="4" t="s">
        <v>105</v>
      </c>
      <c r="I474" s="4"/>
      <c r="J474" s="4"/>
      <c r="K474" s="4">
        <v>230</v>
      </c>
      <c r="L474" s="4">
        <v>19</v>
      </c>
      <c r="M474" s="4">
        <v>3</v>
      </c>
      <c r="N474" s="4" t="s">
        <v>3</v>
      </c>
      <c r="O474" s="4">
        <v>0</v>
      </c>
      <c r="P474" s="4"/>
      <c r="Q474" s="4"/>
      <c r="R474" s="4"/>
      <c r="S474" s="4"/>
      <c r="T474" s="4"/>
      <c r="U474" s="4"/>
      <c r="V474" s="4"/>
      <c r="W474" s="4">
        <v>0</v>
      </c>
      <c r="X474" s="4">
        <v>1</v>
      </c>
      <c r="Y474" s="4">
        <v>0</v>
      </c>
      <c r="Z474" s="4"/>
      <c r="AA474" s="4"/>
      <c r="AB474" s="4"/>
    </row>
    <row r="475" spans="1:28" x14ac:dyDescent="0.2">
      <c r="A475" s="4">
        <v>50</v>
      </c>
      <c r="B475" s="4">
        <v>0</v>
      </c>
      <c r="C475" s="4">
        <v>0</v>
      </c>
      <c r="D475" s="4">
        <v>1</v>
      </c>
      <c r="E475" s="4">
        <v>206</v>
      </c>
      <c r="F475" s="4">
        <f>ROUND(Source!T454,O475)</f>
        <v>0</v>
      </c>
      <c r="G475" s="4" t="s">
        <v>106</v>
      </c>
      <c r="H475" s="4" t="s">
        <v>107</v>
      </c>
      <c r="I475" s="4"/>
      <c r="J475" s="4"/>
      <c r="K475" s="4">
        <v>206</v>
      </c>
      <c r="L475" s="4">
        <v>20</v>
      </c>
      <c r="M475" s="4">
        <v>3</v>
      </c>
      <c r="N475" s="4" t="s">
        <v>3</v>
      </c>
      <c r="O475" s="4">
        <v>0</v>
      </c>
      <c r="P475" s="4"/>
      <c r="Q475" s="4"/>
      <c r="R475" s="4"/>
      <c r="S475" s="4"/>
      <c r="T475" s="4"/>
      <c r="U475" s="4"/>
      <c r="V475" s="4"/>
      <c r="W475" s="4">
        <v>0</v>
      </c>
      <c r="X475" s="4">
        <v>1</v>
      </c>
      <c r="Y475" s="4">
        <v>0</v>
      </c>
      <c r="Z475" s="4"/>
      <c r="AA475" s="4"/>
      <c r="AB475" s="4"/>
    </row>
    <row r="476" spans="1:28" x14ac:dyDescent="0.2">
      <c r="A476" s="4">
        <v>50</v>
      </c>
      <c r="B476" s="4">
        <v>0</v>
      </c>
      <c r="C476" s="4">
        <v>0</v>
      </c>
      <c r="D476" s="4">
        <v>1</v>
      </c>
      <c r="E476" s="4">
        <v>207</v>
      </c>
      <c r="F476" s="4">
        <f>Source!U454</f>
        <v>1931.8591802000001</v>
      </c>
      <c r="G476" s="4" t="s">
        <v>108</v>
      </c>
      <c r="H476" s="4" t="s">
        <v>109</v>
      </c>
      <c r="I476" s="4"/>
      <c r="J476" s="4"/>
      <c r="K476" s="4">
        <v>207</v>
      </c>
      <c r="L476" s="4">
        <v>21</v>
      </c>
      <c r="M476" s="4">
        <v>3</v>
      </c>
      <c r="N476" s="4" t="s">
        <v>3</v>
      </c>
      <c r="O476" s="4">
        <v>-1</v>
      </c>
      <c r="P476" s="4"/>
      <c r="Q476" s="4"/>
      <c r="R476" s="4"/>
      <c r="S476" s="4"/>
      <c r="T476" s="4"/>
      <c r="U476" s="4"/>
      <c r="V476" s="4"/>
      <c r="W476" s="4">
        <v>1598.2701000500006</v>
      </c>
      <c r="X476" s="4">
        <v>1</v>
      </c>
      <c r="Y476" s="4">
        <v>1598.2701000500006</v>
      </c>
      <c r="Z476" s="4"/>
      <c r="AA476" s="4"/>
      <c r="AB476" s="4"/>
    </row>
    <row r="477" spans="1:28" x14ac:dyDescent="0.2">
      <c r="A477" s="4">
        <v>50</v>
      </c>
      <c r="B477" s="4">
        <v>0</v>
      </c>
      <c r="C477" s="4">
        <v>0</v>
      </c>
      <c r="D477" s="4">
        <v>1</v>
      </c>
      <c r="E477" s="4">
        <v>208</v>
      </c>
      <c r="F477" s="4">
        <f>Source!V454</f>
        <v>791.76232412499985</v>
      </c>
      <c r="G477" s="4" t="s">
        <v>110</v>
      </c>
      <c r="H477" s="4" t="s">
        <v>111</v>
      </c>
      <c r="I477" s="4"/>
      <c r="J477" s="4"/>
      <c r="K477" s="4">
        <v>208</v>
      </c>
      <c r="L477" s="4">
        <v>22</v>
      </c>
      <c r="M477" s="4">
        <v>3</v>
      </c>
      <c r="N477" s="4" t="s">
        <v>3</v>
      </c>
      <c r="O477" s="4">
        <v>-1</v>
      </c>
      <c r="P477" s="4"/>
      <c r="Q477" s="4"/>
      <c r="R477" s="4"/>
      <c r="S477" s="4"/>
      <c r="T477" s="4"/>
      <c r="U477" s="4"/>
      <c r="V477" s="4"/>
      <c r="W477" s="4">
        <v>368.65350762499997</v>
      </c>
      <c r="X477" s="4">
        <v>1</v>
      </c>
      <c r="Y477" s="4">
        <v>368.65350762499997</v>
      </c>
      <c r="Z477" s="4"/>
      <c r="AA477" s="4"/>
      <c r="AB477" s="4"/>
    </row>
    <row r="478" spans="1:28" x14ac:dyDescent="0.2">
      <c r="A478" s="4">
        <v>50</v>
      </c>
      <c r="B478" s="4">
        <v>0</v>
      </c>
      <c r="C478" s="4">
        <v>0</v>
      </c>
      <c r="D478" s="4">
        <v>1</v>
      </c>
      <c r="E478" s="4">
        <v>209</v>
      </c>
      <c r="F478" s="4">
        <f>ROUND(Source!W454,O478)</f>
        <v>0</v>
      </c>
      <c r="G478" s="4" t="s">
        <v>112</v>
      </c>
      <c r="H478" s="4" t="s">
        <v>113</v>
      </c>
      <c r="I478" s="4"/>
      <c r="J478" s="4"/>
      <c r="K478" s="4">
        <v>209</v>
      </c>
      <c r="L478" s="4">
        <v>23</v>
      </c>
      <c r="M478" s="4">
        <v>3</v>
      </c>
      <c r="N478" s="4" t="s">
        <v>3</v>
      </c>
      <c r="O478" s="4">
        <v>0</v>
      </c>
      <c r="P478" s="4"/>
      <c r="Q478" s="4"/>
      <c r="R478" s="4"/>
      <c r="S478" s="4"/>
      <c r="T478" s="4"/>
      <c r="U478" s="4"/>
      <c r="V478" s="4"/>
      <c r="W478" s="4">
        <v>0</v>
      </c>
      <c r="X478" s="4">
        <v>1</v>
      </c>
      <c r="Y478" s="4">
        <v>0</v>
      </c>
      <c r="Z478" s="4"/>
      <c r="AA478" s="4"/>
      <c r="AB478" s="4"/>
    </row>
    <row r="479" spans="1:28" x14ac:dyDescent="0.2">
      <c r="A479" s="4">
        <v>50</v>
      </c>
      <c r="B479" s="4">
        <v>0</v>
      </c>
      <c r="C479" s="4">
        <v>0</v>
      </c>
      <c r="D479" s="4">
        <v>1</v>
      </c>
      <c r="E479" s="4">
        <v>233</v>
      </c>
      <c r="F479" s="4">
        <f>ROUND(Source!BD454,O479)</f>
        <v>131614</v>
      </c>
      <c r="G479" s="4" t="s">
        <v>114</v>
      </c>
      <c r="H479" s="4" t="s">
        <v>115</v>
      </c>
      <c r="I479" s="4"/>
      <c r="J479" s="4"/>
      <c r="K479" s="4">
        <v>233</v>
      </c>
      <c r="L479" s="4">
        <v>24</v>
      </c>
      <c r="M479" s="4">
        <v>3</v>
      </c>
      <c r="N479" s="4" t="s">
        <v>3</v>
      </c>
      <c r="O479" s="4">
        <v>0</v>
      </c>
      <c r="P479" s="4"/>
      <c r="Q479" s="4"/>
      <c r="R479" s="4"/>
      <c r="S479" s="4"/>
      <c r="T479" s="4"/>
      <c r="U479" s="4"/>
      <c r="V479" s="4"/>
      <c r="W479" s="4">
        <v>135596</v>
      </c>
      <c r="X479" s="4">
        <v>1</v>
      </c>
      <c r="Y479" s="4">
        <v>135596</v>
      </c>
      <c r="Z479" s="4"/>
      <c r="AA479" s="4"/>
      <c r="AB479" s="4"/>
    </row>
    <row r="480" spans="1:28" x14ac:dyDescent="0.2">
      <c r="A480" s="4">
        <v>50</v>
      </c>
      <c r="B480" s="4">
        <v>0</v>
      </c>
      <c r="C480" s="4">
        <v>0</v>
      </c>
      <c r="D480" s="4">
        <v>1</v>
      </c>
      <c r="E480" s="4">
        <v>210</v>
      </c>
      <c r="F480" s="4">
        <f>ROUND(Source!X454,O480)</f>
        <v>966833</v>
      </c>
      <c r="G480" s="4" t="s">
        <v>116</v>
      </c>
      <c r="H480" s="4" t="s">
        <v>117</v>
      </c>
      <c r="I480" s="4"/>
      <c r="J480" s="4"/>
      <c r="K480" s="4">
        <v>210</v>
      </c>
      <c r="L480" s="4">
        <v>25</v>
      </c>
      <c r="M480" s="4">
        <v>3</v>
      </c>
      <c r="N480" s="4" t="s">
        <v>3</v>
      </c>
      <c r="O480" s="4">
        <v>0</v>
      </c>
      <c r="P480" s="4"/>
      <c r="Q480" s="4"/>
      <c r="R480" s="4"/>
      <c r="S480" s="4"/>
      <c r="T480" s="4"/>
      <c r="U480" s="4"/>
      <c r="V480" s="4"/>
      <c r="W480" s="4">
        <v>694941</v>
      </c>
      <c r="X480" s="4">
        <v>1</v>
      </c>
      <c r="Y480" s="4">
        <v>694941</v>
      </c>
      <c r="Z480" s="4"/>
      <c r="AA480" s="4"/>
      <c r="AB480" s="4"/>
    </row>
    <row r="481" spans="1:206" x14ac:dyDescent="0.2">
      <c r="A481" s="4">
        <v>50</v>
      </c>
      <c r="B481" s="4">
        <v>0</v>
      </c>
      <c r="C481" s="4">
        <v>0</v>
      </c>
      <c r="D481" s="4">
        <v>1</v>
      </c>
      <c r="E481" s="4">
        <v>211</v>
      </c>
      <c r="F481" s="4">
        <f>ROUND(Source!Y454,O481)</f>
        <v>630547</v>
      </c>
      <c r="G481" s="4" t="s">
        <v>118</v>
      </c>
      <c r="H481" s="4" t="s">
        <v>119</v>
      </c>
      <c r="I481" s="4"/>
      <c r="J481" s="4"/>
      <c r="K481" s="4">
        <v>211</v>
      </c>
      <c r="L481" s="4">
        <v>26</v>
      </c>
      <c r="M481" s="4">
        <v>3</v>
      </c>
      <c r="N481" s="4" t="s">
        <v>3</v>
      </c>
      <c r="O481" s="4">
        <v>0</v>
      </c>
      <c r="P481" s="4"/>
      <c r="Q481" s="4"/>
      <c r="R481" s="4"/>
      <c r="S481" s="4"/>
      <c r="T481" s="4"/>
      <c r="U481" s="4"/>
      <c r="V481" s="4"/>
      <c r="W481" s="4">
        <v>449567</v>
      </c>
      <c r="X481" s="4">
        <v>1</v>
      </c>
      <c r="Y481" s="4">
        <v>449567</v>
      </c>
      <c r="Z481" s="4"/>
      <c r="AA481" s="4"/>
      <c r="AB481" s="4"/>
    </row>
    <row r="482" spans="1:206" x14ac:dyDescent="0.2">
      <c r="A482" s="4">
        <v>50</v>
      </c>
      <c r="B482" s="4">
        <v>0</v>
      </c>
      <c r="C482" s="4">
        <v>0</v>
      </c>
      <c r="D482" s="4">
        <v>1</v>
      </c>
      <c r="E482" s="4">
        <v>224</v>
      </c>
      <c r="F482" s="4">
        <f>ROUND(Source!AR454,O482)</f>
        <v>10562333</v>
      </c>
      <c r="G482" s="4" t="s">
        <v>120</v>
      </c>
      <c r="H482" s="4" t="s">
        <v>121</v>
      </c>
      <c r="I482" s="4"/>
      <c r="J482" s="4"/>
      <c r="K482" s="4">
        <v>224</v>
      </c>
      <c r="L482" s="4">
        <v>27</v>
      </c>
      <c r="M482" s="4">
        <v>3</v>
      </c>
      <c r="N482" s="4" t="s">
        <v>3</v>
      </c>
      <c r="O482" s="4">
        <v>0</v>
      </c>
      <c r="P482" s="4"/>
      <c r="Q482" s="4"/>
      <c r="R482" s="4"/>
      <c r="S482" s="4"/>
      <c r="T482" s="4"/>
      <c r="U482" s="4"/>
      <c r="V482" s="4"/>
      <c r="W482" s="4">
        <v>5461961</v>
      </c>
      <c r="X482" s="4">
        <v>1</v>
      </c>
      <c r="Y482" s="4">
        <v>5461961</v>
      </c>
      <c r="Z482" s="4"/>
      <c r="AA482" s="4"/>
      <c r="AB482" s="4"/>
    </row>
    <row r="484" spans="1:206" x14ac:dyDescent="0.2">
      <c r="A484" s="2">
        <v>51</v>
      </c>
      <c r="B484" s="2">
        <f>B12</f>
        <v>545</v>
      </c>
      <c r="C484" s="2">
        <f>A12</f>
        <v>1</v>
      </c>
      <c r="D484" s="2">
        <f>ROW(A12)</f>
        <v>12</v>
      </c>
      <c r="E484" s="2"/>
      <c r="F484" s="2" t="str">
        <f>IF(F12&lt;&gt;"",F12,"")</f>
        <v>Новый объект_(Копия)</v>
      </c>
      <c r="G484" s="2" t="str">
        <f>IF(G12&lt;&gt;"",G12,"")</f>
        <v>Благоустройство бетонные проезды</v>
      </c>
      <c r="H484" s="2">
        <v>0</v>
      </c>
      <c r="I484" s="2"/>
      <c r="J484" s="2"/>
      <c r="K484" s="2"/>
      <c r="L484" s="2"/>
      <c r="M484" s="2"/>
      <c r="N484" s="2"/>
      <c r="O484" s="2">
        <f t="shared" ref="O484:T484" si="352">ROUND(O454,0)</f>
        <v>8964953</v>
      </c>
      <c r="P484" s="2">
        <f t="shared" si="352"/>
        <v>5816249</v>
      </c>
      <c r="Q484" s="2">
        <f t="shared" si="352"/>
        <v>2680480</v>
      </c>
      <c r="R484" s="2">
        <f t="shared" si="352"/>
        <v>293443</v>
      </c>
      <c r="S484" s="2">
        <f t="shared" si="352"/>
        <v>468224</v>
      </c>
      <c r="T484" s="2">
        <f t="shared" si="352"/>
        <v>0</v>
      </c>
      <c r="U484" s="2">
        <f>U454</f>
        <v>1931.8591802000001</v>
      </c>
      <c r="V484" s="2">
        <f>V454</f>
        <v>791.76232412499985</v>
      </c>
      <c r="W484" s="2">
        <f>ROUND(W454,0)</f>
        <v>0</v>
      </c>
      <c r="X484" s="2">
        <f>ROUND(X454,0)</f>
        <v>966833</v>
      </c>
      <c r="Y484" s="2">
        <f>ROUND(Y454,0)</f>
        <v>630547</v>
      </c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>
        <f t="shared" ref="AO484:BD484" si="353">ROUND(AO454,0)</f>
        <v>0</v>
      </c>
      <c r="AP484" s="2">
        <f t="shared" si="353"/>
        <v>0</v>
      </c>
      <c r="AQ484" s="2">
        <f t="shared" si="353"/>
        <v>0</v>
      </c>
      <c r="AR484" s="2">
        <f t="shared" si="353"/>
        <v>10562333</v>
      </c>
      <c r="AS484" s="2">
        <f t="shared" si="353"/>
        <v>5621464</v>
      </c>
      <c r="AT484" s="2">
        <f t="shared" si="353"/>
        <v>0</v>
      </c>
      <c r="AU484" s="2">
        <f t="shared" si="353"/>
        <v>4940869</v>
      </c>
      <c r="AV484" s="2">
        <f t="shared" si="353"/>
        <v>5816249</v>
      </c>
      <c r="AW484" s="2">
        <f t="shared" si="353"/>
        <v>5816249</v>
      </c>
      <c r="AX484" s="2">
        <f t="shared" si="353"/>
        <v>0</v>
      </c>
      <c r="AY484" s="2">
        <f t="shared" si="353"/>
        <v>5816249</v>
      </c>
      <c r="AZ484" s="2">
        <f t="shared" si="353"/>
        <v>0</v>
      </c>
      <c r="BA484" s="2">
        <f t="shared" si="353"/>
        <v>0</v>
      </c>
      <c r="BB484" s="2">
        <f t="shared" si="353"/>
        <v>0</v>
      </c>
      <c r="BC484" s="2">
        <f t="shared" si="353"/>
        <v>0</v>
      </c>
      <c r="BD484" s="2">
        <f t="shared" si="353"/>
        <v>131614</v>
      </c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>
        <v>0</v>
      </c>
    </row>
    <row r="486" spans="1:206" x14ac:dyDescent="0.2">
      <c r="A486" s="4">
        <v>50</v>
      </c>
      <c r="B486" s="4">
        <v>0</v>
      </c>
      <c r="C486" s="4">
        <v>0</v>
      </c>
      <c r="D486" s="4">
        <v>1</v>
      </c>
      <c r="E486" s="4">
        <v>201</v>
      </c>
      <c r="F486" s="4">
        <f>ROUND(Source!O484,O486)</f>
        <v>8964953</v>
      </c>
      <c r="G486" s="4" t="s">
        <v>68</v>
      </c>
      <c r="H486" s="4" t="s">
        <v>69</v>
      </c>
      <c r="I486" s="4"/>
      <c r="J486" s="4"/>
      <c r="K486" s="4">
        <v>201</v>
      </c>
      <c r="L486" s="4">
        <v>1</v>
      </c>
      <c r="M486" s="4">
        <v>3</v>
      </c>
      <c r="N486" s="4" t="s">
        <v>3</v>
      </c>
      <c r="O486" s="4">
        <v>0</v>
      </c>
      <c r="P486" s="4"/>
      <c r="Q486" s="4"/>
      <c r="R486" s="4"/>
      <c r="S486" s="4"/>
      <c r="T486" s="4"/>
      <c r="U486" s="4"/>
      <c r="V486" s="4"/>
      <c r="W486" s="4">
        <v>4317453</v>
      </c>
      <c r="X486" s="4">
        <v>1</v>
      </c>
      <c r="Y486" s="4">
        <v>4317453</v>
      </c>
      <c r="Z486" s="4"/>
      <c r="AA486" s="4"/>
      <c r="AB486" s="4"/>
    </row>
    <row r="487" spans="1:206" x14ac:dyDescent="0.2">
      <c r="A487" s="4">
        <v>50</v>
      </c>
      <c r="B487" s="4">
        <v>0</v>
      </c>
      <c r="C487" s="4">
        <v>0</v>
      </c>
      <c r="D487" s="4">
        <v>1</v>
      </c>
      <c r="E487" s="4">
        <v>202</v>
      </c>
      <c r="F487" s="4">
        <f>ROUND(Source!P484,O487)</f>
        <v>5816249</v>
      </c>
      <c r="G487" s="4" t="s">
        <v>70</v>
      </c>
      <c r="H487" s="4" t="s">
        <v>71</v>
      </c>
      <c r="I487" s="4"/>
      <c r="J487" s="4"/>
      <c r="K487" s="4">
        <v>202</v>
      </c>
      <c r="L487" s="4">
        <v>2</v>
      </c>
      <c r="M487" s="4">
        <v>3</v>
      </c>
      <c r="N487" s="4" t="s">
        <v>3</v>
      </c>
      <c r="O487" s="4">
        <v>0</v>
      </c>
      <c r="P487" s="4"/>
      <c r="Q487" s="4"/>
      <c r="R487" s="4"/>
      <c r="S487" s="4"/>
      <c r="T487" s="4"/>
      <c r="U487" s="4"/>
      <c r="V487" s="4"/>
      <c r="W487" s="4">
        <v>2721839</v>
      </c>
      <c r="X487" s="4">
        <v>1</v>
      </c>
      <c r="Y487" s="4">
        <v>2721839</v>
      </c>
      <c r="Z487" s="4"/>
      <c r="AA487" s="4"/>
      <c r="AB487" s="4"/>
    </row>
    <row r="488" spans="1:206" x14ac:dyDescent="0.2">
      <c r="A488" s="4">
        <v>50</v>
      </c>
      <c r="B488" s="4">
        <v>0</v>
      </c>
      <c r="C488" s="4">
        <v>0</v>
      </c>
      <c r="D488" s="4">
        <v>1</v>
      </c>
      <c r="E488" s="4">
        <v>222</v>
      </c>
      <c r="F488" s="4">
        <f>ROUND(Source!AO484,O488)</f>
        <v>0</v>
      </c>
      <c r="G488" s="4" t="s">
        <v>72</v>
      </c>
      <c r="H488" s="4" t="s">
        <v>73</v>
      </c>
      <c r="I488" s="4"/>
      <c r="J488" s="4"/>
      <c r="K488" s="4">
        <v>222</v>
      </c>
      <c r="L488" s="4">
        <v>3</v>
      </c>
      <c r="M488" s="4">
        <v>3</v>
      </c>
      <c r="N488" s="4" t="s">
        <v>3</v>
      </c>
      <c r="O488" s="4">
        <v>0</v>
      </c>
      <c r="P488" s="4"/>
      <c r="Q488" s="4"/>
      <c r="R488" s="4"/>
      <c r="S488" s="4"/>
      <c r="T488" s="4"/>
      <c r="U488" s="4"/>
      <c r="V488" s="4"/>
      <c r="W488" s="4">
        <v>0</v>
      </c>
      <c r="X488" s="4">
        <v>1</v>
      </c>
      <c r="Y488" s="4">
        <v>0</v>
      </c>
      <c r="Z488" s="4"/>
      <c r="AA488" s="4"/>
      <c r="AB488" s="4"/>
    </row>
    <row r="489" spans="1:206" x14ac:dyDescent="0.2">
      <c r="A489" s="4">
        <v>50</v>
      </c>
      <c r="B489" s="4">
        <v>0</v>
      </c>
      <c r="C489" s="4">
        <v>0</v>
      </c>
      <c r="D489" s="4">
        <v>1</v>
      </c>
      <c r="E489" s="4">
        <v>225</v>
      </c>
      <c r="F489" s="4">
        <f>ROUND(Source!AV484,O489)</f>
        <v>5816249</v>
      </c>
      <c r="G489" s="4" t="s">
        <v>74</v>
      </c>
      <c r="H489" s="4" t="s">
        <v>75</v>
      </c>
      <c r="I489" s="4"/>
      <c r="J489" s="4"/>
      <c r="K489" s="4">
        <v>225</v>
      </c>
      <c r="L489" s="4">
        <v>4</v>
      </c>
      <c r="M489" s="4">
        <v>3</v>
      </c>
      <c r="N489" s="4" t="s">
        <v>3</v>
      </c>
      <c r="O489" s="4">
        <v>0</v>
      </c>
      <c r="P489" s="4"/>
      <c r="Q489" s="4"/>
      <c r="R489" s="4"/>
      <c r="S489" s="4"/>
      <c r="T489" s="4"/>
      <c r="U489" s="4"/>
      <c r="V489" s="4"/>
      <c r="W489" s="4">
        <v>2721839</v>
      </c>
      <c r="X489" s="4">
        <v>1</v>
      </c>
      <c r="Y489" s="4">
        <v>2721839</v>
      </c>
      <c r="Z489" s="4"/>
      <c r="AA489" s="4"/>
      <c r="AB489" s="4"/>
    </row>
    <row r="490" spans="1:206" x14ac:dyDescent="0.2">
      <c r="A490" s="4">
        <v>50</v>
      </c>
      <c r="B490" s="4">
        <v>0</v>
      </c>
      <c r="C490" s="4">
        <v>0</v>
      </c>
      <c r="D490" s="4">
        <v>1</v>
      </c>
      <c r="E490" s="4">
        <v>226</v>
      </c>
      <c r="F490" s="4">
        <f>ROUND(Source!AW484,O490)</f>
        <v>5816249</v>
      </c>
      <c r="G490" s="4" t="s">
        <v>76</v>
      </c>
      <c r="H490" s="4" t="s">
        <v>77</v>
      </c>
      <c r="I490" s="4"/>
      <c r="J490" s="4"/>
      <c r="K490" s="4">
        <v>226</v>
      </c>
      <c r="L490" s="4">
        <v>5</v>
      </c>
      <c r="M490" s="4">
        <v>3</v>
      </c>
      <c r="N490" s="4" t="s">
        <v>3</v>
      </c>
      <c r="O490" s="4">
        <v>0</v>
      </c>
      <c r="P490" s="4"/>
      <c r="Q490" s="4"/>
      <c r="R490" s="4"/>
      <c r="S490" s="4"/>
      <c r="T490" s="4"/>
      <c r="U490" s="4"/>
      <c r="V490" s="4"/>
      <c r="W490" s="4">
        <v>2721839</v>
      </c>
      <c r="X490" s="4">
        <v>1</v>
      </c>
      <c r="Y490" s="4">
        <v>2721839</v>
      </c>
      <c r="Z490" s="4"/>
      <c r="AA490" s="4"/>
      <c r="AB490" s="4"/>
    </row>
    <row r="491" spans="1:206" x14ac:dyDescent="0.2">
      <c r="A491" s="4">
        <v>50</v>
      </c>
      <c r="B491" s="4">
        <v>0</v>
      </c>
      <c r="C491" s="4">
        <v>0</v>
      </c>
      <c r="D491" s="4">
        <v>1</v>
      </c>
      <c r="E491" s="4">
        <v>227</v>
      </c>
      <c r="F491" s="4">
        <f>ROUND(Source!AX484,O491)</f>
        <v>0</v>
      </c>
      <c r="G491" s="4" t="s">
        <v>78</v>
      </c>
      <c r="H491" s="4" t="s">
        <v>79</v>
      </c>
      <c r="I491" s="4"/>
      <c r="J491" s="4"/>
      <c r="K491" s="4">
        <v>227</v>
      </c>
      <c r="L491" s="4">
        <v>6</v>
      </c>
      <c r="M491" s="4">
        <v>3</v>
      </c>
      <c r="N491" s="4" t="s">
        <v>3</v>
      </c>
      <c r="O491" s="4">
        <v>0</v>
      </c>
      <c r="P491" s="4"/>
      <c r="Q491" s="4"/>
      <c r="R491" s="4"/>
      <c r="S491" s="4"/>
      <c r="T491" s="4"/>
      <c r="U491" s="4"/>
      <c r="V491" s="4"/>
      <c r="W491" s="4">
        <v>0</v>
      </c>
      <c r="X491" s="4">
        <v>1</v>
      </c>
      <c r="Y491" s="4">
        <v>0</v>
      </c>
      <c r="Z491" s="4"/>
      <c r="AA491" s="4"/>
      <c r="AB491" s="4"/>
    </row>
    <row r="492" spans="1:206" x14ac:dyDescent="0.2">
      <c r="A492" s="4">
        <v>50</v>
      </c>
      <c r="B492" s="4">
        <v>0</v>
      </c>
      <c r="C492" s="4">
        <v>0</v>
      </c>
      <c r="D492" s="4">
        <v>1</v>
      </c>
      <c r="E492" s="4">
        <v>228</v>
      </c>
      <c r="F492" s="4">
        <f>ROUND(Source!AY484,O492)</f>
        <v>5816249</v>
      </c>
      <c r="G492" s="4" t="s">
        <v>80</v>
      </c>
      <c r="H492" s="4" t="s">
        <v>81</v>
      </c>
      <c r="I492" s="4"/>
      <c r="J492" s="4"/>
      <c r="K492" s="4">
        <v>228</v>
      </c>
      <c r="L492" s="4">
        <v>7</v>
      </c>
      <c r="M492" s="4">
        <v>3</v>
      </c>
      <c r="N492" s="4" t="s">
        <v>3</v>
      </c>
      <c r="O492" s="4">
        <v>0</v>
      </c>
      <c r="P492" s="4"/>
      <c r="Q492" s="4"/>
      <c r="R492" s="4"/>
      <c r="S492" s="4"/>
      <c r="T492" s="4"/>
      <c r="U492" s="4"/>
      <c r="V492" s="4"/>
      <c r="W492" s="4">
        <v>2721839</v>
      </c>
      <c r="X492" s="4">
        <v>1</v>
      </c>
      <c r="Y492" s="4">
        <v>2721839</v>
      </c>
      <c r="Z492" s="4"/>
      <c r="AA492" s="4"/>
      <c r="AB492" s="4"/>
    </row>
    <row r="493" spans="1:206" x14ac:dyDescent="0.2">
      <c r="A493" s="4">
        <v>50</v>
      </c>
      <c r="B493" s="4">
        <v>0</v>
      </c>
      <c r="C493" s="4">
        <v>0</v>
      </c>
      <c r="D493" s="4">
        <v>1</v>
      </c>
      <c r="E493" s="4">
        <v>216</v>
      </c>
      <c r="F493" s="4">
        <f>ROUND(Source!AP484,O493)</f>
        <v>0</v>
      </c>
      <c r="G493" s="4" t="s">
        <v>82</v>
      </c>
      <c r="H493" s="4" t="s">
        <v>83</v>
      </c>
      <c r="I493" s="4"/>
      <c r="J493" s="4"/>
      <c r="K493" s="4">
        <v>216</v>
      </c>
      <c r="L493" s="4">
        <v>8</v>
      </c>
      <c r="M493" s="4">
        <v>3</v>
      </c>
      <c r="N493" s="4" t="s">
        <v>3</v>
      </c>
      <c r="O493" s="4">
        <v>0</v>
      </c>
      <c r="P493" s="4"/>
      <c r="Q493" s="4"/>
      <c r="R493" s="4"/>
      <c r="S493" s="4"/>
      <c r="T493" s="4"/>
      <c r="U493" s="4"/>
      <c r="V493" s="4"/>
      <c r="W493" s="4">
        <v>0</v>
      </c>
      <c r="X493" s="4">
        <v>1</v>
      </c>
      <c r="Y493" s="4">
        <v>0</v>
      </c>
      <c r="Z493" s="4"/>
      <c r="AA493" s="4"/>
      <c r="AB493" s="4"/>
    </row>
    <row r="494" spans="1:206" x14ac:dyDescent="0.2">
      <c r="A494" s="4">
        <v>50</v>
      </c>
      <c r="B494" s="4">
        <v>0</v>
      </c>
      <c r="C494" s="4">
        <v>0</v>
      </c>
      <c r="D494" s="4">
        <v>1</v>
      </c>
      <c r="E494" s="4">
        <v>223</v>
      </c>
      <c r="F494" s="4">
        <f>ROUND(Source!AQ484,O494)</f>
        <v>0</v>
      </c>
      <c r="G494" s="4" t="s">
        <v>84</v>
      </c>
      <c r="H494" s="4" t="s">
        <v>85</v>
      </c>
      <c r="I494" s="4"/>
      <c r="J494" s="4"/>
      <c r="K494" s="4">
        <v>223</v>
      </c>
      <c r="L494" s="4">
        <v>9</v>
      </c>
      <c r="M494" s="4">
        <v>3</v>
      </c>
      <c r="N494" s="4" t="s">
        <v>3</v>
      </c>
      <c r="O494" s="4">
        <v>0</v>
      </c>
      <c r="P494" s="4"/>
      <c r="Q494" s="4"/>
      <c r="R494" s="4"/>
      <c r="S494" s="4"/>
      <c r="T494" s="4"/>
      <c r="U494" s="4"/>
      <c r="V494" s="4"/>
      <c r="W494" s="4">
        <v>0</v>
      </c>
      <c r="X494" s="4">
        <v>1</v>
      </c>
      <c r="Y494" s="4">
        <v>0</v>
      </c>
      <c r="Z494" s="4"/>
      <c r="AA494" s="4"/>
      <c r="AB494" s="4"/>
    </row>
    <row r="495" spans="1:206" x14ac:dyDescent="0.2">
      <c r="A495" s="4">
        <v>50</v>
      </c>
      <c r="B495" s="4">
        <v>0</v>
      </c>
      <c r="C495" s="4">
        <v>0</v>
      </c>
      <c r="D495" s="4">
        <v>1</v>
      </c>
      <c r="E495" s="4">
        <v>229</v>
      </c>
      <c r="F495" s="4">
        <f>ROUND(Source!AZ484,O495)</f>
        <v>0</v>
      </c>
      <c r="G495" s="4" t="s">
        <v>86</v>
      </c>
      <c r="H495" s="4" t="s">
        <v>87</v>
      </c>
      <c r="I495" s="4"/>
      <c r="J495" s="4"/>
      <c r="K495" s="4">
        <v>229</v>
      </c>
      <c r="L495" s="4">
        <v>10</v>
      </c>
      <c r="M495" s="4">
        <v>3</v>
      </c>
      <c r="N495" s="4" t="s">
        <v>3</v>
      </c>
      <c r="O495" s="4">
        <v>0</v>
      </c>
      <c r="P495" s="4"/>
      <c r="Q495" s="4"/>
      <c r="R495" s="4"/>
      <c r="S495" s="4"/>
      <c r="T495" s="4"/>
      <c r="U495" s="4"/>
      <c r="V495" s="4"/>
      <c r="W495" s="4">
        <v>0</v>
      </c>
      <c r="X495" s="4">
        <v>1</v>
      </c>
      <c r="Y495" s="4">
        <v>0</v>
      </c>
      <c r="Z495" s="4"/>
      <c r="AA495" s="4"/>
      <c r="AB495" s="4"/>
    </row>
    <row r="496" spans="1:206" x14ac:dyDescent="0.2">
      <c r="A496" s="4">
        <v>50</v>
      </c>
      <c r="B496" s="4">
        <v>0</v>
      </c>
      <c r="C496" s="4">
        <v>0</v>
      </c>
      <c r="D496" s="4">
        <v>1</v>
      </c>
      <c r="E496" s="4">
        <v>203</v>
      </c>
      <c r="F496" s="4">
        <f>ROUND(Source!Q484,O496)</f>
        <v>2680480</v>
      </c>
      <c r="G496" s="4" t="s">
        <v>88</v>
      </c>
      <c r="H496" s="4" t="s">
        <v>89</v>
      </c>
      <c r="I496" s="4"/>
      <c r="J496" s="4"/>
      <c r="K496" s="4">
        <v>203</v>
      </c>
      <c r="L496" s="4">
        <v>11</v>
      </c>
      <c r="M496" s="4">
        <v>3</v>
      </c>
      <c r="N496" s="4" t="s">
        <v>3</v>
      </c>
      <c r="O496" s="4">
        <v>0</v>
      </c>
      <c r="P496" s="4"/>
      <c r="Q496" s="4"/>
      <c r="R496" s="4"/>
      <c r="S496" s="4"/>
      <c r="T496" s="4"/>
      <c r="U496" s="4"/>
      <c r="V496" s="4"/>
      <c r="W496" s="4">
        <v>1150419</v>
      </c>
      <c r="X496" s="4">
        <v>1</v>
      </c>
      <c r="Y496" s="4">
        <v>1150419</v>
      </c>
      <c r="Z496" s="4"/>
      <c r="AA496" s="4"/>
      <c r="AB496" s="4"/>
    </row>
    <row r="497" spans="1:28" x14ac:dyDescent="0.2">
      <c r="A497" s="4">
        <v>50</v>
      </c>
      <c r="B497" s="4">
        <v>0</v>
      </c>
      <c r="C497" s="4">
        <v>0</v>
      </c>
      <c r="D497" s="4">
        <v>1</v>
      </c>
      <c r="E497" s="4">
        <v>231</v>
      </c>
      <c r="F497" s="4">
        <f>ROUND(Source!BB484,O497)</f>
        <v>0</v>
      </c>
      <c r="G497" s="4" t="s">
        <v>90</v>
      </c>
      <c r="H497" s="4" t="s">
        <v>91</v>
      </c>
      <c r="I497" s="4"/>
      <c r="J497" s="4"/>
      <c r="K497" s="4">
        <v>231</v>
      </c>
      <c r="L497" s="4">
        <v>12</v>
      </c>
      <c r="M497" s="4">
        <v>3</v>
      </c>
      <c r="N497" s="4" t="s">
        <v>3</v>
      </c>
      <c r="O497" s="4">
        <v>0</v>
      </c>
      <c r="P497" s="4"/>
      <c r="Q497" s="4"/>
      <c r="R497" s="4"/>
      <c r="S497" s="4"/>
      <c r="T497" s="4"/>
      <c r="U497" s="4"/>
      <c r="V497" s="4"/>
      <c r="W497" s="4">
        <v>0</v>
      </c>
      <c r="X497" s="4">
        <v>1</v>
      </c>
      <c r="Y497" s="4">
        <v>0</v>
      </c>
      <c r="Z497" s="4"/>
      <c r="AA497" s="4"/>
      <c r="AB497" s="4"/>
    </row>
    <row r="498" spans="1:28" x14ac:dyDescent="0.2">
      <c r="A498" s="4">
        <v>50</v>
      </c>
      <c r="B498" s="4">
        <v>0</v>
      </c>
      <c r="C498" s="4">
        <v>0</v>
      </c>
      <c r="D498" s="4">
        <v>1</v>
      </c>
      <c r="E498" s="4">
        <v>204</v>
      </c>
      <c r="F498" s="4">
        <f>ROUND(Source!R484,O498)</f>
        <v>293443</v>
      </c>
      <c r="G498" s="4" t="s">
        <v>92</v>
      </c>
      <c r="H498" s="4" t="s">
        <v>93</v>
      </c>
      <c r="I498" s="4"/>
      <c r="J498" s="4"/>
      <c r="K498" s="4">
        <v>204</v>
      </c>
      <c r="L498" s="4">
        <v>13</v>
      </c>
      <c r="M498" s="4">
        <v>3</v>
      </c>
      <c r="N498" s="4" t="s">
        <v>3</v>
      </c>
      <c r="O498" s="4">
        <v>0</v>
      </c>
      <c r="P498" s="4"/>
      <c r="Q498" s="4"/>
      <c r="R498" s="4"/>
      <c r="S498" s="4"/>
      <c r="T498" s="4"/>
      <c r="U498" s="4"/>
      <c r="V498" s="4"/>
      <c r="W498" s="4">
        <v>151216</v>
      </c>
      <c r="X498" s="4">
        <v>1</v>
      </c>
      <c r="Y498" s="4">
        <v>151216</v>
      </c>
      <c r="Z498" s="4"/>
      <c r="AA498" s="4"/>
      <c r="AB498" s="4"/>
    </row>
    <row r="499" spans="1:28" x14ac:dyDescent="0.2">
      <c r="A499" s="4">
        <v>50</v>
      </c>
      <c r="B499" s="4">
        <v>0</v>
      </c>
      <c r="C499" s="4">
        <v>0</v>
      </c>
      <c r="D499" s="4">
        <v>1</v>
      </c>
      <c r="E499" s="4">
        <v>205</v>
      </c>
      <c r="F499" s="4">
        <f>ROUND(Source!S484,O499)</f>
        <v>468224</v>
      </c>
      <c r="G499" s="4" t="s">
        <v>94</v>
      </c>
      <c r="H499" s="4" t="s">
        <v>95</v>
      </c>
      <c r="I499" s="4"/>
      <c r="J499" s="4"/>
      <c r="K499" s="4">
        <v>205</v>
      </c>
      <c r="L499" s="4">
        <v>14</v>
      </c>
      <c r="M499" s="4">
        <v>3</v>
      </c>
      <c r="N499" s="4" t="s">
        <v>3</v>
      </c>
      <c r="O499" s="4">
        <v>0</v>
      </c>
      <c r="P499" s="4"/>
      <c r="Q499" s="4"/>
      <c r="R499" s="4"/>
      <c r="S499" s="4"/>
      <c r="T499" s="4"/>
      <c r="U499" s="4"/>
      <c r="V499" s="4"/>
      <c r="W499" s="4">
        <v>445195</v>
      </c>
      <c r="X499" s="4">
        <v>1</v>
      </c>
      <c r="Y499" s="4">
        <v>445195</v>
      </c>
      <c r="Z499" s="4"/>
      <c r="AA499" s="4"/>
      <c r="AB499" s="4"/>
    </row>
    <row r="500" spans="1:28" x14ac:dyDescent="0.2">
      <c r="A500" s="4">
        <v>50</v>
      </c>
      <c r="B500" s="4">
        <v>0</v>
      </c>
      <c r="C500" s="4">
        <v>0</v>
      </c>
      <c r="D500" s="4">
        <v>1</v>
      </c>
      <c r="E500" s="4">
        <v>232</v>
      </c>
      <c r="F500" s="4">
        <f>ROUND(Source!BC484,O500)</f>
        <v>0</v>
      </c>
      <c r="G500" s="4" t="s">
        <v>96</v>
      </c>
      <c r="H500" s="4" t="s">
        <v>97</v>
      </c>
      <c r="I500" s="4"/>
      <c r="J500" s="4"/>
      <c r="K500" s="4">
        <v>232</v>
      </c>
      <c r="L500" s="4">
        <v>15</v>
      </c>
      <c r="M500" s="4">
        <v>3</v>
      </c>
      <c r="N500" s="4" t="s">
        <v>3</v>
      </c>
      <c r="O500" s="4">
        <v>0</v>
      </c>
      <c r="P500" s="4"/>
      <c r="Q500" s="4"/>
      <c r="R500" s="4"/>
      <c r="S500" s="4"/>
      <c r="T500" s="4"/>
      <c r="U500" s="4"/>
      <c r="V500" s="4"/>
      <c r="W500" s="4">
        <v>0</v>
      </c>
      <c r="X500" s="4">
        <v>1</v>
      </c>
      <c r="Y500" s="4">
        <v>0</v>
      </c>
      <c r="Z500" s="4"/>
      <c r="AA500" s="4"/>
      <c r="AB500" s="4"/>
    </row>
    <row r="501" spans="1:28" x14ac:dyDescent="0.2">
      <c r="A501" s="4">
        <v>50</v>
      </c>
      <c r="B501" s="4">
        <v>0</v>
      </c>
      <c r="C501" s="4">
        <v>0</v>
      </c>
      <c r="D501" s="4">
        <v>1</v>
      </c>
      <c r="E501" s="4">
        <v>214</v>
      </c>
      <c r="F501" s="4">
        <f>ROUND(Source!AS484,O501)</f>
        <v>5621464</v>
      </c>
      <c r="G501" s="4" t="s">
        <v>98</v>
      </c>
      <c r="H501" s="4" t="s">
        <v>99</v>
      </c>
      <c r="I501" s="4"/>
      <c r="J501" s="4"/>
      <c r="K501" s="4">
        <v>214</v>
      </c>
      <c r="L501" s="4">
        <v>16</v>
      </c>
      <c r="M501" s="4">
        <v>3</v>
      </c>
      <c r="N501" s="4" t="s">
        <v>3</v>
      </c>
      <c r="O501" s="4">
        <v>0</v>
      </c>
      <c r="P501" s="4"/>
      <c r="Q501" s="4"/>
      <c r="R501" s="4"/>
      <c r="S501" s="4"/>
      <c r="T501" s="4"/>
      <c r="U501" s="4"/>
      <c r="V501" s="4"/>
      <c r="W501" s="4">
        <v>3341571</v>
      </c>
      <c r="X501" s="4">
        <v>1</v>
      </c>
      <c r="Y501" s="4">
        <v>3341571</v>
      </c>
      <c r="Z501" s="4"/>
      <c r="AA501" s="4"/>
      <c r="AB501" s="4"/>
    </row>
    <row r="502" spans="1:28" x14ac:dyDescent="0.2">
      <c r="A502" s="4">
        <v>50</v>
      </c>
      <c r="B502" s="4">
        <v>0</v>
      </c>
      <c r="C502" s="4">
        <v>0</v>
      </c>
      <c r="D502" s="4">
        <v>1</v>
      </c>
      <c r="E502" s="4">
        <v>215</v>
      </c>
      <c r="F502" s="4">
        <f>ROUND(Source!AT484,O502)</f>
        <v>0</v>
      </c>
      <c r="G502" s="4" t="s">
        <v>100</v>
      </c>
      <c r="H502" s="4" t="s">
        <v>101</v>
      </c>
      <c r="I502" s="4"/>
      <c r="J502" s="4"/>
      <c r="K502" s="4">
        <v>215</v>
      </c>
      <c r="L502" s="4">
        <v>17</v>
      </c>
      <c r="M502" s="4">
        <v>3</v>
      </c>
      <c r="N502" s="4" t="s">
        <v>3</v>
      </c>
      <c r="O502" s="4">
        <v>0</v>
      </c>
      <c r="P502" s="4"/>
      <c r="Q502" s="4"/>
      <c r="R502" s="4"/>
      <c r="S502" s="4"/>
      <c r="T502" s="4"/>
      <c r="U502" s="4"/>
      <c r="V502" s="4"/>
      <c r="W502" s="4">
        <v>0</v>
      </c>
      <c r="X502" s="4">
        <v>1</v>
      </c>
      <c r="Y502" s="4">
        <v>0</v>
      </c>
      <c r="Z502" s="4"/>
      <c r="AA502" s="4"/>
      <c r="AB502" s="4"/>
    </row>
    <row r="503" spans="1:28" x14ac:dyDescent="0.2">
      <c r="A503" s="4">
        <v>50</v>
      </c>
      <c r="B503" s="4">
        <v>0</v>
      </c>
      <c r="C503" s="4">
        <v>0</v>
      </c>
      <c r="D503" s="4">
        <v>1</v>
      </c>
      <c r="E503" s="4">
        <v>217</v>
      </c>
      <c r="F503" s="4">
        <f>ROUND(Source!AU484,O503)</f>
        <v>4940869</v>
      </c>
      <c r="G503" s="4" t="s">
        <v>102</v>
      </c>
      <c r="H503" s="4" t="s">
        <v>103</v>
      </c>
      <c r="I503" s="4"/>
      <c r="J503" s="4"/>
      <c r="K503" s="4">
        <v>217</v>
      </c>
      <c r="L503" s="4">
        <v>18</v>
      </c>
      <c r="M503" s="4">
        <v>3</v>
      </c>
      <c r="N503" s="4" t="s">
        <v>3</v>
      </c>
      <c r="O503" s="4">
        <v>0</v>
      </c>
      <c r="P503" s="4"/>
      <c r="Q503" s="4"/>
      <c r="R503" s="4"/>
      <c r="S503" s="4"/>
      <c r="T503" s="4"/>
      <c r="U503" s="4"/>
      <c r="V503" s="4"/>
      <c r="W503" s="4">
        <v>2120390</v>
      </c>
      <c r="X503" s="4">
        <v>1</v>
      </c>
      <c r="Y503" s="4">
        <v>2120390</v>
      </c>
      <c r="Z503" s="4"/>
      <c r="AA503" s="4"/>
      <c r="AB503" s="4"/>
    </row>
    <row r="504" spans="1:28" x14ac:dyDescent="0.2">
      <c r="A504" s="4">
        <v>50</v>
      </c>
      <c r="B504" s="4">
        <v>0</v>
      </c>
      <c r="C504" s="4">
        <v>0</v>
      </c>
      <c r="D504" s="4">
        <v>1</v>
      </c>
      <c r="E504" s="4">
        <v>230</v>
      </c>
      <c r="F504" s="4">
        <f>ROUND(Source!BA484,O504)</f>
        <v>0</v>
      </c>
      <c r="G504" s="4" t="s">
        <v>104</v>
      </c>
      <c r="H504" s="4" t="s">
        <v>105</v>
      </c>
      <c r="I504" s="4"/>
      <c r="J504" s="4"/>
      <c r="K504" s="4">
        <v>230</v>
      </c>
      <c r="L504" s="4">
        <v>19</v>
      </c>
      <c r="M504" s="4">
        <v>3</v>
      </c>
      <c r="N504" s="4" t="s">
        <v>3</v>
      </c>
      <c r="O504" s="4">
        <v>0</v>
      </c>
      <c r="P504" s="4"/>
      <c r="Q504" s="4"/>
      <c r="R504" s="4"/>
      <c r="S504" s="4"/>
      <c r="T504" s="4"/>
      <c r="U504" s="4"/>
      <c r="V504" s="4"/>
      <c r="W504" s="4">
        <v>0</v>
      </c>
      <c r="X504" s="4">
        <v>1</v>
      </c>
      <c r="Y504" s="4">
        <v>0</v>
      </c>
      <c r="Z504" s="4"/>
      <c r="AA504" s="4"/>
      <c r="AB504" s="4"/>
    </row>
    <row r="505" spans="1:28" x14ac:dyDescent="0.2">
      <c r="A505" s="4">
        <v>50</v>
      </c>
      <c r="B505" s="4">
        <v>0</v>
      </c>
      <c r="C505" s="4">
        <v>0</v>
      </c>
      <c r="D505" s="4">
        <v>1</v>
      </c>
      <c r="E505" s="4">
        <v>206</v>
      </c>
      <c r="F505" s="4">
        <f>ROUND(Source!T484,O505)</f>
        <v>0</v>
      </c>
      <c r="G505" s="4" t="s">
        <v>106</v>
      </c>
      <c r="H505" s="4" t="s">
        <v>107</v>
      </c>
      <c r="I505" s="4"/>
      <c r="J505" s="4"/>
      <c r="K505" s="4">
        <v>206</v>
      </c>
      <c r="L505" s="4">
        <v>20</v>
      </c>
      <c r="M505" s="4">
        <v>3</v>
      </c>
      <c r="N505" s="4" t="s">
        <v>3</v>
      </c>
      <c r="O505" s="4">
        <v>0</v>
      </c>
      <c r="P505" s="4"/>
      <c r="Q505" s="4"/>
      <c r="R505" s="4"/>
      <c r="S505" s="4"/>
      <c r="T505" s="4"/>
      <c r="U505" s="4"/>
      <c r="V505" s="4"/>
      <c r="W505" s="4">
        <v>0</v>
      </c>
      <c r="X505" s="4">
        <v>1</v>
      </c>
      <c r="Y505" s="4">
        <v>0</v>
      </c>
      <c r="Z505" s="4"/>
      <c r="AA505" s="4"/>
      <c r="AB505" s="4"/>
    </row>
    <row r="506" spans="1:28" x14ac:dyDescent="0.2">
      <c r="A506" s="4">
        <v>50</v>
      </c>
      <c r="B506" s="4">
        <v>0</v>
      </c>
      <c r="C506" s="4">
        <v>0</v>
      </c>
      <c r="D506" s="4">
        <v>1</v>
      </c>
      <c r="E506" s="4">
        <v>207</v>
      </c>
      <c r="F506" s="4">
        <f>Source!U484</f>
        <v>1931.8591802000001</v>
      </c>
      <c r="G506" s="4" t="s">
        <v>108</v>
      </c>
      <c r="H506" s="4" t="s">
        <v>109</v>
      </c>
      <c r="I506" s="4"/>
      <c r="J506" s="4"/>
      <c r="K506" s="4">
        <v>207</v>
      </c>
      <c r="L506" s="4">
        <v>21</v>
      </c>
      <c r="M506" s="4">
        <v>3</v>
      </c>
      <c r="N506" s="4" t="s">
        <v>3</v>
      </c>
      <c r="O506" s="4">
        <v>-1</v>
      </c>
      <c r="P506" s="4"/>
      <c r="Q506" s="4"/>
      <c r="R506" s="4"/>
      <c r="S506" s="4"/>
      <c r="T506" s="4"/>
      <c r="U506" s="4"/>
      <c r="V506" s="4"/>
      <c r="W506" s="4">
        <v>1598.2701000500006</v>
      </c>
      <c r="X506" s="4">
        <v>1</v>
      </c>
      <c r="Y506" s="4">
        <v>1598.2701000500006</v>
      </c>
      <c r="Z506" s="4"/>
      <c r="AA506" s="4"/>
      <c r="AB506" s="4"/>
    </row>
    <row r="507" spans="1:28" x14ac:dyDescent="0.2">
      <c r="A507" s="4">
        <v>50</v>
      </c>
      <c r="B507" s="4">
        <v>0</v>
      </c>
      <c r="C507" s="4">
        <v>0</v>
      </c>
      <c r="D507" s="4">
        <v>1</v>
      </c>
      <c r="E507" s="4">
        <v>208</v>
      </c>
      <c r="F507" s="4">
        <f>Source!V484</f>
        <v>791.76232412499985</v>
      </c>
      <c r="G507" s="4" t="s">
        <v>110</v>
      </c>
      <c r="H507" s="4" t="s">
        <v>111</v>
      </c>
      <c r="I507" s="4"/>
      <c r="J507" s="4"/>
      <c r="K507" s="4">
        <v>208</v>
      </c>
      <c r="L507" s="4">
        <v>22</v>
      </c>
      <c r="M507" s="4">
        <v>3</v>
      </c>
      <c r="N507" s="4" t="s">
        <v>3</v>
      </c>
      <c r="O507" s="4">
        <v>-1</v>
      </c>
      <c r="P507" s="4"/>
      <c r="Q507" s="4"/>
      <c r="R507" s="4"/>
      <c r="S507" s="4"/>
      <c r="T507" s="4"/>
      <c r="U507" s="4"/>
      <c r="V507" s="4"/>
      <c r="W507" s="4">
        <v>368.65350762499997</v>
      </c>
      <c r="X507" s="4">
        <v>1</v>
      </c>
      <c r="Y507" s="4">
        <v>368.65350762499997</v>
      </c>
      <c r="Z507" s="4"/>
      <c r="AA507" s="4"/>
      <c r="AB507" s="4"/>
    </row>
    <row r="508" spans="1:28" x14ac:dyDescent="0.2">
      <c r="A508" s="4">
        <v>50</v>
      </c>
      <c r="B508" s="4">
        <v>0</v>
      </c>
      <c r="C508" s="4">
        <v>0</v>
      </c>
      <c r="D508" s="4">
        <v>1</v>
      </c>
      <c r="E508" s="4">
        <v>209</v>
      </c>
      <c r="F508" s="4">
        <f>ROUND(Source!W484,O508)</f>
        <v>0</v>
      </c>
      <c r="G508" s="4" t="s">
        <v>112</v>
      </c>
      <c r="H508" s="4" t="s">
        <v>113</v>
      </c>
      <c r="I508" s="4"/>
      <c r="J508" s="4"/>
      <c r="K508" s="4">
        <v>209</v>
      </c>
      <c r="L508" s="4">
        <v>23</v>
      </c>
      <c r="M508" s="4">
        <v>3</v>
      </c>
      <c r="N508" s="4" t="s">
        <v>3</v>
      </c>
      <c r="O508" s="4">
        <v>0</v>
      </c>
      <c r="P508" s="4"/>
      <c r="Q508" s="4"/>
      <c r="R508" s="4"/>
      <c r="S508" s="4"/>
      <c r="T508" s="4"/>
      <c r="U508" s="4"/>
      <c r="V508" s="4"/>
      <c r="W508" s="4">
        <v>0</v>
      </c>
      <c r="X508" s="4">
        <v>1</v>
      </c>
      <c r="Y508" s="4">
        <v>0</v>
      </c>
      <c r="Z508" s="4"/>
      <c r="AA508" s="4"/>
      <c r="AB508" s="4"/>
    </row>
    <row r="509" spans="1:28" x14ac:dyDescent="0.2">
      <c r="A509" s="4">
        <v>50</v>
      </c>
      <c r="B509" s="4">
        <v>0</v>
      </c>
      <c r="C509" s="4">
        <v>0</v>
      </c>
      <c r="D509" s="4">
        <v>1</v>
      </c>
      <c r="E509" s="4">
        <v>233</v>
      </c>
      <c r="F509" s="4">
        <f>ROUND(Source!BD484,O509)</f>
        <v>131614</v>
      </c>
      <c r="G509" s="4" t="s">
        <v>114</v>
      </c>
      <c r="H509" s="4" t="s">
        <v>115</v>
      </c>
      <c r="I509" s="4"/>
      <c r="J509" s="4"/>
      <c r="K509" s="4">
        <v>233</v>
      </c>
      <c r="L509" s="4">
        <v>24</v>
      </c>
      <c r="M509" s="4">
        <v>3</v>
      </c>
      <c r="N509" s="4" t="s">
        <v>3</v>
      </c>
      <c r="O509" s="4">
        <v>0</v>
      </c>
      <c r="P509" s="4"/>
      <c r="Q509" s="4"/>
      <c r="R509" s="4"/>
      <c r="S509" s="4"/>
      <c r="T509" s="4"/>
      <c r="U509" s="4"/>
      <c r="V509" s="4"/>
      <c r="W509" s="4">
        <v>135596</v>
      </c>
      <c r="X509" s="4">
        <v>1</v>
      </c>
      <c r="Y509" s="4">
        <v>135596</v>
      </c>
      <c r="Z509" s="4"/>
      <c r="AA509" s="4"/>
      <c r="AB509" s="4"/>
    </row>
    <row r="510" spans="1:28" x14ac:dyDescent="0.2">
      <c r="A510" s="4">
        <v>50</v>
      </c>
      <c r="B510" s="4">
        <v>0</v>
      </c>
      <c r="C510" s="4">
        <v>0</v>
      </c>
      <c r="D510" s="4">
        <v>1</v>
      </c>
      <c r="E510" s="4">
        <v>210</v>
      </c>
      <c r="F510" s="4">
        <f>ROUND(Source!X484,O510)</f>
        <v>966833</v>
      </c>
      <c r="G510" s="4" t="s">
        <v>116</v>
      </c>
      <c r="H510" s="4" t="s">
        <v>117</v>
      </c>
      <c r="I510" s="4"/>
      <c r="J510" s="4"/>
      <c r="K510" s="4">
        <v>210</v>
      </c>
      <c r="L510" s="4">
        <v>25</v>
      </c>
      <c r="M510" s="4">
        <v>3</v>
      </c>
      <c r="N510" s="4" t="s">
        <v>3</v>
      </c>
      <c r="O510" s="4">
        <v>0</v>
      </c>
      <c r="P510" s="4"/>
      <c r="Q510" s="4"/>
      <c r="R510" s="4"/>
      <c r="S510" s="4"/>
      <c r="T510" s="4"/>
      <c r="U510" s="4"/>
      <c r="V510" s="4"/>
      <c r="W510" s="4">
        <v>694941</v>
      </c>
      <c r="X510" s="4">
        <v>1</v>
      </c>
      <c r="Y510" s="4">
        <v>694941</v>
      </c>
      <c r="Z510" s="4"/>
      <c r="AA510" s="4"/>
      <c r="AB510" s="4"/>
    </row>
    <row r="511" spans="1:28" x14ac:dyDescent="0.2">
      <c r="A511" s="4">
        <v>50</v>
      </c>
      <c r="B511" s="4">
        <v>0</v>
      </c>
      <c r="C511" s="4">
        <v>0</v>
      </c>
      <c r="D511" s="4">
        <v>1</v>
      </c>
      <c r="E511" s="4">
        <v>211</v>
      </c>
      <c r="F511" s="4">
        <f>ROUND(Source!Y484,O511)</f>
        <v>630547</v>
      </c>
      <c r="G511" s="4" t="s">
        <v>118</v>
      </c>
      <c r="H511" s="4" t="s">
        <v>119</v>
      </c>
      <c r="I511" s="4"/>
      <c r="J511" s="4"/>
      <c r="K511" s="4">
        <v>211</v>
      </c>
      <c r="L511" s="4">
        <v>26</v>
      </c>
      <c r="M511" s="4">
        <v>3</v>
      </c>
      <c r="N511" s="4" t="s">
        <v>3</v>
      </c>
      <c r="O511" s="4">
        <v>0</v>
      </c>
      <c r="P511" s="4"/>
      <c r="Q511" s="4"/>
      <c r="R511" s="4"/>
      <c r="S511" s="4"/>
      <c r="T511" s="4"/>
      <c r="U511" s="4"/>
      <c r="V511" s="4"/>
      <c r="W511" s="4">
        <v>449567</v>
      </c>
      <c r="X511" s="4">
        <v>1</v>
      </c>
      <c r="Y511" s="4">
        <v>449567</v>
      </c>
      <c r="Z511" s="4"/>
      <c r="AA511" s="4"/>
      <c r="AB511" s="4"/>
    </row>
    <row r="512" spans="1:28" x14ac:dyDescent="0.2">
      <c r="A512" s="4">
        <v>50</v>
      </c>
      <c r="B512" s="4">
        <v>0</v>
      </c>
      <c r="C512" s="4">
        <v>0</v>
      </c>
      <c r="D512" s="4">
        <v>1</v>
      </c>
      <c r="E512" s="4">
        <v>224</v>
      </c>
      <c r="F512" s="4">
        <f>ROUND(Source!AR484,O512)</f>
        <v>10562333</v>
      </c>
      <c r="G512" s="4" t="s">
        <v>120</v>
      </c>
      <c r="H512" s="4" t="s">
        <v>121</v>
      </c>
      <c r="I512" s="4"/>
      <c r="J512" s="4"/>
      <c r="K512" s="4">
        <v>224</v>
      </c>
      <c r="L512" s="4">
        <v>27</v>
      </c>
      <c r="M512" s="4">
        <v>3</v>
      </c>
      <c r="N512" s="4" t="s">
        <v>3</v>
      </c>
      <c r="O512" s="4">
        <v>0</v>
      </c>
      <c r="P512" s="4"/>
      <c r="Q512" s="4"/>
      <c r="R512" s="4"/>
      <c r="S512" s="4"/>
      <c r="T512" s="4"/>
      <c r="U512" s="4"/>
      <c r="V512" s="4"/>
      <c r="W512" s="4">
        <v>5461961</v>
      </c>
      <c r="X512" s="4">
        <v>1</v>
      </c>
      <c r="Y512" s="4">
        <v>5461961</v>
      </c>
      <c r="Z512" s="4"/>
      <c r="AA512" s="4"/>
      <c r="AB512" s="4"/>
    </row>
    <row r="513" spans="1:28" x14ac:dyDescent="0.2">
      <c r="A513" s="4">
        <v>50</v>
      </c>
      <c r="B513" s="4">
        <v>1</v>
      </c>
      <c r="C513" s="4">
        <v>0</v>
      </c>
      <c r="D513" s="4">
        <v>2</v>
      </c>
      <c r="E513" s="4">
        <v>0</v>
      </c>
      <c r="F513" s="4">
        <f>ROUND(F512*0.2,O513)</f>
        <v>2112467</v>
      </c>
      <c r="G513" s="4" t="s">
        <v>306</v>
      </c>
      <c r="H513" s="4" t="s">
        <v>307</v>
      </c>
      <c r="I513" s="4"/>
      <c r="J513" s="4"/>
      <c r="K513" s="4">
        <v>212</v>
      </c>
      <c r="L513" s="4">
        <v>28</v>
      </c>
      <c r="M513" s="4">
        <v>0</v>
      </c>
      <c r="N513" s="4" t="s">
        <v>3</v>
      </c>
      <c r="O513" s="4">
        <v>0</v>
      </c>
      <c r="P513" s="4"/>
      <c r="Q513" s="4"/>
      <c r="R513" s="4"/>
      <c r="S513" s="4"/>
      <c r="T513" s="4"/>
      <c r="U513" s="4"/>
      <c r="V513" s="4"/>
      <c r="W513" s="4">
        <v>1092392</v>
      </c>
      <c r="X513" s="4">
        <v>1</v>
      </c>
      <c r="Y513" s="4">
        <v>1092392</v>
      </c>
      <c r="Z513" s="4"/>
      <c r="AA513" s="4"/>
      <c r="AB513" s="4"/>
    </row>
    <row r="514" spans="1:28" x14ac:dyDescent="0.2">
      <c r="A514" s="4">
        <v>50</v>
      </c>
      <c r="B514" s="4">
        <v>1</v>
      </c>
      <c r="C514" s="4">
        <v>0</v>
      </c>
      <c r="D514" s="4">
        <v>2</v>
      </c>
      <c r="E514" s="4">
        <v>0</v>
      </c>
      <c r="F514" s="4">
        <f>ROUND(F512+F513,O514)</f>
        <v>12674800</v>
      </c>
      <c r="G514" s="4" t="s">
        <v>308</v>
      </c>
      <c r="H514" s="4" t="s">
        <v>309</v>
      </c>
      <c r="I514" s="4"/>
      <c r="J514" s="4"/>
      <c r="K514" s="4">
        <v>212</v>
      </c>
      <c r="L514" s="4">
        <v>29</v>
      </c>
      <c r="M514" s="4">
        <v>0</v>
      </c>
      <c r="N514" s="4" t="s">
        <v>3</v>
      </c>
      <c r="O514" s="4">
        <v>0</v>
      </c>
      <c r="P514" s="4"/>
      <c r="Q514" s="4"/>
      <c r="R514" s="4"/>
      <c r="S514" s="4"/>
      <c r="T514" s="4"/>
      <c r="U514" s="4"/>
      <c r="V514" s="4"/>
      <c r="W514" s="4">
        <v>6554353</v>
      </c>
      <c r="X514" s="4">
        <v>1</v>
      </c>
      <c r="Y514" s="4">
        <v>6554353</v>
      </c>
      <c r="Z514" s="4"/>
      <c r="AA514" s="4"/>
      <c r="AB514" s="4"/>
    </row>
    <row r="517" spans="1:28" x14ac:dyDescent="0.2">
      <c r="A517">
        <v>70</v>
      </c>
      <c r="B517">
        <v>1</v>
      </c>
      <c r="D517">
        <v>1</v>
      </c>
      <c r="E517" t="s">
        <v>310</v>
      </c>
      <c r="F517" t="s">
        <v>311</v>
      </c>
      <c r="G517">
        <v>1</v>
      </c>
      <c r="H517">
        <v>0</v>
      </c>
      <c r="I517" t="s">
        <v>3</v>
      </c>
      <c r="J517">
        <v>1</v>
      </c>
      <c r="K517">
        <v>0</v>
      </c>
      <c r="L517" t="s">
        <v>3</v>
      </c>
      <c r="M517" t="s">
        <v>3</v>
      </c>
      <c r="N517">
        <v>0</v>
      </c>
      <c r="P517" t="s">
        <v>312</v>
      </c>
    </row>
    <row r="518" spans="1:28" x14ac:dyDescent="0.2">
      <c r="A518">
        <v>70</v>
      </c>
      <c r="B518">
        <v>1</v>
      </c>
      <c r="D518">
        <v>2</v>
      </c>
      <c r="E518" t="s">
        <v>313</v>
      </c>
      <c r="F518" t="s">
        <v>314</v>
      </c>
      <c r="G518">
        <v>0</v>
      </c>
      <c r="H518">
        <v>0</v>
      </c>
      <c r="I518" t="s">
        <v>3</v>
      </c>
      <c r="J518">
        <v>1</v>
      </c>
      <c r="K518">
        <v>0</v>
      </c>
      <c r="L518" t="s">
        <v>3</v>
      </c>
      <c r="M518" t="s">
        <v>3</v>
      </c>
      <c r="N518">
        <v>0</v>
      </c>
      <c r="P518" t="s">
        <v>315</v>
      </c>
    </row>
    <row r="519" spans="1:28" x14ac:dyDescent="0.2">
      <c r="A519">
        <v>70</v>
      </c>
      <c r="B519">
        <v>1</v>
      </c>
      <c r="D519">
        <v>3</v>
      </c>
      <c r="E519" t="s">
        <v>316</v>
      </c>
      <c r="F519" t="s">
        <v>317</v>
      </c>
      <c r="G519">
        <v>0</v>
      </c>
      <c r="H519">
        <v>0</v>
      </c>
      <c r="I519" t="s">
        <v>3</v>
      </c>
      <c r="J519">
        <v>1</v>
      </c>
      <c r="K519">
        <v>0</v>
      </c>
      <c r="L519" t="s">
        <v>3</v>
      </c>
      <c r="M519" t="s">
        <v>3</v>
      </c>
      <c r="N519">
        <v>0</v>
      </c>
      <c r="P519" t="s">
        <v>318</v>
      </c>
    </row>
    <row r="520" spans="1:28" x14ac:dyDescent="0.2">
      <c r="A520">
        <v>70</v>
      </c>
      <c r="B520">
        <v>1</v>
      </c>
      <c r="D520">
        <v>4</v>
      </c>
      <c r="E520" t="s">
        <v>319</v>
      </c>
      <c r="F520" t="s">
        <v>320</v>
      </c>
      <c r="G520">
        <v>0</v>
      </c>
      <c r="H520">
        <v>0</v>
      </c>
      <c r="I520" t="s">
        <v>321</v>
      </c>
      <c r="J520">
        <v>0</v>
      </c>
      <c r="K520">
        <v>0</v>
      </c>
      <c r="L520" t="s">
        <v>3</v>
      </c>
      <c r="M520" t="s">
        <v>3</v>
      </c>
      <c r="N520">
        <v>0</v>
      </c>
      <c r="P520" t="s">
        <v>322</v>
      </c>
    </row>
    <row r="521" spans="1:28" x14ac:dyDescent="0.2">
      <c r="A521">
        <v>70</v>
      </c>
      <c r="B521">
        <v>1</v>
      </c>
      <c r="D521">
        <v>5</v>
      </c>
      <c r="E521" t="s">
        <v>323</v>
      </c>
      <c r="F521" t="s">
        <v>324</v>
      </c>
      <c r="G521">
        <v>0</v>
      </c>
      <c r="H521">
        <v>0</v>
      </c>
      <c r="I521" t="s">
        <v>325</v>
      </c>
      <c r="J521">
        <v>0</v>
      </c>
      <c r="K521">
        <v>0</v>
      </c>
      <c r="L521" t="s">
        <v>3</v>
      </c>
      <c r="M521" t="s">
        <v>3</v>
      </c>
      <c r="N521">
        <v>0</v>
      </c>
      <c r="P521" t="s">
        <v>326</v>
      </c>
    </row>
    <row r="522" spans="1:28" x14ac:dyDescent="0.2">
      <c r="A522">
        <v>70</v>
      </c>
      <c r="B522">
        <v>1</v>
      </c>
      <c r="D522">
        <v>6</v>
      </c>
      <c r="E522" t="s">
        <v>327</v>
      </c>
      <c r="F522" t="s">
        <v>328</v>
      </c>
      <c r="G522">
        <v>0</v>
      </c>
      <c r="H522">
        <v>0</v>
      </c>
      <c r="I522" t="s">
        <v>329</v>
      </c>
      <c r="J522">
        <v>0</v>
      </c>
      <c r="K522">
        <v>0</v>
      </c>
      <c r="L522" t="s">
        <v>3</v>
      </c>
      <c r="M522" t="s">
        <v>3</v>
      </c>
      <c r="N522">
        <v>0</v>
      </c>
      <c r="P522" t="s">
        <v>330</v>
      </c>
    </row>
    <row r="523" spans="1:28" x14ac:dyDescent="0.2">
      <c r="A523">
        <v>70</v>
      </c>
      <c r="B523">
        <v>1</v>
      </c>
      <c r="D523">
        <v>7</v>
      </c>
      <c r="E523" t="s">
        <v>331</v>
      </c>
      <c r="F523" t="s">
        <v>332</v>
      </c>
      <c r="G523">
        <v>1</v>
      </c>
      <c r="H523">
        <v>0</v>
      </c>
      <c r="I523" t="s">
        <v>3</v>
      </c>
      <c r="J523">
        <v>0</v>
      </c>
      <c r="K523">
        <v>0</v>
      </c>
      <c r="L523" t="s">
        <v>3</v>
      </c>
      <c r="M523" t="s">
        <v>3</v>
      </c>
      <c r="N523">
        <v>0</v>
      </c>
      <c r="P523" t="s">
        <v>333</v>
      </c>
    </row>
    <row r="524" spans="1:28" x14ac:dyDescent="0.2">
      <c r="A524">
        <v>70</v>
      </c>
      <c r="B524">
        <v>1</v>
      </c>
      <c r="D524">
        <v>8</v>
      </c>
      <c r="E524" t="s">
        <v>334</v>
      </c>
      <c r="F524" t="s">
        <v>335</v>
      </c>
      <c r="G524">
        <v>0</v>
      </c>
      <c r="H524">
        <v>0</v>
      </c>
      <c r="I524" t="s">
        <v>336</v>
      </c>
      <c r="J524">
        <v>0</v>
      </c>
      <c r="K524">
        <v>0</v>
      </c>
      <c r="L524" t="s">
        <v>3</v>
      </c>
      <c r="M524" t="s">
        <v>3</v>
      </c>
      <c r="N524">
        <v>0</v>
      </c>
      <c r="P524" t="s">
        <v>337</v>
      </c>
    </row>
    <row r="525" spans="1:28" x14ac:dyDescent="0.2">
      <c r="A525">
        <v>70</v>
      </c>
      <c r="B525">
        <v>1</v>
      </c>
      <c r="D525">
        <v>9</v>
      </c>
      <c r="E525" t="s">
        <v>338</v>
      </c>
      <c r="F525" t="s">
        <v>339</v>
      </c>
      <c r="G525">
        <v>0</v>
      </c>
      <c r="H525">
        <v>0</v>
      </c>
      <c r="I525" t="s">
        <v>340</v>
      </c>
      <c r="J525">
        <v>0</v>
      </c>
      <c r="K525">
        <v>0</v>
      </c>
      <c r="L525" t="s">
        <v>3</v>
      </c>
      <c r="M525" t="s">
        <v>3</v>
      </c>
      <c r="N525">
        <v>0</v>
      </c>
      <c r="P525" t="s">
        <v>341</v>
      </c>
    </row>
    <row r="526" spans="1:28" x14ac:dyDescent="0.2">
      <c r="A526">
        <v>70</v>
      </c>
      <c r="B526">
        <v>1</v>
      </c>
      <c r="D526">
        <v>10</v>
      </c>
      <c r="E526" t="s">
        <v>342</v>
      </c>
      <c r="F526" t="s">
        <v>343</v>
      </c>
      <c r="G526">
        <v>0</v>
      </c>
      <c r="H526">
        <v>0</v>
      </c>
      <c r="I526" t="s">
        <v>344</v>
      </c>
      <c r="J526">
        <v>0</v>
      </c>
      <c r="K526">
        <v>0</v>
      </c>
      <c r="L526" t="s">
        <v>3</v>
      </c>
      <c r="M526" t="s">
        <v>3</v>
      </c>
      <c r="N526">
        <v>0</v>
      </c>
      <c r="P526" t="s">
        <v>345</v>
      </c>
    </row>
    <row r="527" spans="1:28" x14ac:dyDescent="0.2">
      <c r="A527">
        <v>70</v>
      </c>
      <c r="B527">
        <v>1</v>
      </c>
      <c r="D527">
        <v>11</v>
      </c>
      <c r="E527" t="s">
        <v>346</v>
      </c>
      <c r="F527" t="s">
        <v>347</v>
      </c>
      <c r="G527">
        <v>0</v>
      </c>
      <c r="H527">
        <v>0</v>
      </c>
      <c r="I527" t="s">
        <v>348</v>
      </c>
      <c r="J527">
        <v>0</v>
      </c>
      <c r="K527">
        <v>0</v>
      </c>
      <c r="L527" t="s">
        <v>3</v>
      </c>
      <c r="M527" t="s">
        <v>3</v>
      </c>
      <c r="N527">
        <v>0</v>
      </c>
      <c r="P527" t="s">
        <v>349</v>
      </c>
    </row>
    <row r="528" spans="1:28" x14ac:dyDescent="0.2">
      <c r="A528">
        <v>70</v>
      </c>
      <c r="B528">
        <v>1</v>
      </c>
      <c r="D528">
        <v>12</v>
      </c>
      <c r="E528" t="s">
        <v>350</v>
      </c>
      <c r="F528" t="s">
        <v>351</v>
      </c>
      <c r="G528">
        <v>0</v>
      </c>
      <c r="H528">
        <v>0</v>
      </c>
      <c r="I528" t="s">
        <v>3</v>
      </c>
      <c r="J528">
        <v>0</v>
      </c>
      <c r="K528">
        <v>0</v>
      </c>
      <c r="L528" t="s">
        <v>3</v>
      </c>
      <c r="M528" t="s">
        <v>3</v>
      </c>
      <c r="N528">
        <v>0</v>
      </c>
      <c r="P528" t="s">
        <v>3</v>
      </c>
    </row>
    <row r="529" spans="1:16" x14ac:dyDescent="0.2">
      <c r="A529">
        <v>70</v>
      </c>
      <c r="B529">
        <v>1</v>
      </c>
      <c r="D529">
        <v>1</v>
      </c>
      <c r="E529" t="s">
        <v>352</v>
      </c>
      <c r="F529" t="s">
        <v>353</v>
      </c>
      <c r="G529">
        <v>0.9</v>
      </c>
      <c r="H529">
        <v>1</v>
      </c>
      <c r="I529" t="s">
        <v>354</v>
      </c>
      <c r="J529">
        <v>0</v>
      </c>
      <c r="K529">
        <v>0</v>
      </c>
      <c r="L529" t="s">
        <v>3</v>
      </c>
      <c r="M529" t="s">
        <v>3</v>
      </c>
      <c r="N529">
        <v>0</v>
      </c>
      <c r="P529" t="s">
        <v>3</v>
      </c>
    </row>
    <row r="530" spans="1:16" x14ac:dyDescent="0.2">
      <c r="A530">
        <v>70</v>
      </c>
      <c r="B530">
        <v>1</v>
      </c>
      <c r="D530">
        <v>2</v>
      </c>
      <c r="E530" t="s">
        <v>355</v>
      </c>
      <c r="F530" t="s">
        <v>356</v>
      </c>
      <c r="G530">
        <v>0.85</v>
      </c>
      <c r="H530">
        <v>1</v>
      </c>
      <c r="I530" t="s">
        <v>357</v>
      </c>
      <c r="J530">
        <v>0</v>
      </c>
      <c r="K530">
        <v>0</v>
      </c>
      <c r="L530" t="s">
        <v>3</v>
      </c>
      <c r="M530" t="s">
        <v>3</v>
      </c>
      <c r="N530">
        <v>0</v>
      </c>
      <c r="P530" t="s">
        <v>3</v>
      </c>
    </row>
    <row r="531" spans="1:16" x14ac:dyDescent="0.2">
      <c r="A531">
        <v>70</v>
      </c>
      <c r="B531">
        <v>1</v>
      </c>
      <c r="D531">
        <v>3</v>
      </c>
      <c r="E531" t="s">
        <v>358</v>
      </c>
      <c r="F531" t="s">
        <v>359</v>
      </c>
      <c r="G531">
        <v>1</v>
      </c>
      <c r="H531">
        <v>0.85</v>
      </c>
      <c r="I531" t="s">
        <v>360</v>
      </c>
      <c r="J531">
        <v>0</v>
      </c>
      <c r="K531">
        <v>0</v>
      </c>
      <c r="L531" t="s">
        <v>3</v>
      </c>
      <c r="M531" t="s">
        <v>3</v>
      </c>
      <c r="N531">
        <v>0</v>
      </c>
      <c r="P531" t="s">
        <v>3</v>
      </c>
    </row>
    <row r="532" spans="1:16" x14ac:dyDescent="0.2">
      <c r="A532">
        <v>70</v>
      </c>
      <c r="B532">
        <v>1</v>
      </c>
      <c r="D532">
        <v>4</v>
      </c>
      <c r="E532" t="s">
        <v>361</v>
      </c>
      <c r="F532" t="s">
        <v>362</v>
      </c>
      <c r="G532">
        <v>1</v>
      </c>
      <c r="H532">
        <v>0</v>
      </c>
      <c r="I532" t="s">
        <v>3</v>
      </c>
      <c r="J532">
        <v>0</v>
      </c>
      <c r="K532">
        <v>0</v>
      </c>
      <c r="L532" t="s">
        <v>3</v>
      </c>
      <c r="M532" t="s">
        <v>3</v>
      </c>
      <c r="N532">
        <v>0</v>
      </c>
      <c r="P532" t="s">
        <v>3</v>
      </c>
    </row>
    <row r="533" spans="1:16" x14ac:dyDescent="0.2">
      <c r="A533">
        <v>70</v>
      </c>
      <c r="B533">
        <v>1</v>
      </c>
      <c r="D533">
        <v>5</v>
      </c>
      <c r="E533" t="s">
        <v>363</v>
      </c>
      <c r="F533" t="s">
        <v>364</v>
      </c>
      <c r="G533">
        <v>1</v>
      </c>
      <c r="H533">
        <v>0.8</v>
      </c>
      <c r="I533" t="s">
        <v>365</v>
      </c>
      <c r="J533">
        <v>0</v>
      </c>
      <c r="K533">
        <v>0</v>
      </c>
      <c r="L533" t="s">
        <v>3</v>
      </c>
      <c r="M533" t="s">
        <v>3</v>
      </c>
      <c r="N533">
        <v>0</v>
      </c>
      <c r="P533" t="s">
        <v>3</v>
      </c>
    </row>
    <row r="534" spans="1:16" x14ac:dyDescent="0.2">
      <c r="A534">
        <v>70</v>
      </c>
      <c r="B534">
        <v>1</v>
      </c>
      <c r="D534">
        <v>6</v>
      </c>
      <c r="E534" t="s">
        <v>366</v>
      </c>
      <c r="F534" t="s">
        <v>367</v>
      </c>
      <c r="G534">
        <v>1</v>
      </c>
      <c r="H534">
        <v>0</v>
      </c>
      <c r="I534" t="s">
        <v>3</v>
      </c>
      <c r="J534">
        <v>0</v>
      </c>
      <c r="K534">
        <v>0</v>
      </c>
      <c r="L534" t="s">
        <v>3</v>
      </c>
      <c r="M534" t="s">
        <v>3</v>
      </c>
      <c r="N534">
        <v>0</v>
      </c>
      <c r="P534" t="s">
        <v>3</v>
      </c>
    </row>
    <row r="535" spans="1:16" x14ac:dyDescent="0.2">
      <c r="A535">
        <v>70</v>
      </c>
      <c r="B535">
        <v>1</v>
      </c>
      <c r="D535">
        <v>7</v>
      </c>
      <c r="E535" t="s">
        <v>368</v>
      </c>
      <c r="F535" t="s">
        <v>369</v>
      </c>
      <c r="G535">
        <v>1</v>
      </c>
      <c r="H535">
        <v>0</v>
      </c>
      <c r="I535" t="s">
        <v>3</v>
      </c>
      <c r="J535">
        <v>0</v>
      </c>
      <c r="K535">
        <v>0</v>
      </c>
      <c r="L535" t="s">
        <v>3</v>
      </c>
      <c r="M535" t="s">
        <v>3</v>
      </c>
      <c r="N535">
        <v>0</v>
      </c>
      <c r="P535" t="s">
        <v>3</v>
      </c>
    </row>
    <row r="536" spans="1:16" x14ac:dyDescent="0.2">
      <c r="A536">
        <v>70</v>
      </c>
      <c r="B536">
        <v>1</v>
      </c>
      <c r="D536">
        <v>8</v>
      </c>
      <c r="E536" t="s">
        <v>370</v>
      </c>
      <c r="F536" t="s">
        <v>371</v>
      </c>
      <c r="G536">
        <v>0.7</v>
      </c>
      <c r="H536">
        <v>0</v>
      </c>
      <c r="I536" t="s">
        <v>3</v>
      </c>
      <c r="J536">
        <v>0</v>
      </c>
      <c r="K536">
        <v>0</v>
      </c>
      <c r="L536" t="s">
        <v>3</v>
      </c>
      <c r="M536" t="s">
        <v>3</v>
      </c>
      <c r="N536">
        <v>0</v>
      </c>
      <c r="P536" t="s">
        <v>3</v>
      </c>
    </row>
    <row r="537" spans="1:16" x14ac:dyDescent="0.2">
      <c r="A537">
        <v>70</v>
      </c>
      <c r="B537">
        <v>1</v>
      </c>
      <c r="D537">
        <v>9</v>
      </c>
      <c r="E537" t="s">
        <v>372</v>
      </c>
      <c r="F537" t="s">
        <v>373</v>
      </c>
      <c r="G537">
        <v>0.9</v>
      </c>
      <c r="H537">
        <v>0</v>
      </c>
      <c r="I537" t="s">
        <v>3</v>
      </c>
      <c r="J537">
        <v>0</v>
      </c>
      <c r="K537">
        <v>0</v>
      </c>
      <c r="L537" t="s">
        <v>3</v>
      </c>
      <c r="M537" t="s">
        <v>3</v>
      </c>
      <c r="N537">
        <v>0</v>
      </c>
      <c r="P537" t="s">
        <v>3</v>
      </c>
    </row>
    <row r="538" spans="1:16" x14ac:dyDescent="0.2">
      <c r="A538">
        <v>70</v>
      </c>
      <c r="B538">
        <v>1</v>
      </c>
      <c r="D538">
        <v>10</v>
      </c>
      <c r="E538" t="s">
        <v>374</v>
      </c>
      <c r="F538" t="s">
        <v>375</v>
      </c>
      <c r="G538">
        <v>0.6</v>
      </c>
      <c r="H538">
        <v>0</v>
      </c>
      <c r="I538" t="s">
        <v>3</v>
      </c>
      <c r="J538">
        <v>0</v>
      </c>
      <c r="K538">
        <v>0</v>
      </c>
      <c r="L538" t="s">
        <v>3</v>
      </c>
      <c r="M538" t="s">
        <v>3</v>
      </c>
      <c r="N538">
        <v>0</v>
      </c>
      <c r="P538" t="s">
        <v>3</v>
      </c>
    </row>
    <row r="539" spans="1:16" x14ac:dyDescent="0.2">
      <c r="A539">
        <v>70</v>
      </c>
      <c r="B539">
        <v>1</v>
      </c>
      <c r="D539">
        <v>11</v>
      </c>
      <c r="E539" t="s">
        <v>376</v>
      </c>
      <c r="F539" t="s">
        <v>377</v>
      </c>
      <c r="G539">
        <v>1.2</v>
      </c>
      <c r="H539">
        <v>0</v>
      </c>
      <c r="I539" t="s">
        <v>3</v>
      </c>
      <c r="J539">
        <v>0</v>
      </c>
      <c r="K539">
        <v>0</v>
      </c>
      <c r="L539" t="s">
        <v>3</v>
      </c>
      <c r="M539" t="s">
        <v>3</v>
      </c>
      <c r="N539">
        <v>0</v>
      </c>
      <c r="P539" t="s">
        <v>3</v>
      </c>
    </row>
    <row r="540" spans="1:16" x14ac:dyDescent="0.2">
      <c r="A540">
        <v>70</v>
      </c>
      <c r="B540">
        <v>1</v>
      </c>
      <c r="D540">
        <v>12</v>
      </c>
      <c r="E540" t="s">
        <v>378</v>
      </c>
      <c r="F540" t="s">
        <v>379</v>
      </c>
      <c r="G540">
        <v>0</v>
      </c>
      <c r="H540">
        <v>0</v>
      </c>
      <c r="I540" t="s">
        <v>3</v>
      </c>
      <c r="J540">
        <v>0</v>
      </c>
      <c r="K540">
        <v>0</v>
      </c>
      <c r="L540" t="s">
        <v>3</v>
      </c>
      <c r="M540" t="s">
        <v>3</v>
      </c>
      <c r="N540">
        <v>0</v>
      </c>
      <c r="P540" t="s">
        <v>3</v>
      </c>
    </row>
    <row r="541" spans="1:16" x14ac:dyDescent="0.2">
      <c r="A541">
        <v>70</v>
      </c>
      <c r="B541">
        <v>1</v>
      </c>
      <c r="D541">
        <v>13</v>
      </c>
      <c r="E541" t="s">
        <v>380</v>
      </c>
      <c r="F541" t="s">
        <v>381</v>
      </c>
      <c r="G541">
        <v>1</v>
      </c>
      <c r="H541">
        <v>0</v>
      </c>
      <c r="I541" t="s">
        <v>3</v>
      </c>
      <c r="J541">
        <v>0</v>
      </c>
      <c r="K541">
        <v>0</v>
      </c>
      <c r="L541" t="s">
        <v>3</v>
      </c>
      <c r="M541" t="s">
        <v>3</v>
      </c>
      <c r="N541">
        <v>0</v>
      </c>
      <c r="P541" t="s">
        <v>3</v>
      </c>
    </row>
    <row r="543" spans="1:16" x14ac:dyDescent="0.2">
      <c r="A543">
        <v>-1</v>
      </c>
    </row>
    <row r="545" spans="1:40" x14ac:dyDescent="0.2">
      <c r="A545" s="3">
        <v>75</v>
      </c>
      <c r="B545" s="3" t="s">
        <v>382</v>
      </c>
      <c r="C545" s="3">
        <v>2000</v>
      </c>
      <c r="D545" s="3">
        <v>0</v>
      </c>
      <c r="E545" s="3">
        <v>1</v>
      </c>
      <c r="F545" s="3">
        <v>0</v>
      </c>
      <c r="G545" s="3">
        <v>0</v>
      </c>
      <c r="H545" s="3">
        <v>1</v>
      </c>
      <c r="I545" s="3">
        <v>0</v>
      </c>
      <c r="J545" s="3">
        <v>1</v>
      </c>
      <c r="K545" s="3">
        <v>0</v>
      </c>
      <c r="L545" s="3">
        <v>0</v>
      </c>
      <c r="M545" s="3">
        <v>0</v>
      </c>
      <c r="N545" s="3">
        <v>46416371</v>
      </c>
      <c r="O545" s="3">
        <v>1</v>
      </c>
    </row>
    <row r="546" spans="1:40" x14ac:dyDescent="0.2">
      <c r="A546" s="5">
        <v>3</v>
      </c>
      <c r="B546" s="5" t="s">
        <v>383</v>
      </c>
      <c r="C546" s="5">
        <v>1</v>
      </c>
      <c r="D546" s="5">
        <v>8.2899999999999991</v>
      </c>
      <c r="E546" s="5">
        <v>13.36</v>
      </c>
      <c r="F546" s="5">
        <v>34.75</v>
      </c>
      <c r="G546" s="5">
        <v>34.75</v>
      </c>
      <c r="H546" s="5">
        <v>1</v>
      </c>
      <c r="I546" s="5">
        <v>1</v>
      </c>
      <c r="J546" s="5">
        <v>2</v>
      </c>
      <c r="K546" s="5">
        <v>1</v>
      </c>
      <c r="L546" s="5">
        <v>1</v>
      </c>
      <c r="M546" s="5">
        <v>1</v>
      </c>
      <c r="N546" s="5">
        <v>8.2899999999999991</v>
      </c>
      <c r="O546" s="5">
        <v>1</v>
      </c>
      <c r="P546" s="5">
        <v>1</v>
      </c>
      <c r="Q546" s="5">
        <v>1</v>
      </c>
      <c r="R546" s="5">
        <v>1</v>
      </c>
      <c r="S546" s="5" t="s">
        <v>3</v>
      </c>
      <c r="T546" s="5" t="s">
        <v>3</v>
      </c>
      <c r="U546" s="5" t="s">
        <v>3</v>
      </c>
      <c r="V546" s="5" t="s">
        <v>3</v>
      </c>
      <c r="W546" s="5" t="s">
        <v>3</v>
      </c>
      <c r="X546" s="5" t="s">
        <v>3</v>
      </c>
      <c r="Y546" s="5" t="s">
        <v>3</v>
      </c>
      <c r="Z546" s="5" t="s">
        <v>3</v>
      </c>
      <c r="AA546" s="5" t="s">
        <v>3</v>
      </c>
      <c r="AB546" s="5" t="s">
        <v>3</v>
      </c>
      <c r="AC546" s="5" t="s">
        <v>3</v>
      </c>
      <c r="AD546" s="5" t="s">
        <v>3</v>
      </c>
      <c r="AE546" s="5" t="s">
        <v>3</v>
      </c>
      <c r="AF546" s="5" t="s">
        <v>3</v>
      </c>
      <c r="AG546" s="5" t="s">
        <v>3</v>
      </c>
      <c r="AH546" s="5" t="s">
        <v>3</v>
      </c>
      <c r="AI546" s="5"/>
      <c r="AJ546" s="5"/>
      <c r="AK546" s="5"/>
      <c r="AL546" s="5"/>
      <c r="AM546" s="5"/>
      <c r="AN546" s="5">
        <v>46416372</v>
      </c>
    </row>
    <row r="550" spans="1:40" x14ac:dyDescent="0.2">
      <c r="A550">
        <v>65</v>
      </c>
      <c r="C550">
        <v>1</v>
      </c>
      <c r="D550">
        <v>0</v>
      </c>
      <c r="E55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384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57140</v>
      </c>
      <c r="M1">
        <v>10</v>
      </c>
      <c r="N1">
        <v>11</v>
      </c>
      <c r="O1">
        <v>4</v>
      </c>
      <c r="P1">
        <v>1</v>
      </c>
      <c r="Q1">
        <v>4</v>
      </c>
    </row>
    <row r="12" spans="1:133" x14ac:dyDescent="0.2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0</v>
      </c>
      <c r="BO12" s="1">
        <v>0</v>
      </c>
      <c r="BP12" s="1">
        <v>6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46416371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12</v>
      </c>
      <c r="D16" s="6" t="s">
        <v>12</v>
      </c>
      <c r="E16" s="7">
        <f>(Source!F471)/1000</f>
        <v>5621.4639999999999</v>
      </c>
      <c r="F16" s="7">
        <f>(Source!F472)/1000</f>
        <v>0</v>
      </c>
      <c r="G16" s="7">
        <f>(Source!F463)/1000</f>
        <v>0</v>
      </c>
      <c r="H16" s="7">
        <f>(Source!F473)/1000+(Source!F474)/1000</f>
        <v>4940.8689999999997</v>
      </c>
      <c r="I16" s="7">
        <f>E16+F16+G16+H16</f>
        <v>10562.332999999999</v>
      </c>
      <c r="J16" s="7">
        <f>(Source!F469)/1000</f>
        <v>468.22399999999999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</row>
    <row r="18" spans="1:19" x14ac:dyDescent="0.2">
      <c r="A18">
        <v>51</v>
      </c>
      <c r="E18" s="8">
        <f>SUMIF(A16:A17,3,E16:E17)</f>
        <v>5621.4639999999999</v>
      </c>
      <c r="F18" s="8">
        <f>SUMIF(A16:A17,3,F16:F17)</f>
        <v>0</v>
      </c>
      <c r="G18" s="8">
        <f>SUMIF(A16:A17,3,G16:G17)</f>
        <v>0</v>
      </c>
      <c r="H18" s="8">
        <f>SUMIF(A16:A17,3,H16:H17)</f>
        <v>4940.8689999999997</v>
      </c>
      <c r="I18" s="8">
        <f>SUMIF(A16:A17,3,I16:I17)</f>
        <v>10562.332999999999</v>
      </c>
      <c r="J18" s="8">
        <f>SUMIF(A16:A17,3,J16:J17)</f>
        <v>468.22399999999999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0</v>
      </c>
      <c r="G20" s="4" t="s">
        <v>68</v>
      </c>
      <c r="H20" s="4" t="s">
        <v>69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0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0</v>
      </c>
      <c r="G21" s="4" t="s">
        <v>70</v>
      </c>
      <c r="H21" s="4" t="s">
        <v>71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0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72</v>
      </c>
      <c r="H22" s="4" t="s">
        <v>73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0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0</v>
      </c>
      <c r="G23" s="4" t="s">
        <v>74</v>
      </c>
      <c r="H23" s="4" t="s">
        <v>75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0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0</v>
      </c>
      <c r="G24" s="4" t="s">
        <v>76</v>
      </c>
      <c r="H24" s="4" t="s">
        <v>77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0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78</v>
      </c>
      <c r="H25" s="4" t="s">
        <v>79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0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0</v>
      </c>
      <c r="G26" s="4" t="s">
        <v>80</v>
      </c>
      <c r="H26" s="4" t="s">
        <v>81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0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82</v>
      </c>
      <c r="H27" s="4" t="s">
        <v>83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0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84</v>
      </c>
      <c r="H28" s="4" t="s">
        <v>85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0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86</v>
      </c>
      <c r="H29" s="4" t="s">
        <v>87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0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0</v>
      </c>
      <c r="G30" s="4" t="s">
        <v>88</v>
      </c>
      <c r="H30" s="4" t="s">
        <v>89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0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90</v>
      </c>
      <c r="H31" s="4" t="s">
        <v>91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0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0</v>
      </c>
      <c r="G32" s="4" t="s">
        <v>92</v>
      </c>
      <c r="H32" s="4" t="s">
        <v>93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0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0</v>
      </c>
      <c r="G33" s="4" t="s">
        <v>94</v>
      </c>
      <c r="H33" s="4" t="s">
        <v>95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0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96</v>
      </c>
      <c r="H34" s="4" t="s">
        <v>97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0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0</v>
      </c>
      <c r="G35" s="4" t="s">
        <v>98</v>
      </c>
      <c r="H35" s="4" t="s">
        <v>99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0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100</v>
      </c>
      <c r="H36" s="4" t="s">
        <v>101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0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102</v>
      </c>
      <c r="H37" s="4" t="s">
        <v>103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0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104</v>
      </c>
      <c r="H38" s="4" t="s">
        <v>105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0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106</v>
      </c>
      <c r="H39" s="4" t="s">
        <v>107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0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0</v>
      </c>
      <c r="G40" s="4" t="s">
        <v>108</v>
      </c>
      <c r="H40" s="4" t="s">
        <v>109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0</v>
      </c>
      <c r="G41" s="4" t="s">
        <v>110</v>
      </c>
      <c r="H41" s="4" t="s">
        <v>111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112</v>
      </c>
      <c r="H42" s="4" t="s">
        <v>113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0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114</v>
      </c>
      <c r="H43" s="4" t="s">
        <v>115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0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0</v>
      </c>
      <c r="G44" s="4" t="s">
        <v>116</v>
      </c>
      <c r="H44" s="4" t="s">
        <v>117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0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0</v>
      </c>
      <c r="G45" s="4" t="s">
        <v>118</v>
      </c>
      <c r="H45" s="4" t="s">
        <v>119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0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0</v>
      </c>
      <c r="G46" s="4" t="s">
        <v>120</v>
      </c>
      <c r="H46" s="4" t="s">
        <v>121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0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0</v>
      </c>
      <c r="G47" s="4" t="s">
        <v>306</v>
      </c>
      <c r="H47" s="4" t="s">
        <v>307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0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0</v>
      </c>
      <c r="G48" s="4" t="s">
        <v>308</v>
      </c>
      <c r="H48" s="4" t="s">
        <v>309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0</v>
      </c>
      <c r="P48" s="4"/>
    </row>
    <row r="50" spans="1:40" x14ac:dyDescent="0.2">
      <c r="A50">
        <v>-1</v>
      </c>
    </row>
    <row r="53" spans="1:40" x14ac:dyDescent="0.2">
      <c r="A53" s="3">
        <v>75</v>
      </c>
      <c r="B53" s="3" t="s">
        <v>382</v>
      </c>
      <c r="C53" s="3">
        <v>2000</v>
      </c>
      <c r="D53" s="3">
        <v>0</v>
      </c>
      <c r="E53" s="3">
        <v>1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46416371</v>
      </c>
      <c r="O53" s="3">
        <v>1</v>
      </c>
    </row>
    <row r="54" spans="1:40" x14ac:dyDescent="0.2">
      <c r="A54" s="5">
        <v>3</v>
      </c>
      <c r="B54" s="5" t="s">
        <v>383</v>
      </c>
      <c r="C54" s="5">
        <v>1</v>
      </c>
      <c r="D54" s="5">
        <v>8.2899999999999991</v>
      </c>
      <c r="E54" s="5">
        <v>13.36</v>
      </c>
      <c r="F54" s="5">
        <v>34.75</v>
      </c>
      <c r="G54" s="5">
        <v>34.75</v>
      </c>
      <c r="H54" s="5">
        <v>1</v>
      </c>
      <c r="I54" s="5">
        <v>1</v>
      </c>
      <c r="J54" s="5">
        <v>2</v>
      </c>
      <c r="K54" s="5">
        <v>1</v>
      </c>
      <c r="L54" s="5">
        <v>1</v>
      </c>
      <c r="M54" s="5">
        <v>1</v>
      </c>
      <c r="N54" s="5">
        <v>8.2899999999999991</v>
      </c>
      <c r="O54" s="5">
        <v>1</v>
      </c>
      <c r="P54" s="5">
        <v>1</v>
      </c>
      <c r="Q54" s="5">
        <v>1</v>
      </c>
      <c r="R54" s="5">
        <v>1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 t="s">
        <v>3</v>
      </c>
      <c r="AC54" s="5" t="s">
        <v>3</v>
      </c>
      <c r="AD54" s="5" t="s">
        <v>3</v>
      </c>
      <c r="AE54" s="5" t="s">
        <v>3</v>
      </c>
      <c r="AF54" s="5" t="s">
        <v>3</v>
      </c>
      <c r="AG54" s="5" t="s">
        <v>3</v>
      </c>
      <c r="AH54" s="5" t="s">
        <v>3</v>
      </c>
      <c r="AI54" s="5"/>
      <c r="AJ54" s="5"/>
      <c r="AK54" s="5"/>
      <c r="AL54" s="5"/>
      <c r="AM54" s="5"/>
      <c r="AN54" s="5">
        <v>46416372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2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ROW(Source!A28)</f>
        <v>28</v>
      </c>
      <c r="B1">
        <v>46416371</v>
      </c>
      <c r="C1">
        <v>46416841</v>
      </c>
      <c r="D1">
        <v>42640871</v>
      </c>
      <c r="E1">
        <v>1</v>
      </c>
      <c r="F1">
        <v>1</v>
      </c>
      <c r="G1">
        <v>1</v>
      </c>
      <c r="H1">
        <v>1</v>
      </c>
      <c r="I1" t="s">
        <v>385</v>
      </c>
      <c r="J1" t="s">
        <v>3</v>
      </c>
      <c r="K1" t="s">
        <v>386</v>
      </c>
      <c r="L1">
        <v>1369</v>
      </c>
      <c r="N1">
        <v>1013</v>
      </c>
      <c r="O1" t="s">
        <v>387</v>
      </c>
      <c r="P1" t="s">
        <v>387</v>
      </c>
      <c r="Q1">
        <v>1</v>
      </c>
      <c r="W1">
        <v>0</v>
      </c>
      <c r="X1">
        <v>110868128</v>
      </c>
      <c r="Y1">
        <v>7.9810000000000008</v>
      </c>
      <c r="AA1">
        <v>0</v>
      </c>
      <c r="AB1">
        <v>0</v>
      </c>
      <c r="AC1">
        <v>0</v>
      </c>
      <c r="AD1">
        <v>276.95999999999998</v>
      </c>
      <c r="AE1">
        <v>0</v>
      </c>
      <c r="AF1">
        <v>0</v>
      </c>
      <c r="AG1">
        <v>0</v>
      </c>
      <c r="AH1">
        <v>7.97</v>
      </c>
      <c r="AI1">
        <v>1</v>
      </c>
      <c r="AJ1">
        <v>1</v>
      </c>
      <c r="AK1">
        <v>1</v>
      </c>
      <c r="AL1">
        <v>34.75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34.700000000000003</v>
      </c>
      <c r="AU1" t="s">
        <v>21</v>
      </c>
      <c r="AV1">
        <v>1</v>
      </c>
      <c r="AW1">
        <v>2</v>
      </c>
      <c r="AX1">
        <v>46416849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0</v>
      </c>
      <c r="CY1">
        <f>AD1</f>
        <v>276.95999999999998</v>
      </c>
      <c r="CZ1">
        <f>AH1</f>
        <v>7.97</v>
      </c>
      <c r="DA1">
        <f>AL1</f>
        <v>34.75</v>
      </c>
      <c r="DB1">
        <f>ROUND((ROUND(AT1*CZ1,2)*1.15*0.2),6)</f>
        <v>63.608800000000002</v>
      </c>
      <c r="DC1">
        <f>ROUND((ROUND(AT1*AG1,2)*1.15*0.2),6)</f>
        <v>0</v>
      </c>
    </row>
    <row r="2" spans="1:107" x14ac:dyDescent="0.2">
      <c r="A2">
        <f>ROW(Source!A28)</f>
        <v>28</v>
      </c>
      <c r="B2">
        <v>46416371</v>
      </c>
      <c r="C2">
        <v>46416841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26</v>
      </c>
      <c r="J2" t="s">
        <v>3</v>
      </c>
      <c r="K2" t="s">
        <v>388</v>
      </c>
      <c r="L2">
        <v>608254</v>
      </c>
      <c r="N2">
        <v>1013</v>
      </c>
      <c r="O2" t="s">
        <v>389</v>
      </c>
      <c r="P2" t="s">
        <v>389</v>
      </c>
      <c r="Q2">
        <v>1</v>
      </c>
      <c r="W2">
        <v>0</v>
      </c>
      <c r="X2">
        <v>-185737400</v>
      </c>
      <c r="Y2">
        <v>1.82735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34.75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15.89</v>
      </c>
      <c r="AU2" t="s">
        <v>20</v>
      </c>
      <c r="AV2">
        <v>2</v>
      </c>
      <c r="AW2">
        <v>2</v>
      </c>
      <c r="AX2">
        <v>46416850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0</v>
      </c>
      <c r="CY2">
        <f>AD2</f>
        <v>0</v>
      </c>
      <c r="CZ2">
        <f>AH2</f>
        <v>0</v>
      </c>
      <c r="DA2">
        <f>AL2</f>
        <v>1</v>
      </c>
      <c r="DB2">
        <f>ROUND((ROUND(AT2*CZ2,2)*1.15*0.1),6)</f>
        <v>0</v>
      </c>
      <c r="DC2">
        <f>ROUND((ROUND(AT2*AG2,2)*1.15*0.1),6)</f>
        <v>0</v>
      </c>
    </row>
    <row r="3" spans="1:107" x14ac:dyDescent="0.2">
      <c r="A3">
        <f>ROW(Source!A28)</f>
        <v>28</v>
      </c>
      <c r="B3">
        <v>46416371</v>
      </c>
      <c r="C3">
        <v>46416841</v>
      </c>
      <c r="D3">
        <v>42567597</v>
      </c>
      <c r="E3">
        <v>1</v>
      </c>
      <c r="F3">
        <v>1</v>
      </c>
      <c r="G3">
        <v>1</v>
      </c>
      <c r="H3">
        <v>2</v>
      </c>
      <c r="I3" t="s">
        <v>390</v>
      </c>
      <c r="J3" t="s">
        <v>391</v>
      </c>
      <c r="K3" t="s">
        <v>392</v>
      </c>
      <c r="L3">
        <v>1368</v>
      </c>
      <c r="N3">
        <v>1011</v>
      </c>
      <c r="O3" t="s">
        <v>393</v>
      </c>
      <c r="P3" t="s">
        <v>393</v>
      </c>
      <c r="Q3">
        <v>1</v>
      </c>
      <c r="W3">
        <v>0</v>
      </c>
      <c r="X3">
        <v>2137095625</v>
      </c>
      <c r="Y3">
        <v>0.28059999999999996</v>
      </c>
      <c r="AA3">
        <v>0</v>
      </c>
      <c r="AB3">
        <v>16.03</v>
      </c>
      <c r="AC3">
        <v>0</v>
      </c>
      <c r="AD3">
        <v>0</v>
      </c>
      <c r="AE3">
        <v>0</v>
      </c>
      <c r="AF3">
        <v>1.2</v>
      </c>
      <c r="AG3">
        <v>0</v>
      </c>
      <c r="AH3">
        <v>0</v>
      </c>
      <c r="AI3">
        <v>1</v>
      </c>
      <c r="AJ3">
        <v>13.36</v>
      </c>
      <c r="AK3">
        <v>34.75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2.44</v>
      </c>
      <c r="AU3" t="s">
        <v>20</v>
      </c>
      <c r="AV3">
        <v>0</v>
      </c>
      <c r="AW3">
        <v>2</v>
      </c>
      <c r="AX3">
        <v>46416851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0</v>
      </c>
      <c r="CY3">
        <f>AB3</f>
        <v>16.03</v>
      </c>
      <c r="CZ3">
        <f>AF3</f>
        <v>1.2</v>
      </c>
      <c r="DA3">
        <f>AJ3</f>
        <v>13.36</v>
      </c>
      <c r="DB3">
        <f>ROUND((ROUND(AT3*CZ3,2)*1.15*0.1),6)</f>
        <v>0.33695000000000003</v>
      </c>
      <c r="DC3">
        <f>ROUND((ROUND(AT3*AG3,2)*1.15*0.1),6)</f>
        <v>0</v>
      </c>
    </row>
    <row r="4" spans="1:107" x14ac:dyDescent="0.2">
      <c r="A4">
        <f>ROW(Source!A28)</f>
        <v>28</v>
      </c>
      <c r="B4">
        <v>46416371</v>
      </c>
      <c r="C4">
        <v>46416841</v>
      </c>
      <c r="D4">
        <v>42567659</v>
      </c>
      <c r="E4">
        <v>1</v>
      </c>
      <c r="F4">
        <v>1</v>
      </c>
      <c r="G4">
        <v>1</v>
      </c>
      <c r="H4">
        <v>2</v>
      </c>
      <c r="I4" t="s">
        <v>394</v>
      </c>
      <c r="J4" t="s">
        <v>395</v>
      </c>
      <c r="K4" t="s">
        <v>396</v>
      </c>
      <c r="L4">
        <v>1368</v>
      </c>
      <c r="N4">
        <v>1011</v>
      </c>
      <c r="O4" t="s">
        <v>393</v>
      </c>
      <c r="P4" t="s">
        <v>393</v>
      </c>
      <c r="Q4">
        <v>1</v>
      </c>
      <c r="W4">
        <v>0</v>
      </c>
      <c r="X4">
        <v>-1300877745</v>
      </c>
      <c r="Y4">
        <v>1.82735</v>
      </c>
      <c r="AA4">
        <v>0</v>
      </c>
      <c r="AB4">
        <v>1320.9</v>
      </c>
      <c r="AC4">
        <v>326.64999999999998</v>
      </c>
      <c r="AD4">
        <v>0</v>
      </c>
      <c r="AE4">
        <v>0</v>
      </c>
      <c r="AF4">
        <v>98.87</v>
      </c>
      <c r="AG4">
        <v>9.4</v>
      </c>
      <c r="AH4">
        <v>0</v>
      </c>
      <c r="AI4">
        <v>1</v>
      </c>
      <c r="AJ4">
        <v>13.36</v>
      </c>
      <c r="AK4">
        <v>34.75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15.89</v>
      </c>
      <c r="AU4" t="s">
        <v>20</v>
      </c>
      <c r="AV4">
        <v>0</v>
      </c>
      <c r="AW4">
        <v>2</v>
      </c>
      <c r="AX4">
        <v>46416852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0</v>
      </c>
      <c r="CY4">
        <f>AB4</f>
        <v>1320.9</v>
      </c>
      <c r="CZ4">
        <f>AF4</f>
        <v>98.87</v>
      </c>
      <c r="DA4">
        <f>AJ4</f>
        <v>13.36</v>
      </c>
      <c r="DB4">
        <f>ROUND((ROUND(AT4*CZ4,2)*1.15*0.1),6)</f>
        <v>180.6696</v>
      </c>
      <c r="DC4">
        <f>ROUND((ROUND(AT4*AG4,2)*1.15*0.1),6)</f>
        <v>17.17755</v>
      </c>
    </row>
    <row r="5" spans="1:107" x14ac:dyDescent="0.2">
      <c r="A5">
        <f>ROW(Source!A28)</f>
        <v>28</v>
      </c>
      <c r="B5">
        <v>46416371</v>
      </c>
      <c r="C5">
        <v>46416841</v>
      </c>
      <c r="D5">
        <v>42570318</v>
      </c>
      <c r="E5">
        <v>1</v>
      </c>
      <c r="F5">
        <v>1</v>
      </c>
      <c r="G5">
        <v>1</v>
      </c>
      <c r="H5">
        <v>2</v>
      </c>
      <c r="I5" t="s">
        <v>397</v>
      </c>
      <c r="J5" t="s">
        <v>398</v>
      </c>
      <c r="K5" t="s">
        <v>399</v>
      </c>
      <c r="L5">
        <v>1368</v>
      </c>
      <c r="N5">
        <v>1011</v>
      </c>
      <c r="O5" t="s">
        <v>393</v>
      </c>
      <c r="P5" t="s">
        <v>393</v>
      </c>
      <c r="Q5">
        <v>1</v>
      </c>
      <c r="W5">
        <v>0</v>
      </c>
      <c r="X5">
        <v>1513431240</v>
      </c>
      <c r="Y5">
        <v>3.6547000000000001</v>
      </c>
      <c r="AA5">
        <v>0</v>
      </c>
      <c r="AB5">
        <v>20.440000000000001</v>
      </c>
      <c r="AC5">
        <v>0</v>
      </c>
      <c r="AD5">
        <v>0</v>
      </c>
      <c r="AE5">
        <v>0</v>
      </c>
      <c r="AF5">
        <v>1.53</v>
      </c>
      <c r="AG5">
        <v>0</v>
      </c>
      <c r="AH5">
        <v>0</v>
      </c>
      <c r="AI5">
        <v>1</v>
      </c>
      <c r="AJ5">
        <v>13.36</v>
      </c>
      <c r="AK5">
        <v>34.75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31.78</v>
      </c>
      <c r="AU5" t="s">
        <v>20</v>
      </c>
      <c r="AV5">
        <v>0</v>
      </c>
      <c r="AW5">
        <v>2</v>
      </c>
      <c r="AX5">
        <v>46416853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0</v>
      </c>
      <c r="CY5">
        <f>AB5</f>
        <v>20.440000000000001</v>
      </c>
      <c r="CZ5">
        <f>AF5</f>
        <v>1.53</v>
      </c>
      <c r="DA5">
        <f>AJ5</f>
        <v>13.36</v>
      </c>
      <c r="DB5">
        <f>ROUND((ROUND(AT5*CZ5,2)*1.15*0.1),6)</f>
        <v>5.5913000000000004</v>
      </c>
      <c r="DC5">
        <f>ROUND((ROUND(AT5*AG5,2)*1.15*0.1),6)</f>
        <v>0</v>
      </c>
    </row>
    <row r="6" spans="1:107" x14ac:dyDescent="0.2">
      <c r="A6">
        <f>ROW(Source!A28)</f>
        <v>28</v>
      </c>
      <c r="B6">
        <v>46416371</v>
      </c>
      <c r="C6">
        <v>46416841</v>
      </c>
      <c r="D6">
        <v>42593372</v>
      </c>
      <c r="E6">
        <v>1</v>
      </c>
      <c r="F6">
        <v>1</v>
      </c>
      <c r="G6">
        <v>1</v>
      </c>
      <c r="H6">
        <v>3</v>
      </c>
      <c r="I6" t="s">
        <v>400</v>
      </c>
      <c r="J6" t="s">
        <v>401</v>
      </c>
      <c r="K6" t="s">
        <v>402</v>
      </c>
      <c r="L6">
        <v>1339</v>
      </c>
      <c r="N6">
        <v>1007</v>
      </c>
      <c r="O6" t="s">
        <v>139</v>
      </c>
      <c r="P6" t="s">
        <v>139</v>
      </c>
      <c r="Q6">
        <v>1</v>
      </c>
      <c r="W6">
        <v>0</v>
      </c>
      <c r="X6">
        <v>649896272</v>
      </c>
      <c r="Y6">
        <v>2</v>
      </c>
      <c r="AA6">
        <v>102.46</v>
      </c>
      <c r="AB6">
        <v>0</v>
      </c>
      <c r="AC6">
        <v>0</v>
      </c>
      <c r="AD6">
        <v>0</v>
      </c>
      <c r="AE6">
        <v>12.36</v>
      </c>
      <c r="AF6">
        <v>0</v>
      </c>
      <c r="AG6">
        <v>0</v>
      </c>
      <c r="AH6">
        <v>0</v>
      </c>
      <c r="AI6">
        <v>8.2899999999999991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2</v>
      </c>
      <c r="AU6" t="s">
        <v>3</v>
      </c>
      <c r="AV6">
        <v>0</v>
      </c>
      <c r="AW6">
        <v>2</v>
      </c>
      <c r="AX6">
        <v>46416854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Y6*Source!I28</f>
        <v>0</v>
      </c>
      <c r="CY6">
        <f>AA6</f>
        <v>102.46</v>
      </c>
      <c r="CZ6">
        <f>AE6</f>
        <v>12.36</v>
      </c>
      <c r="DA6">
        <f>AI6</f>
        <v>8.2899999999999991</v>
      </c>
      <c r="DB6">
        <f>ROUND(ROUND(AT6*CZ6,2),6)</f>
        <v>24.72</v>
      </c>
      <c r="DC6">
        <f>ROUND(ROUND(AT6*AG6,2),6)</f>
        <v>0</v>
      </c>
    </row>
    <row r="7" spans="1:107" x14ac:dyDescent="0.2">
      <c r="A7">
        <f>ROW(Source!A28)</f>
        <v>28</v>
      </c>
      <c r="B7">
        <v>46416371</v>
      </c>
      <c r="C7">
        <v>46416841</v>
      </c>
      <c r="D7">
        <v>42593360</v>
      </c>
      <c r="E7">
        <v>1</v>
      </c>
      <c r="F7">
        <v>1</v>
      </c>
      <c r="G7">
        <v>1</v>
      </c>
      <c r="H7">
        <v>3</v>
      </c>
      <c r="I7" t="s">
        <v>403</v>
      </c>
      <c r="J7" t="s">
        <v>404</v>
      </c>
      <c r="K7" t="s">
        <v>405</v>
      </c>
      <c r="L7">
        <v>1339</v>
      </c>
      <c r="N7">
        <v>1007</v>
      </c>
      <c r="O7" t="s">
        <v>139</v>
      </c>
      <c r="P7" t="s">
        <v>139</v>
      </c>
      <c r="Q7">
        <v>1</v>
      </c>
      <c r="W7">
        <v>0</v>
      </c>
      <c r="X7">
        <v>2096894977</v>
      </c>
      <c r="Y7">
        <v>0.26</v>
      </c>
      <c r="AA7">
        <v>833.39</v>
      </c>
      <c r="AB7">
        <v>0</v>
      </c>
      <c r="AC7">
        <v>0</v>
      </c>
      <c r="AD7">
        <v>0</v>
      </c>
      <c r="AE7">
        <v>100.53</v>
      </c>
      <c r="AF7">
        <v>0</v>
      </c>
      <c r="AG7">
        <v>0</v>
      </c>
      <c r="AH7">
        <v>0</v>
      </c>
      <c r="AI7">
        <v>8.2899999999999991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0.26</v>
      </c>
      <c r="AU7" t="s">
        <v>3</v>
      </c>
      <c r="AV7">
        <v>0</v>
      </c>
      <c r="AW7">
        <v>2</v>
      </c>
      <c r="AX7">
        <v>46416855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Y7*Source!I28</f>
        <v>0</v>
      </c>
      <c r="CY7">
        <f>AA7</f>
        <v>833.39</v>
      </c>
      <c r="CZ7">
        <f>AE7</f>
        <v>100.53</v>
      </c>
      <c r="DA7">
        <f>AI7</f>
        <v>8.2899999999999991</v>
      </c>
      <c r="DB7">
        <f>ROUND(ROUND(AT7*CZ7,2),6)</f>
        <v>26.14</v>
      </c>
      <c r="DC7">
        <f>ROUND(ROUND(AT7*AG7,2),6)</f>
        <v>0</v>
      </c>
    </row>
    <row r="8" spans="1:107" x14ac:dyDescent="0.2">
      <c r="A8">
        <f>ROW(Source!A29)</f>
        <v>29</v>
      </c>
      <c r="B8">
        <v>46416371</v>
      </c>
      <c r="C8">
        <v>46468022</v>
      </c>
      <c r="D8">
        <v>42640621</v>
      </c>
      <c r="E8">
        <v>1</v>
      </c>
      <c r="F8">
        <v>1</v>
      </c>
      <c r="G8">
        <v>1</v>
      </c>
      <c r="H8">
        <v>1</v>
      </c>
      <c r="I8" t="s">
        <v>406</v>
      </c>
      <c r="J8" t="s">
        <v>3</v>
      </c>
      <c r="K8" t="s">
        <v>407</v>
      </c>
      <c r="L8">
        <v>1369</v>
      </c>
      <c r="N8">
        <v>1013</v>
      </c>
      <c r="O8" t="s">
        <v>387</v>
      </c>
      <c r="P8" t="s">
        <v>387</v>
      </c>
      <c r="Q8">
        <v>1</v>
      </c>
      <c r="W8">
        <v>0</v>
      </c>
      <c r="X8">
        <v>1946641599</v>
      </c>
      <c r="Y8">
        <v>177.1</v>
      </c>
      <c r="AA8">
        <v>0</v>
      </c>
      <c r="AB8">
        <v>0</v>
      </c>
      <c r="AC8">
        <v>0</v>
      </c>
      <c r="AD8">
        <v>253.33</v>
      </c>
      <c r="AE8">
        <v>0</v>
      </c>
      <c r="AF8">
        <v>0</v>
      </c>
      <c r="AG8">
        <v>0</v>
      </c>
      <c r="AH8">
        <v>7.29</v>
      </c>
      <c r="AI8">
        <v>1</v>
      </c>
      <c r="AJ8">
        <v>1</v>
      </c>
      <c r="AK8">
        <v>1</v>
      </c>
      <c r="AL8">
        <v>34.75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154</v>
      </c>
      <c r="AU8" t="s">
        <v>31</v>
      </c>
      <c r="AV8">
        <v>1</v>
      </c>
      <c r="AW8">
        <v>2</v>
      </c>
      <c r="AX8">
        <v>46468023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Y8*Source!I29</f>
        <v>0</v>
      </c>
      <c r="CY8">
        <f>AD8</f>
        <v>253.33</v>
      </c>
      <c r="CZ8">
        <f>AH8</f>
        <v>7.29</v>
      </c>
      <c r="DA8">
        <f>AL8</f>
        <v>34.75</v>
      </c>
      <c r="DB8">
        <f t="shared" ref="DB8:DB25" si="0">ROUND((ROUND(AT8*CZ8,2)*1.15),6)</f>
        <v>1291.059</v>
      </c>
      <c r="DC8">
        <f t="shared" ref="DC8:DC25" si="1">ROUND((ROUND(AT8*AG8,2)*1.15),6)</f>
        <v>0</v>
      </c>
    </row>
    <row r="9" spans="1:107" x14ac:dyDescent="0.2">
      <c r="A9">
        <f>ROW(Source!A30)</f>
        <v>30</v>
      </c>
      <c r="B9">
        <v>46416371</v>
      </c>
      <c r="C9">
        <v>46416856</v>
      </c>
      <c r="D9">
        <v>42641564</v>
      </c>
      <c r="E9">
        <v>1</v>
      </c>
      <c r="F9">
        <v>1</v>
      </c>
      <c r="G9">
        <v>1</v>
      </c>
      <c r="H9">
        <v>1</v>
      </c>
      <c r="I9" t="s">
        <v>408</v>
      </c>
      <c r="J9" t="s">
        <v>3</v>
      </c>
      <c r="K9" t="s">
        <v>409</v>
      </c>
      <c r="L9">
        <v>1369</v>
      </c>
      <c r="N9">
        <v>1013</v>
      </c>
      <c r="O9" t="s">
        <v>387</v>
      </c>
      <c r="P9" t="s">
        <v>387</v>
      </c>
      <c r="Q9">
        <v>1</v>
      </c>
      <c r="W9">
        <v>0</v>
      </c>
      <c r="X9">
        <v>-1855190514</v>
      </c>
      <c r="Y9">
        <v>192.04999999999998</v>
      </c>
      <c r="AA9">
        <v>0</v>
      </c>
      <c r="AB9">
        <v>0</v>
      </c>
      <c r="AC9">
        <v>0</v>
      </c>
      <c r="AD9">
        <v>255.76</v>
      </c>
      <c r="AE9">
        <v>0</v>
      </c>
      <c r="AF9">
        <v>0</v>
      </c>
      <c r="AG9">
        <v>0</v>
      </c>
      <c r="AH9">
        <v>7.36</v>
      </c>
      <c r="AI9">
        <v>1</v>
      </c>
      <c r="AJ9">
        <v>1</v>
      </c>
      <c r="AK9">
        <v>1</v>
      </c>
      <c r="AL9">
        <v>34.75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167</v>
      </c>
      <c r="AU9" t="s">
        <v>31</v>
      </c>
      <c r="AV9">
        <v>1</v>
      </c>
      <c r="AW9">
        <v>2</v>
      </c>
      <c r="AX9">
        <v>46416860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Y9*Source!I30</f>
        <v>0</v>
      </c>
      <c r="CY9">
        <f>AD9</f>
        <v>255.76</v>
      </c>
      <c r="CZ9">
        <f>AH9</f>
        <v>7.36</v>
      </c>
      <c r="DA9">
        <f>AL9</f>
        <v>34.75</v>
      </c>
      <c r="DB9">
        <f t="shared" si="0"/>
        <v>1413.4880000000001</v>
      </c>
      <c r="DC9">
        <f t="shared" si="1"/>
        <v>0</v>
      </c>
    </row>
    <row r="10" spans="1:107" x14ac:dyDescent="0.2">
      <c r="A10">
        <f>ROW(Source!A30)</f>
        <v>30</v>
      </c>
      <c r="B10">
        <v>46416371</v>
      </c>
      <c r="C10">
        <v>46416856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26</v>
      </c>
      <c r="J10" t="s">
        <v>3</v>
      </c>
      <c r="K10" t="s">
        <v>388</v>
      </c>
      <c r="L10">
        <v>608254</v>
      </c>
      <c r="N10">
        <v>1013</v>
      </c>
      <c r="O10" t="s">
        <v>389</v>
      </c>
      <c r="P10" t="s">
        <v>389</v>
      </c>
      <c r="Q10">
        <v>1</v>
      </c>
      <c r="W10">
        <v>0</v>
      </c>
      <c r="X10">
        <v>-185737400</v>
      </c>
      <c r="Y10">
        <v>2.5529999999999999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34.75</v>
      </c>
      <c r="AL10">
        <v>1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2.2200000000000002</v>
      </c>
      <c r="AU10" t="s">
        <v>31</v>
      </c>
      <c r="AV10">
        <v>2</v>
      </c>
      <c r="AW10">
        <v>2</v>
      </c>
      <c r="AX10">
        <v>46416861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Y10*Source!I30</f>
        <v>0</v>
      </c>
      <c r="CY10">
        <f>AD10</f>
        <v>0</v>
      </c>
      <c r="CZ10">
        <f>AH10</f>
        <v>0</v>
      </c>
      <c r="DA10">
        <f>AL10</f>
        <v>1</v>
      </c>
      <c r="DB10">
        <f t="shared" si="0"/>
        <v>0</v>
      </c>
      <c r="DC10">
        <f t="shared" si="1"/>
        <v>0</v>
      </c>
    </row>
    <row r="11" spans="1:107" x14ac:dyDescent="0.2">
      <c r="A11">
        <f>ROW(Source!A30)</f>
        <v>30</v>
      </c>
      <c r="B11">
        <v>46416371</v>
      </c>
      <c r="C11">
        <v>46416856</v>
      </c>
      <c r="D11">
        <v>42567921</v>
      </c>
      <c r="E11">
        <v>1</v>
      </c>
      <c r="F11">
        <v>1</v>
      </c>
      <c r="G11">
        <v>1</v>
      </c>
      <c r="H11">
        <v>2</v>
      </c>
      <c r="I11" t="s">
        <v>410</v>
      </c>
      <c r="J11" t="s">
        <v>411</v>
      </c>
      <c r="K11" t="s">
        <v>412</v>
      </c>
      <c r="L11">
        <v>1368</v>
      </c>
      <c r="N11">
        <v>1011</v>
      </c>
      <c r="O11" t="s">
        <v>393</v>
      </c>
      <c r="P11" t="s">
        <v>393</v>
      </c>
      <c r="Q11">
        <v>1</v>
      </c>
      <c r="W11">
        <v>0</v>
      </c>
      <c r="X11">
        <v>-1580422552</v>
      </c>
      <c r="Y11">
        <v>2.5529999999999999</v>
      </c>
      <c r="AA11">
        <v>0</v>
      </c>
      <c r="AB11">
        <v>647.83000000000004</v>
      </c>
      <c r="AC11">
        <v>326.64999999999998</v>
      </c>
      <c r="AD11">
        <v>0</v>
      </c>
      <c r="AE11">
        <v>0</v>
      </c>
      <c r="AF11">
        <v>48.49</v>
      </c>
      <c r="AG11">
        <v>9.4</v>
      </c>
      <c r="AH11">
        <v>0</v>
      </c>
      <c r="AI11">
        <v>1</v>
      </c>
      <c r="AJ11">
        <v>13.36</v>
      </c>
      <c r="AK11">
        <v>34.75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2.2200000000000002</v>
      </c>
      <c r="AU11" t="s">
        <v>31</v>
      </c>
      <c r="AV11">
        <v>0</v>
      </c>
      <c r="AW11">
        <v>2</v>
      </c>
      <c r="AX11">
        <v>46416862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Y11*Source!I30</f>
        <v>0</v>
      </c>
      <c r="CY11">
        <f>AB11</f>
        <v>647.83000000000004</v>
      </c>
      <c r="CZ11">
        <f>AF11</f>
        <v>48.49</v>
      </c>
      <c r="DA11">
        <f>AJ11</f>
        <v>13.36</v>
      </c>
      <c r="DB11">
        <f t="shared" si="0"/>
        <v>123.7975</v>
      </c>
      <c r="DC11">
        <f t="shared" si="1"/>
        <v>24.000499999999999</v>
      </c>
    </row>
    <row r="12" spans="1:107" x14ac:dyDescent="0.2">
      <c r="A12">
        <f>ROW(Source!A31)</f>
        <v>31</v>
      </c>
      <c r="B12">
        <v>46416371</v>
      </c>
      <c r="C12">
        <v>46416863</v>
      </c>
      <c r="D12">
        <v>42643721</v>
      </c>
      <c r="E12">
        <v>1</v>
      </c>
      <c r="F12">
        <v>1</v>
      </c>
      <c r="G12">
        <v>1</v>
      </c>
      <c r="H12">
        <v>1</v>
      </c>
      <c r="I12" t="s">
        <v>413</v>
      </c>
      <c r="J12" t="s">
        <v>3</v>
      </c>
      <c r="K12" t="s">
        <v>414</v>
      </c>
      <c r="L12">
        <v>1369</v>
      </c>
      <c r="N12">
        <v>1013</v>
      </c>
      <c r="O12" t="s">
        <v>387</v>
      </c>
      <c r="P12" t="s">
        <v>387</v>
      </c>
      <c r="Q12">
        <v>1</v>
      </c>
      <c r="W12">
        <v>0</v>
      </c>
      <c r="X12">
        <v>1305698964</v>
      </c>
      <c r="Y12">
        <v>198.95</v>
      </c>
      <c r="AA12">
        <v>0</v>
      </c>
      <c r="AB12">
        <v>0</v>
      </c>
      <c r="AC12">
        <v>0</v>
      </c>
      <c r="AD12">
        <v>258.19</v>
      </c>
      <c r="AE12">
        <v>0</v>
      </c>
      <c r="AF12">
        <v>0</v>
      </c>
      <c r="AG12">
        <v>0</v>
      </c>
      <c r="AH12">
        <v>7.43</v>
      </c>
      <c r="AI12">
        <v>1</v>
      </c>
      <c r="AJ12">
        <v>1</v>
      </c>
      <c r="AK12">
        <v>1</v>
      </c>
      <c r="AL12">
        <v>34.75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173</v>
      </c>
      <c r="AU12" t="s">
        <v>31</v>
      </c>
      <c r="AV12">
        <v>1</v>
      </c>
      <c r="AW12">
        <v>2</v>
      </c>
      <c r="AX12">
        <v>46416869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Y12*Source!I31</f>
        <v>0</v>
      </c>
      <c r="CY12">
        <f>AD12</f>
        <v>258.19</v>
      </c>
      <c r="CZ12">
        <f>AH12</f>
        <v>7.43</v>
      </c>
      <c r="DA12">
        <f>AL12</f>
        <v>34.75</v>
      </c>
      <c r="DB12">
        <f t="shared" si="0"/>
        <v>1478.1985</v>
      </c>
      <c r="DC12">
        <f t="shared" si="1"/>
        <v>0</v>
      </c>
    </row>
    <row r="13" spans="1:107" x14ac:dyDescent="0.2">
      <c r="A13">
        <f>ROW(Source!A31)</f>
        <v>31</v>
      </c>
      <c r="B13">
        <v>46416371</v>
      </c>
      <c r="C13">
        <v>46416863</v>
      </c>
      <c r="D13">
        <v>121548</v>
      </c>
      <c r="E13">
        <v>1</v>
      </c>
      <c r="F13">
        <v>1</v>
      </c>
      <c r="G13">
        <v>1</v>
      </c>
      <c r="H13">
        <v>1</v>
      </c>
      <c r="I13" t="s">
        <v>26</v>
      </c>
      <c r="J13" t="s">
        <v>3</v>
      </c>
      <c r="K13" t="s">
        <v>388</v>
      </c>
      <c r="L13">
        <v>608254</v>
      </c>
      <c r="N13">
        <v>1013</v>
      </c>
      <c r="O13" t="s">
        <v>389</v>
      </c>
      <c r="P13" t="s">
        <v>389</v>
      </c>
      <c r="Q13">
        <v>1</v>
      </c>
      <c r="W13">
        <v>0</v>
      </c>
      <c r="X13">
        <v>-185737400</v>
      </c>
      <c r="Y13">
        <v>10.327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34.75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8.98</v>
      </c>
      <c r="AU13" t="s">
        <v>47</v>
      </c>
      <c r="AV13">
        <v>2</v>
      </c>
      <c r="AW13">
        <v>2</v>
      </c>
      <c r="AX13">
        <v>46416870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Y13*Source!I31</f>
        <v>0</v>
      </c>
      <c r="CY13">
        <f>AD13</f>
        <v>0</v>
      </c>
      <c r="CZ13">
        <f>AH13</f>
        <v>0</v>
      </c>
      <c r="DA13">
        <f>AL13</f>
        <v>1</v>
      </c>
      <c r="DB13">
        <f t="shared" si="0"/>
        <v>0</v>
      </c>
      <c r="DC13">
        <f t="shared" si="1"/>
        <v>0</v>
      </c>
    </row>
    <row r="14" spans="1:107" x14ac:dyDescent="0.2">
      <c r="A14">
        <f>ROW(Source!A31)</f>
        <v>31</v>
      </c>
      <c r="B14">
        <v>46416371</v>
      </c>
      <c r="C14">
        <v>46416863</v>
      </c>
      <c r="D14">
        <v>42567808</v>
      </c>
      <c r="E14">
        <v>1</v>
      </c>
      <c r="F14">
        <v>1</v>
      </c>
      <c r="G14">
        <v>1</v>
      </c>
      <c r="H14">
        <v>2</v>
      </c>
      <c r="I14" t="s">
        <v>415</v>
      </c>
      <c r="J14" t="s">
        <v>416</v>
      </c>
      <c r="K14" t="s">
        <v>417</v>
      </c>
      <c r="L14">
        <v>1368</v>
      </c>
      <c r="N14">
        <v>1011</v>
      </c>
      <c r="O14" t="s">
        <v>393</v>
      </c>
      <c r="P14" t="s">
        <v>393</v>
      </c>
      <c r="Q14">
        <v>1</v>
      </c>
      <c r="W14">
        <v>0</v>
      </c>
      <c r="X14">
        <v>-473875192</v>
      </c>
      <c r="Y14">
        <v>10.051</v>
      </c>
      <c r="AA14">
        <v>0</v>
      </c>
      <c r="AB14">
        <v>704.74</v>
      </c>
      <c r="AC14">
        <v>376.69</v>
      </c>
      <c r="AD14">
        <v>0</v>
      </c>
      <c r="AE14">
        <v>0</v>
      </c>
      <c r="AF14">
        <v>52.75</v>
      </c>
      <c r="AG14">
        <v>10.84</v>
      </c>
      <c r="AH14">
        <v>0</v>
      </c>
      <c r="AI14">
        <v>1</v>
      </c>
      <c r="AJ14">
        <v>13.36</v>
      </c>
      <c r="AK14">
        <v>34.75</v>
      </c>
      <c r="AL14">
        <v>1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8.74</v>
      </c>
      <c r="AU14" t="s">
        <v>47</v>
      </c>
      <c r="AV14">
        <v>0</v>
      </c>
      <c r="AW14">
        <v>2</v>
      </c>
      <c r="AX14">
        <v>46416871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Y14*Source!I31</f>
        <v>0</v>
      </c>
      <c r="CY14">
        <f>AB14</f>
        <v>704.74</v>
      </c>
      <c r="CZ14">
        <f>AF14</f>
        <v>52.75</v>
      </c>
      <c r="DA14">
        <f>AJ14</f>
        <v>13.36</v>
      </c>
      <c r="DB14">
        <f t="shared" si="0"/>
        <v>530.19600000000003</v>
      </c>
      <c r="DC14">
        <f t="shared" si="1"/>
        <v>108.95099999999999</v>
      </c>
    </row>
    <row r="15" spans="1:107" x14ac:dyDescent="0.2">
      <c r="A15">
        <f>ROW(Source!A31)</f>
        <v>31</v>
      </c>
      <c r="B15">
        <v>46416371</v>
      </c>
      <c r="C15">
        <v>46416863</v>
      </c>
      <c r="D15">
        <v>42567921</v>
      </c>
      <c r="E15">
        <v>1</v>
      </c>
      <c r="F15">
        <v>1</v>
      </c>
      <c r="G15">
        <v>1</v>
      </c>
      <c r="H15">
        <v>2</v>
      </c>
      <c r="I15" t="s">
        <v>410</v>
      </c>
      <c r="J15" t="s">
        <v>411</v>
      </c>
      <c r="K15" t="s">
        <v>412</v>
      </c>
      <c r="L15">
        <v>1368</v>
      </c>
      <c r="N15">
        <v>1011</v>
      </c>
      <c r="O15" t="s">
        <v>393</v>
      </c>
      <c r="P15" t="s">
        <v>393</v>
      </c>
      <c r="Q15">
        <v>1</v>
      </c>
      <c r="W15">
        <v>0</v>
      </c>
      <c r="X15">
        <v>-1580422552</v>
      </c>
      <c r="Y15">
        <v>0.27599999999999997</v>
      </c>
      <c r="AA15">
        <v>0</v>
      </c>
      <c r="AB15">
        <v>647.83000000000004</v>
      </c>
      <c r="AC15">
        <v>326.64999999999998</v>
      </c>
      <c r="AD15">
        <v>0</v>
      </c>
      <c r="AE15">
        <v>0</v>
      </c>
      <c r="AF15">
        <v>48.49</v>
      </c>
      <c r="AG15">
        <v>9.4</v>
      </c>
      <c r="AH15">
        <v>0</v>
      </c>
      <c r="AI15">
        <v>1</v>
      </c>
      <c r="AJ15">
        <v>13.36</v>
      </c>
      <c r="AK15">
        <v>34.75</v>
      </c>
      <c r="AL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0.24</v>
      </c>
      <c r="AU15" t="s">
        <v>47</v>
      </c>
      <c r="AV15">
        <v>0</v>
      </c>
      <c r="AW15">
        <v>2</v>
      </c>
      <c r="AX15">
        <v>46416872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Y15*Source!I31</f>
        <v>0</v>
      </c>
      <c r="CY15">
        <f>AB15</f>
        <v>647.83000000000004</v>
      </c>
      <c r="CZ15">
        <f>AF15</f>
        <v>48.49</v>
      </c>
      <c r="DA15">
        <f>AJ15</f>
        <v>13.36</v>
      </c>
      <c r="DB15">
        <f t="shared" si="0"/>
        <v>13.385999999999999</v>
      </c>
      <c r="DC15">
        <f t="shared" si="1"/>
        <v>2.5990000000000002</v>
      </c>
    </row>
    <row r="16" spans="1:107" x14ac:dyDescent="0.2">
      <c r="A16">
        <f>ROW(Source!A31)</f>
        <v>31</v>
      </c>
      <c r="B16">
        <v>46416371</v>
      </c>
      <c r="C16">
        <v>46416863</v>
      </c>
      <c r="D16">
        <v>42570815</v>
      </c>
      <c r="E16">
        <v>1</v>
      </c>
      <c r="F16">
        <v>1</v>
      </c>
      <c r="G16">
        <v>1</v>
      </c>
      <c r="H16">
        <v>2</v>
      </c>
      <c r="I16" t="s">
        <v>418</v>
      </c>
      <c r="J16" t="s">
        <v>419</v>
      </c>
      <c r="K16" t="s">
        <v>420</v>
      </c>
      <c r="L16">
        <v>1368</v>
      </c>
      <c r="N16">
        <v>1011</v>
      </c>
      <c r="O16" t="s">
        <v>393</v>
      </c>
      <c r="P16" t="s">
        <v>393</v>
      </c>
      <c r="Q16">
        <v>1</v>
      </c>
      <c r="W16">
        <v>0</v>
      </c>
      <c r="X16">
        <v>1461961401</v>
      </c>
      <c r="Y16">
        <v>10.051</v>
      </c>
      <c r="AA16">
        <v>0</v>
      </c>
      <c r="AB16">
        <v>846.76</v>
      </c>
      <c r="AC16">
        <v>376.69</v>
      </c>
      <c r="AD16">
        <v>0</v>
      </c>
      <c r="AE16">
        <v>0</v>
      </c>
      <c r="AF16">
        <v>63.38</v>
      </c>
      <c r="AG16">
        <v>10.84</v>
      </c>
      <c r="AH16">
        <v>0</v>
      </c>
      <c r="AI16">
        <v>1</v>
      </c>
      <c r="AJ16">
        <v>13.36</v>
      </c>
      <c r="AK16">
        <v>34.75</v>
      </c>
      <c r="AL16">
        <v>1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8.74</v>
      </c>
      <c r="AU16" t="s">
        <v>47</v>
      </c>
      <c r="AV16">
        <v>0</v>
      </c>
      <c r="AW16">
        <v>2</v>
      </c>
      <c r="AX16">
        <v>46416873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Y16*Source!I31</f>
        <v>0</v>
      </c>
      <c r="CY16">
        <f>AB16</f>
        <v>846.76</v>
      </c>
      <c r="CZ16">
        <f>AF16</f>
        <v>63.38</v>
      </c>
      <c r="DA16">
        <f>AJ16</f>
        <v>13.36</v>
      </c>
      <c r="DB16">
        <f t="shared" si="0"/>
        <v>637.03099999999995</v>
      </c>
      <c r="DC16">
        <f t="shared" si="1"/>
        <v>108.95099999999999</v>
      </c>
    </row>
    <row r="17" spans="1:107" x14ac:dyDescent="0.2">
      <c r="A17">
        <f>ROW(Source!A32)</f>
        <v>32</v>
      </c>
      <c r="B17">
        <v>46416371</v>
      </c>
      <c r="C17">
        <v>46416874</v>
      </c>
      <c r="D17">
        <v>42643721</v>
      </c>
      <c r="E17">
        <v>1</v>
      </c>
      <c r="F17">
        <v>1</v>
      </c>
      <c r="G17">
        <v>1</v>
      </c>
      <c r="H17">
        <v>1</v>
      </c>
      <c r="I17" t="s">
        <v>413</v>
      </c>
      <c r="J17" t="s">
        <v>3</v>
      </c>
      <c r="K17" t="s">
        <v>414</v>
      </c>
      <c r="L17">
        <v>1369</v>
      </c>
      <c r="N17">
        <v>1013</v>
      </c>
      <c r="O17" t="s">
        <v>387</v>
      </c>
      <c r="P17" t="s">
        <v>387</v>
      </c>
      <c r="Q17">
        <v>1</v>
      </c>
      <c r="W17">
        <v>0</v>
      </c>
      <c r="X17">
        <v>1305698964</v>
      </c>
      <c r="Y17">
        <v>198.95</v>
      </c>
      <c r="AA17">
        <v>0</v>
      </c>
      <c r="AB17">
        <v>0</v>
      </c>
      <c r="AC17">
        <v>0</v>
      </c>
      <c r="AD17">
        <v>258.19</v>
      </c>
      <c r="AE17">
        <v>0</v>
      </c>
      <c r="AF17">
        <v>0</v>
      </c>
      <c r="AG17">
        <v>0</v>
      </c>
      <c r="AH17">
        <v>7.43</v>
      </c>
      <c r="AI17">
        <v>1</v>
      </c>
      <c r="AJ17">
        <v>1</v>
      </c>
      <c r="AK17">
        <v>1</v>
      </c>
      <c r="AL17">
        <v>34.75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173</v>
      </c>
      <c r="AU17" t="s">
        <v>31</v>
      </c>
      <c r="AV17">
        <v>1</v>
      </c>
      <c r="AW17">
        <v>2</v>
      </c>
      <c r="AX17">
        <v>46416880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Y17*Source!I32</f>
        <v>0</v>
      </c>
      <c r="CY17">
        <f>AD17</f>
        <v>258.19</v>
      </c>
      <c r="CZ17">
        <f>AH17</f>
        <v>7.43</v>
      </c>
      <c r="DA17">
        <f>AL17</f>
        <v>34.75</v>
      </c>
      <c r="DB17">
        <f t="shared" si="0"/>
        <v>1478.1985</v>
      </c>
      <c r="DC17">
        <f t="shared" si="1"/>
        <v>0</v>
      </c>
    </row>
    <row r="18" spans="1:107" x14ac:dyDescent="0.2">
      <c r="A18">
        <f>ROW(Source!A32)</f>
        <v>32</v>
      </c>
      <c r="B18">
        <v>46416371</v>
      </c>
      <c r="C18">
        <v>46416874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26</v>
      </c>
      <c r="J18" t="s">
        <v>3</v>
      </c>
      <c r="K18" t="s">
        <v>388</v>
      </c>
      <c r="L18">
        <v>608254</v>
      </c>
      <c r="N18">
        <v>1013</v>
      </c>
      <c r="O18" t="s">
        <v>389</v>
      </c>
      <c r="P18" t="s">
        <v>389</v>
      </c>
      <c r="Q18">
        <v>1</v>
      </c>
      <c r="W18">
        <v>0</v>
      </c>
      <c r="X18">
        <v>-185737400</v>
      </c>
      <c r="Y18">
        <v>10.327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34.75</v>
      </c>
      <c r="AL18">
        <v>1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8.98</v>
      </c>
      <c r="AU18" t="s">
        <v>47</v>
      </c>
      <c r="AV18">
        <v>2</v>
      </c>
      <c r="AW18">
        <v>2</v>
      </c>
      <c r="AX18">
        <v>46416881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Y18*Source!I32</f>
        <v>0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 x14ac:dyDescent="0.2">
      <c r="A19">
        <f>ROW(Source!A32)</f>
        <v>32</v>
      </c>
      <c r="B19">
        <v>46416371</v>
      </c>
      <c r="C19">
        <v>46416874</v>
      </c>
      <c r="D19">
        <v>42567808</v>
      </c>
      <c r="E19">
        <v>1</v>
      </c>
      <c r="F19">
        <v>1</v>
      </c>
      <c r="G19">
        <v>1</v>
      </c>
      <c r="H19">
        <v>2</v>
      </c>
      <c r="I19" t="s">
        <v>415</v>
      </c>
      <c r="J19" t="s">
        <v>416</v>
      </c>
      <c r="K19" t="s">
        <v>417</v>
      </c>
      <c r="L19">
        <v>1368</v>
      </c>
      <c r="N19">
        <v>1011</v>
      </c>
      <c r="O19" t="s">
        <v>393</v>
      </c>
      <c r="P19" t="s">
        <v>393</v>
      </c>
      <c r="Q19">
        <v>1</v>
      </c>
      <c r="W19">
        <v>0</v>
      </c>
      <c r="X19">
        <v>-473875192</v>
      </c>
      <c r="Y19">
        <v>10.051</v>
      </c>
      <c r="AA19">
        <v>0</v>
      </c>
      <c r="AB19">
        <v>704.74</v>
      </c>
      <c r="AC19">
        <v>376.69</v>
      </c>
      <c r="AD19">
        <v>0</v>
      </c>
      <c r="AE19">
        <v>0</v>
      </c>
      <c r="AF19">
        <v>52.75</v>
      </c>
      <c r="AG19">
        <v>10.84</v>
      </c>
      <c r="AH19">
        <v>0</v>
      </c>
      <c r="AI19">
        <v>1</v>
      </c>
      <c r="AJ19">
        <v>13.36</v>
      </c>
      <c r="AK19">
        <v>34.75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8.74</v>
      </c>
      <c r="AU19" t="s">
        <v>47</v>
      </c>
      <c r="AV19">
        <v>0</v>
      </c>
      <c r="AW19">
        <v>2</v>
      </c>
      <c r="AX19">
        <v>46416882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Y19*Source!I32</f>
        <v>0</v>
      </c>
      <c r="CY19">
        <f>AB19</f>
        <v>704.74</v>
      </c>
      <c r="CZ19">
        <f>AF19</f>
        <v>52.75</v>
      </c>
      <c r="DA19">
        <f>AJ19</f>
        <v>13.36</v>
      </c>
      <c r="DB19">
        <f t="shared" si="0"/>
        <v>530.19600000000003</v>
      </c>
      <c r="DC19">
        <f t="shared" si="1"/>
        <v>108.95099999999999</v>
      </c>
    </row>
    <row r="20" spans="1:107" x14ac:dyDescent="0.2">
      <c r="A20">
        <f>ROW(Source!A32)</f>
        <v>32</v>
      </c>
      <c r="B20">
        <v>46416371</v>
      </c>
      <c r="C20">
        <v>46416874</v>
      </c>
      <c r="D20">
        <v>42567921</v>
      </c>
      <c r="E20">
        <v>1</v>
      </c>
      <c r="F20">
        <v>1</v>
      </c>
      <c r="G20">
        <v>1</v>
      </c>
      <c r="H20">
        <v>2</v>
      </c>
      <c r="I20" t="s">
        <v>410</v>
      </c>
      <c r="J20" t="s">
        <v>411</v>
      </c>
      <c r="K20" t="s">
        <v>412</v>
      </c>
      <c r="L20">
        <v>1368</v>
      </c>
      <c r="N20">
        <v>1011</v>
      </c>
      <c r="O20" t="s">
        <v>393</v>
      </c>
      <c r="P20" t="s">
        <v>393</v>
      </c>
      <c r="Q20">
        <v>1</v>
      </c>
      <c r="W20">
        <v>0</v>
      </c>
      <c r="X20">
        <v>-1580422552</v>
      </c>
      <c r="Y20">
        <v>0.27599999999999997</v>
      </c>
      <c r="AA20">
        <v>0</v>
      </c>
      <c r="AB20">
        <v>647.83000000000004</v>
      </c>
      <c r="AC20">
        <v>326.64999999999998</v>
      </c>
      <c r="AD20">
        <v>0</v>
      </c>
      <c r="AE20">
        <v>0</v>
      </c>
      <c r="AF20">
        <v>48.49</v>
      </c>
      <c r="AG20">
        <v>9.4</v>
      </c>
      <c r="AH20">
        <v>0</v>
      </c>
      <c r="AI20">
        <v>1</v>
      </c>
      <c r="AJ20">
        <v>13.36</v>
      </c>
      <c r="AK20">
        <v>34.75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0.24</v>
      </c>
      <c r="AU20" t="s">
        <v>47</v>
      </c>
      <c r="AV20">
        <v>0</v>
      </c>
      <c r="AW20">
        <v>2</v>
      </c>
      <c r="AX20">
        <v>46416883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Y20*Source!I32</f>
        <v>0</v>
      </c>
      <c r="CY20">
        <f>AB20</f>
        <v>647.83000000000004</v>
      </c>
      <c r="CZ20">
        <f>AF20</f>
        <v>48.49</v>
      </c>
      <c r="DA20">
        <f>AJ20</f>
        <v>13.36</v>
      </c>
      <c r="DB20">
        <f t="shared" si="0"/>
        <v>13.385999999999999</v>
      </c>
      <c r="DC20">
        <f t="shared" si="1"/>
        <v>2.5990000000000002</v>
      </c>
    </row>
    <row r="21" spans="1:107" x14ac:dyDescent="0.2">
      <c r="A21">
        <f>ROW(Source!A32)</f>
        <v>32</v>
      </c>
      <c r="B21">
        <v>46416371</v>
      </c>
      <c r="C21">
        <v>46416874</v>
      </c>
      <c r="D21">
        <v>42570815</v>
      </c>
      <c r="E21">
        <v>1</v>
      </c>
      <c r="F21">
        <v>1</v>
      </c>
      <c r="G21">
        <v>1</v>
      </c>
      <c r="H21">
        <v>2</v>
      </c>
      <c r="I21" t="s">
        <v>418</v>
      </c>
      <c r="J21" t="s">
        <v>419</v>
      </c>
      <c r="K21" t="s">
        <v>420</v>
      </c>
      <c r="L21">
        <v>1368</v>
      </c>
      <c r="N21">
        <v>1011</v>
      </c>
      <c r="O21" t="s">
        <v>393</v>
      </c>
      <c r="P21" t="s">
        <v>393</v>
      </c>
      <c r="Q21">
        <v>1</v>
      </c>
      <c r="W21">
        <v>0</v>
      </c>
      <c r="X21">
        <v>1461961401</v>
      </c>
      <c r="Y21">
        <v>10.051</v>
      </c>
      <c r="AA21">
        <v>0</v>
      </c>
      <c r="AB21">
        <v>846.76</v>
      </c>
      <c r="AC21">
        <v>376.69</v>
      </c>
      <c r="AD21">
        <v>0</v>
      </c>
      <c r="AE21">
        <v>0</v>
      </c>
      <c r="AF21">
        <v>63.38</v>
      </c>
      <c r="AG21">
        <v>10.84</v>
      </c>
      <c r="AH21">
        <v>0</v>
      </c>
      <c r="AI21">
        <v>1</v>
      </c>
      <c r="AJ21">
        <v>13.36</v>
      </c>
      <c r="AK21">
        <v>34.75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8.74</v>
      </c>
      <c r="AU21" t="s">
        <v>47</v>
      </c>
      <c r="AV21">
        <v>0</v>
      </c>
      <c r="AW21">
        <v>2</v>
      </c>
      <c r="AX21">
        <v>46416884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Y21*Source!I32</f>
        <v>0</v>
      </c>
      <c r="CY21">
        <f>AB21</f>
        <v>846.76</v>
      </c>
      <c r="CZ21">
        <f>AF21</f>
        <v>63.38</v>
      </c>
      <c r="DA21">
        <f>AJ21</f>
        <v>13.36</v>
      </c>
      <c r="DB21">
        <f t="shared" si="0"/>
        <v>637.03099999999995</v>
      </c>
      <c r="DC21">
        <f t="shared" si="1"/>
        <v>108.95099999999999</v>
      </c>
    </row>
    <row r="22" spans="1:107" x14ac:dyDescent="0.2">
      <c r="A22">
        <f>ROW(Source!A33)</f>
        <v>33</v>
      </c>
      <c r="B22">
        <v>46416371</v>
      </c>
      <c r="C22">
        <v>46416885</v>
      </c>
      <c r="D22">
        <v>42640621</v>
      </c>
      <c r="E22">
        <v>1</v>
      </c>
      <c r="F22">
        <v>1</v>
      </c>
      <c r="G22">
        <v>1</v>
      </c>
      <c r="H22">
        <v>1</v>
      </c>
      <c r="I22" t="s">
        <v>406</v>
      </c>
      <c r="J22" t="s">
        <v>3</v>
      </c>
      <c r="K22" t="s">
        <v>407</v>
      </c>
      <c r="L22">
        <v>1369</v>
      </c>
      <c r="N22">
        <v>1013</v>
      </c>
      <c r="O22" t="s">
        <v>387</v>
      </c>
      <c r="P22" t="s">
        <v>387</v>
      </c>
      <c r="Q22">
        <v>1</v>
      </c>
      <c r="W22">
        <v>0</v>
      </c>
      <c r="X22">
        <v>1946641599</v>
      </c>
      <c r="Y22">
        <v>36.018000000000001</v>
      </c>
      <c r="AA22">
        <v>0</v>
      </c>
      <c r="AB22">
        <v>0</v>
      </c>
      <c r="AC22">
        <v>0</v>
      </c>
      <c r="AD22">
        <v>253.33</v>
      </c>
      <c r="AE22">
        <v>0</v>
      </c>
      <c r="AF22">
        <v>0</v>
      </c>
      <c r="AG22">
        <v>0</v>
      </c>
      <c r="AH22">
        <v>7.29</v>
      </c>
      <c r="AI22">
        <v>1</v>
      </c>
      <c r="AJ22">
        <v>1</v>
      </c>
      <c r="AK22">
        <v>1</v>
      </c>
      <c r="AL22">
        <v>34.75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31.32</v>
      </c>
      <c r="AU22" t="s">
        <v>31</v>
      </c>
      <c r="AV22">
        <v>1</v>
      </c>
      <c r="AW22">
        <v>2</v>
      </c>
      <c r="AX22">
        <v>46416891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Y22*Source!I33</f>
        <v>0</v>
      </c>
      <c r="CY22">
        <f>AD22</f>
        <v>253.33</v>
      </c>
      <c r="CZ22">
        <f>AH22</f>
        <v>7.29</v>
      </c>
      <c r="DA22">
        <f>AL22</f>
        <v>34.75</v>
      </c>
      <c r="DB22">
        <f t="shared" si="0"/>
        <v>262.56799999999998</v>
      </c>
      <c r="DC22">
        <f t="shared" si="1"/>
        <v>0</v>
      </c>
    </row>
    <row r="23" spans="1:107" x14ac:dyDescent="0.2">
      <c r="A23">
        <f>ROW(Source!A33)</f>
        <v>33</v>
      </c>
      <c r="B23">
        <v>46416371</v>
      </c>
      <c r="C23">
        <v>46416885</v>
      </c>
      <c r="D23">
        <v>121548</v>
      </c>
      <c r="E23">
        <v>1</v>
      </c>
      <c r="F23">
        <v>1</v>
      </c>
      <c r="G23">
        <v>1</v>
      </c>
      <c r="H23">
        <v>1</v>
      </c>
      <c r="I23" t="s">
        <v>26</v>
      </c>
      <c r="J23" t="s">
        <v>3</v>
      </c>
      <c r="K23" t="s">
        <v>388</v>
      </c>
      <c r="L23">
        <v>608254</v>
      </c>
      <c r="N23">
        <v>1013</v>
      </c>
      <c r="O23" t="s">
        <v>389</v>
      </c>
      <c r="P23" t="s">
        <v>389</v>
      </c>
      <c r="Q23">
        <v>1</v>
      </c>
      <c r="W23">
        <v>0</v>
      </c>
      <c r="X23">
        <v>-185737400</v>
      </c>
      <c r="Y23">
        <v>103.6035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34.75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90.09</v>
      </c>
      <c r="AU23" t="s">
        <v>31</v>
      </c>
      <c r="AV23">
        <v>2</v>
      </c>
      <c r="AW23">
        <v>2</v>
      </c>
      <c r="AX23">
        <v>46416892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Y23*Source!I33</f>
        <v>0</v>
      </c>
      <c r="CY23">
        <f>AD23</f>
        <v>0</v>
      </c>
      <c r="CZ23">
        <f>AH23</f>
        <v>0</v>
      </c>
      <c r="DA23">
        <f>AL23</f>
        <v>1</v>
      </c>
      <c r="DB23">
        <f t="shared" si="0"/>
        <v>0</v>
      </c>
      <c r="DC23">
        <f t="shared" si="1"/>
        <v>0</v>
      </c>
    </row>
    <row r="24" spans="1:107" x14ac:dyDescent="0.2">
      <c r="A24">
        <f>ROW(Source!A33)</f>
        <v>33</v>
      </c>
      <c r="B24">
        <v>46416371</v>
      </c>
      <c r="C24">
        <v>46416885</v>
      </c>
      <c r="D24">
        <v>42567808</v>
      </c>
      <c r="E24">
        <v>1</v>
      </c>
      <c r="F24">
        <v>1</v>
      </c>
      <c r="G24">
        <v>1</v>
      </c>
      <c r="H24">
        <v>2</v>
      </c>
      <c r="I24" t="s">
        <v>415</v>
      </c>
      <c r="J24" t="s">
        <v>416</v>
      </c>
      <c r="K24" t="s">
        <v>417</v>
      </c>
      <c r="L24">
        <v>1368</v>
      </c>
      <c r="N24">
        <v>1011</v>
      </c>
      <c r="O24" t="s">
        <v>393</v>
      </c>
      <c r="P24" t="s">
        <v>393</v>
      </c>
      <c r="Q24">
        <v>1</v>
      </c>
      <c r="W24">
        <v>0</v>
      </c>
      <c r="X24">
        <v>-473875192</v>
      </c>
      <c r="Y24">
        <v>83.995999999999995</v>
      </c>
      <c r="AA24">
        <v>0</v>
      </c>
      <c r="AB24">
        <v>704.74</v>
      </c>
      <c r="AC24">
        <v>376.69</v>
      </c>
      <c r="AD24">
        <v>0</v>
      </c>
      <c r="AE24">
        <v>0</v>
      </c>
      <c r="AF24">
        <v>52.75</v>
      </c>
      <c r="AG24">
        <v>10.84</v>
      </c>
      <c r="AH24">
        <v>0</v>
      </c>
      <c r="AI24">
        <v>1</v>
      </c>
      <c r="AJ24">
        <v>13.36</v>
      </c>
      <c r="AK24">
        <v>34.75</v>
      </c>
      <c r="AL24">
        <v>1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73.040000000000006</v>
      </c>
      <c r="AU24" t="s">
        <v>31</v>
      </c>
      <c r="AV24">
        <v>0</v>
      </c>
      <c r="AW24">
        <v>2</v>
      </c>
      <c r="AX24">
        <v>46416893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Y24*Source!I33</f>
        <v>0</v>
      </c>
      <c r="CY24">
        <f>AB24</f>
        <v>704.74</v>
      </c>
      <c r="CZ24">
        <f>AF24</f>
        <v>52.75</v>
      </c>
      <c r="DA24">
        <f>AJ24</f>
        <v>13.36</v>
      </c>
      <c r="DB24">
        <f t="shared" si="0"/>
        <v>4430.7889999999998</v>
      </c>
      <c r="DC24">
        <f t="shared" si="1"/>
        <v>910.51250000000005</v>
      </c>
    </row>
    <row r="25" spans="1:107" x14ac:dyDescent="0.2">
      <c r="A25">
        <f>ROW(Source!A33)</f>
        <v>33</v>
      </c>
      <c r="B25">
        <v>46416371</v>
      </c>
      <c r="C25">
        <v>46416885</v>
      </c>
      <c r="D25">
        <v>42567923</v>
      </c>
      <c r="E25">
        <v>1</v>
      </c>
      <c r="F25">
        <v>1</v>
      </c>
      <c r="G25">
        <v>1</v>
      </c>
      <c r="H25">
        <v>2</v>
      </c>
      <c r="I25" t="s">
        <v>421</v>
      </c>
      <c r="J25" t="s">
        <v>422</v>
      </c>
      <c r="K25" t="s">
        <v>423</v>
      </c>
      <c r="L25">
        <v>1368</v>
      </c>
      <c r="N25">
        <v>1011</v>
      </c>
      <c r="O25" t="s">
        <v>393</v>
      </c>
      <c r="P25" t="s">
        <v>393</v>
      </c>
      <c r="Q25">
        <v>1</v>
      </c>
      <c r="W25">
        <v>0</v>
      </c>
      <c r="X25">
        <v>-434802813</v>
      </c>
      <c r="Y25">
        <v>19.607499999999998</v>
      </c>
      <c r="AA25">
        <v>0</v>
      </c>
      <c r="AB25">
        <v>838.21</v>
      </c>
      <c r="AC25">
        <v>376.69</v>
      </c>
      <c r="AD25">
        <v>0</v>
      </c>
      <c r="AE25">
        <v>0</v>
      </c>
      <c r="AF25">
        <v>62.74</v>
      </c>
      <c r="AG25">
        <v>10.84</v>
      </c>
      <c r="AH25">
        <v>0</v>
      </c>
      <c r="AI25">
        <v>1</v>
      </c>
      <c r="AJ25">
        <v>13.36</v>
      </c>
      <c r="AK25">
        <v>34.75</v>
      </c>
      <c r="AL25">
        <v>1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17.05</v>
      </c>
      <c r="AU25" t="s">
        <v>31</v>
      </c>
      <c r="AV25">
        <v>0</v>
      </c>
      <c r="AW25">
        <v>2</v>
      </c>
      <c r="AX25">
        <v>46416894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Y25*Source!I33</f>
        <v>0</v>
      </c>
      <c r="CY25">
        <f>AB25</f>
        <v>838.21</v>
      </c>
      <c r="CZ25">
        <f>AF25</f>
        <v>62.74</v>
      </c>
      <c r="DA25">
        <f>AJ25</f>
        <v>13.36</v>
      </c>
      <c r="DB25">
        <f t="shared" si="0"/>
        <v>1230.1780000000001</v>
      </c>
      <c r="DC25">
        <f t="shared" si="1"/>
        <v>212.54300000000001</v>
      </c>
    </row>
    <row r="26" spans="1:107" x14ac:dyDescent="0.2">
      <c r="A26">
        <f>ROW(Source!A33)</f>
        <v>33</v>
      </c>
      <c r="B26">
        <v>46416371</v>
      </c>
      <c r="C26">
        <v>46416885</v>
      </c>
      <c r="D26">
        <v>42581247</v>
      </c>
      <c r="E26">
        <v>1</v>
      </c>
      <c r="F26">
        <v>1</v>
      </c>
      <c r="G26">
        <v>1</v>
      </c>
      <c r="H26">
        <v>3</v>
      </c>
      <c r="I26" t="s">
        <v>424</v>
      </c>
      <c r="J26" t="s">
        <v>425</v>
      </c>
      <c r="K26" t="s">
        <v>426</v>
      </c>
      <c r="L26">
        <v>1339</v>
      </c>
      <c r="N26">
        <v>1007</v>
      </c>
      <c r="O26" t="s">
        <v>139</v>
      </c>
      <c r="P26" t="s">
        <v>139</v>
      </c>
      <c r="Q26">
        <v>1</v>
      </c>
      <c r="W26">
        <v>0</v>
      </c>
      <c r="X26">
        <v>1438529792</v>
      </c>
      <c r="Y26">
        <v>0.04</v>
      </c>
      <c r="AA26">
        <v>965.54</v>
      </c>
      <c r="AB26">
        <v>0</v>
      </c>
      <c r="AC26">
        <v>0</v>
      </c>
      <c r="AD26">
        <v>0</v>
      </c>
      <c r="AE26">
        <v>116.47</v>
      </c>
      <c r="AF26">
        <v>0</v>
      </c>
      <c r="AG26">
        <v>0</v>
      </c>
      <c r="AH26">
        <v>0</v>
      </c>
      <c r="AI26">
        <v>8.2899999999999991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0.04</v>
      </c>
      <c r="AU26" t="s">
        <v>3</v>
      </c>
      <c r="AV26">
        <v>0</v>
      </c>
      <c r="AW26">
        <v>2</v>
      </c>
      <c r="AX26">
        <v>46416895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Y26*Source!I33</f>
        <v>0</v>
      </c>
      <c r="CY26">
        <f>AA26</f>
        <v>965.54</v>
      </c>
      <c r="CZ26">
        <f>AE26</f>
        <v>116.47</v>
      </c>
      <c r="DA26">
        <f>AI26</f>
        <v>8.2899999999999991</v>
      </c>
      <c r="DB26">
        <f>ROUND(ROUND(AT26*CZ26,2),6)</f>
        <v>4.66</v>
      </c>
      <c r="DC26">
        <f>ROUND(ROUND(AT26*AG26,2),6)</f>
        <v>0</v>
      </c>
    </row>
    <row r="27" spans="1:107" x14ac:dyDescent="0.2">
      <c r="A27">
        <f>ROW(Source!A75)</f>
        <v>75</v>
      </c>
      <c r="B27">
        <v>46416371</v>
      </c>
      <c r="C27">
        <v>46468026</v>
      </c>
      <c r="D27">
        <v>42640871</v>
      </c>
      <c r="E27">
        <v>1</v>
      </c>
      <c r="F27">
        <v>1</v>
      </c>
      <c r="G27">
        <v>1</v>
      </c>
      <c r="H27">
        <v>1</v>
      </c>
      <c r="I27" t="s">
        <v>385</v>
      </c>
      <c r="J27" t="s">
        <v>3</v>
      </c>
      <c r="K27" t="s">
        <v>386</v>
      </c>
      <c r="L27">
        <v>1369</v>
      </c>
      <c r="N27">
        <v>1013</v>
      </c>
      <c r="O27" t="s">
        <v>387</v>
      </c>
      <c r="P27" t="s">
        <v>387</v>
      </c>
      <c r="Q27">
        <v>1</v>
      </c>
      <c r="W27">
        <v>0</v>
      </c>
      <c r="X27">
        <v>110868128</v>
      </c>
      <c r="Y27">
        <v>14.409499999999998</v>
      </c>
      <c r="AA27">
        <v>0</v>
      </c>
      <c r="AB27">
        <v>0</v>
      </c>
      <c r="AC27">
        <v>0</v>
      </c>
      <c r="AD27">
        <v>276.95999999999998</v>
      </c>
      <c r="AE27">
        <v>0</v>
      </c>
      <c r="AF27">
        <v>0</v>
      </c>
      <c r="AG27">
        <v>0</v>
      </c>
      <c r="AH27">
        <v>7.97</v>
      </c>
      <c r="AI27">
        <v>1</v>
      </c>
      <c r="AJ27">
        <v>1</v>
      </c>
      <c r="AK27">
        <v>1</v>
      </c>
      <c r="AL27">
        <v>34.75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12.53</v>
      </c>
      <c r="AU27" t="s">
        <v>31</v>
      </c>
      <c r="AV27">
        <v>1</v>
      </c>
      <c r="AW27">
        <v>2</v>
      </c>
      <c r="AX27">
        <v>46468027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Y27*Source!I75</f>
        <v>0</v>
      </c>
      <c r="CY27">
        <f>AD27</f>
        <v>276.95999999999998</v>
      </c>
      <c r="CZ27">
        <f>AH27</f>
        <v>7.97</v>
      </c>
      <c r="DA27">
        <f>AL27</f>
        <v>34.75</v>
      </c>
      <c r="DB27">
        <f t="shared" ref="DB27:DB35" si="2">ROUND((ROUND(AT27*CZ27,2)*1.15),6)</f>
        <v>114.839</v>
      </c>
      <c r="DC27">
        <f t="shared" ref="DC27:DC35" si="3">ROUND((ROUND(AT27*AG27,2)*1.15),6)</f>
        <v>0</v>
      </c>
    </row>
    <row r="28" spans="1:107" x14ac:dyDescent="0.2">
      <c r="A28">
        <f>ROW(Source!A75)</f>
        <v>75</v>
      </c>
      <c r="B28">
        <v>46416371</v>
      </c>
      <c r="C28">
        <v>46468026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26</v>
      </c>
      <c r="J28" t="s">
        <v>3</v>
      </c>
      <c r="K28" t="s">
        <v>388</v>
      </c>
      <c r="L28">
        <v>608254</v>
      </c>
      <c r="N28">
        <v>1013</v>
      </c>
      <c r="O28" t="s">
        <v>389</v>
      </c>
      <c r="P28" t="s">
        <v>389</v>
      </c>
      <c r="Q28">
        <v>1</v>
      </c>
      <c r="W28">
        <v>0</v>
      </c>
      <c r="X28">
        <v>-185737400</v>
      </c>
      <c r="Y28">
        <v>3.4959999999999996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34.75</v>
      </c>
      <c r="AL28">
        <v>1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3.04</v>
      </c>
      <c r="AU28" t="s">
        <v>31</v>
      </c>
      <c r="AV28">
        <v>2</v>
      </c>
      <c r="AW28">
        <v>2</v>
      </c>
      <c r="AX28">
        <v>46468028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Y28*Source!I75</f>
        <v>0</v>
      </c>
      <c r="CY28">
        <f>AD28</f>
        <v>0</v>
      </c>
      <c r="CZ28">
        <f>AH28</f>
        <v>0</v>
      </c>
      <c r="DA28">
        <f>AL28</f>
        <v>1</v>
      </c>
      <c r="DB28">
        <f t="shared" si="2"/>
        <v>0</v>
      </c>
      <c r="DC28">
        <f t="shared" si="3"/>
        <v>0</v>
      </c>
    </row>
    <row r="29" spans="1:107" x14ac:dyDescent="0.2">
      <c r="A29">
        <f>ROW(Source!A75)</f>
        <v>75</v>
      </c>
      <c r="B29">
        <v>46416371</v>
      </c>
      <c r="C29">
        <v>46468026</v>
      </c>
      <c r="D29">
        <v>42567659</v>
      </c>
      <c r="E29">
        <v>1</v>
      </c>
      <c r="F29">
        <v>1</v>
      </c>
      <c r="G29">
        <v>1</v>
      </c>
      <c r="H29">
        <v>2</v>
      </c>
      <c r="I29" t="s">
        <v>394</v>
      </c>
      <c r="J29" t="s">
        <v>395</v>
      </c>
      <c r="K29" t="s">
        <v>396</v>
      </c>
      <c r="L29">
        <v>1368</v>
      </c>
      <c r="N29">
        <v>1011</v>
      </c>
      <c r="O29" t="s">
        <v>393</v>
      </c>
      <c r="P29" t="s">
        <v>393</v>
      </c>
      <c r="Q29">
        <v>1</v>
      </c>
      <c r="W29">
        <v>0</v>
      </c>
      <c r="X29">
        <v>-1300877745</v>
      </c>
      <c r="Y29">
        <v>3.4959999999999996</v>
      </c>
      <c r="AA29">
        <v>0</v>
      </c>
      <c r="AB29">
        <v>1320.9</v>
      </c>
      <c r="AC29">
        <v>326.64999999999998</v>
      </c>
      <c r="AD29">
        <v>0</v>
      </c>
      <c r="AE29">
        <v>0</v>
      </c>
      <c r="AF29">
        <v>98.87</v>
      </c>
      <c r="AG29">
        <v>9.4</v>
      </c>
      <c r="AH29">
        <v>0</v>
      </c>
      <c r="AI29">
        <v>1</v>
      </c>
      <c r="AJ29">
        <v>13.36</v>
      </c>
      <c r="AK29">
        <v>34.75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3.04</v>
      </c>
      <c r="AU29" t="s">
        <v>31</v>
      </c>
      <c r="AV29">
        <v>0</v>
      </c>
      <c r="AW29">
        <v>2</v>
      </c>
      <c r="AX29">
        <v>46468029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Y29*Source!I75</f>
        <v>0</v>
      </c>
      <c r="CY29">
        <f>AB29</f>
        <v>1320.9</v>
      </c>
      <c r="CZ29">
        <f>AF29</f>
        <v>98.87</v>
      </c>
      <c r="DA29">
        <f>AJ29</f>
        <v>13.36</v>
      </c>
      <c r="DB29">
        <f t="shared" si="2"/>
        <v>345.64400000000001</v>
      </c>
      <c r="DC29">
        <f t="shared" si="3"/>
        <v>32.866999999999997</v>
      </c>
    </row>
    <row r="30" spans="1:107" x14ac:dyDescent="0.2">
      <c r="A30">
        <f>ROW(Source!A75)</f>
        <v>75</v>
      </c>
      <c r="B30">
        <v>46416371</v>
      </c>
      <c r="C30">
        <v>46468026</v>
      </c>
      <c r="D30">
        <v>42570360</v>
      </c>
      <c r="E30">
        <v>1</v>
      </c>
      <c r="F30">
        <v>1</v>
      </c>
      <c r="G30">
        <v>1</v>
      </c>
      <c r="H30">
        <v>2</v>
      </c>
      <c r="I30" t="s">
        <v>427</v>
      </c>
      <c r="J30" t="s">
        <v>428</v>
      </c>
      <c r="K30" t="s">
        <v>429</v>
      </c>
      <c r="L30">
        <v>1368</v>
      </c>
      <c r="N30">
        <v>1011</v>
      </c>
      <c r="O30" t="s">
        <v>393</v>
      </c>
      <c r="P30" t="s">
        <v>393</v>
      </c>
      <c r="Q30">
        <v>1</v>
      </c>
      <c r="W30">
        <v>0</v>
      </c>
      <c r="X30">
        <v>1534850152</v>
      </c>
      <c r="Y30">
        <v>14.006999999999998</v>
      </c>
      <c r="AA30">
        <v>0</v>
      </c>
      <c r="AB30">
        <v>7.35</v>
      </c>
      <c r="AC30">
        <v>0</v>
      </c>
      <c r="AD30">
        <v>0</v>
      </c>
      <c r="AE30">
        <v>0</v>
      </c>
      <c r="AF30">
        <v>0.55000000000000004</v>
      </c>
      <c r="AG30">
        <v>0</v>
      </c>
      <c r="AH30">
        <v>0</v>
      </c>
      <c r="AI30">
        <v>1</v>
      </c>
      <c r="AJ30">
        <v>13.36</v>
      </c>
      <c r="AK30">
        <v>34.75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12.18</v>
      </c>
      <c r="AU30" t="s">
        <v>31</v>
      </c>
      <c r="AV30">
        <v>0</v>
      </c>
      <c r="AW30">
        <v>2</v>
      </c>
      <c r="AX30">
        <v>46468030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Y30*Source!I75</f>
        <v>0</v>
      </c>
      <c r="CY30">
        <f>AB30</f>
        <v>7.35</v>
      </c>
      <c r="CZ30">
        <f>AF30</f>
        <v>0.55000000000000004</v>
      </c>
      <c r="DA30">
        <f>AJ30</f>
        <v>13.36</v>
      </c>
      <c r="DB30">
        <f t="shared" si="2"/>
        <v>7.7050000000000001</v>
      </c>
      <c r="DC30">
        <f t="shared" si="3"/>
        <v>0</v>
      </c>
    </row>
    <row r="31" spans="1:107" x14ac:dyDescent="0.2">
      <c r="A31">
        <f>ROW(Source!A76)</f>
        <v>76</v>
      </c>
      <c r="B31">
        <v>46416371</v>
      </c>
      <c r="C31">
        <v>46416909</v>
      </c>
      <c r="D31">
        <v>42645178</v>
      </c>
      <c r="E31">
        <v>1</v>
      </c>
      <c r="F31">
        <v>1</v>
      </c>
      <c r="G31">
        <v>1</v>
      </c>
      <c r="H31">
        <v>1</v>
      </c>
      <c r="I31" t="s">
        <v>430</v>
      </c>
      <c r="J31" t="s">
        <v>3</v>
      </c>
      <c r="K31" t="s">
        <v>431</v>
      </c>
      <c r="L31">
        <v>1369</v>
      </c>
      <c r="N31">
        <v>1013</v>
      </c>
      <c r="O31" t="s">
        <v>387</v>
      </c>
      <c r="P31" t="s">
        <v>387</v>
      </c>
      <c r="Q31">
        <v>1</v>
      </c>
      <c r="W31">
        <v>0</v>
      </c>
      <c r="X31">
        <v>230122419</v>
      </c>
      <c r="Y31">
        <v>3.9215</v>
      </c>
      <c r="AA31">
        <v>0</v>
      </c>
      <c r="AB31">
        <v>0</v>
      </c>
      <c r="AC31">
        <v>0</v>
      </c>
      <c r="AD31">
        <v>280.43</v>
      </c>
      <c r="AE31">
        <v>0</v>
      </c>
      <c r="AF31">
        <v>0</v>
      </c>
      <c r="AG31">
        <v>0</v>
      </c>
      <c r="AH31">
        <v>8.07</v>
      </c>
      <c r="AI31">
        <v>1</v>
      </c>
      <c r="AJ31">
        <v>1</v>
      </c>
      <c r="AK31">
        <v>1</v>
      </c>
      <c r="AL31">
        <v>34.75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3.41</v>
      </c>
      <c r="AU31" t="s">
        <v>31</v>
      </c>
      <c r="AV31">
        <v>1</v>
      </c>
      <c r="AW31">
        <v>2</v>
      </c>
      <c r="AX31">
        <v>46416918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Y31*Source!I76</f>
        <v>23.921149999999997</v>
      </c>
      <c r="CY31">
        <f>AD31</f>
        <v>280.43</v>
      </c>
      <c r="CZ31">
        <f>AH31</f>
        <v>8.07</v>
      </c>
      <c r="DA31">
        <f>AL31</f>
        <v>34.75</v>
      </c>
      <c r="DB31">
        <f t="shared" si="2"/>
        <v>31.648</v>
      </c>
      <c r="DC31">
        <f t="shared" si="3"/>
        <v>0</v>
      </c>
    </row>
    <row r="32" spans="1:107" x14ac:dyDescent="0.2">
      <c r="A32">
        <f>ROW(Source!A76)</f>
        <v>76</v>
      </c>
      <c r="B32">
        <v>46416371</v>
      </c>
      <c r="C32">
        <v>46416909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26</v>
      </c>
      <c r="J32" t="s">
        <v>3</v>
      </c>
      <c r="K32" t="s">
        <v>388</v>
      </c>
      <c r="L32">
        <v>608254</v>
      </c>
      <c r="N32">
        <v>1013</v>
      </c>
      <c r="O32" t="s">
        <v>389</v>
      </c>
      <c r="P32" t="s">
        <v>389</v>
      </c>
      <c r="Q32">
        <v>1</v>
      </c>
      <c r="W32">
        <v>0</v>
      </c>
      <c r="X32">
        <v>-185737400</v>
      </c>
      <c r="Y32">
        <v>0.34499999999999997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34.75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0.3</v>
      </c>
      <c r="AU32" t="s">
        <v>31</v>
      </c>
      <c r="AV32">
        <v>2</v>
      </c>
      <c r="AW32">
        <v>2</v>
      </c>
      <c r="AX32">
        <v>46416919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Y32*Source!I76</f>
        <v>2.1044999999999998</v>
      </c>
      <c r="CY32">
        <f>AD32</f>
        <v>0</v>
      </c>
      <c r="CZ32">
        <f>AH32</f>
        <v>0</v>
      </c>
      <c r="DA32">
        <f>AL32</f>
        <v>1</v>
      </c>
      <c r="DB32">
        <f t="shared" si="2"/>
        <v>0</v>
      </c>
      <c r="DC32">
        <f t="shared" si="3"/>
        <v>0</v>
      </c>
    </row>
    <row r="33" spans="1:107" x14ac:dyDescent="0.2">
      <c r="A33">
        <f>ROW(Source!A76)</f>
        <v>76</v>
      </c>
      <c r="B33">
        <v>46416371</v>
      </c>
      <c r="C33">
        <v>46416909</v>
      </c>
      <c r="D33">
        <v>42567318</v>
      </c>
      <c r="E33">
        <v>1</v>
      </c>
      <c r="F33">
        <v>1</v>
      </c>
      <c r="G33">
        <v>1</v>
      </c>
      <c r="H33">
        <v>2</v>
      </c>
      <c r="I33" t="s">
        <v>432</v>
      </c>
      <c r="J33" t="s">
        <v>433</v>
      </c>
      <c r="K33" t="s">
        <v>434</v>
      </c>
      <c r="L33">
        <v>1368</v>
      </c>
      <c r="N33">
        <v>1011</v>
      </c>
      <c r="O33" t="s">
        <v>393</v>
      </c>
      <c r="P33" t="s">
        <v>393</v>
      </c>
      <c r="Q33">
        <v>1</v>
      </c>
      <c r="W33">
        <v>0</v>
      </c>
      <c r="X33">
        <v>-197763218</v>
      </c>
      <c r="Y33">
        <v>9.1999999999999998E-2</v>
      </c>
      <c r="AA33">
        <v>0</v>
      </c>
      <c r="AB33">
        <v>1187.3</v>
      </c>
      <c r="AC33">
        <v>326.64999999999998</v>
      </c>
      <c r="AD33">
        <v>0</v>
      </c>
      <c r="AE33">
        <v>0</v>
      </c>
      <c r="AF33">
        <v>88.87</v>
      </c>
      <c r="AG33">
        <v>9.4</v>
      </c>
      <c r="AH33">
        <v>0</v>
      </c>
      <c r="AI33">
        <v>1</v>
      </c>
      <c r="AJ33">
        <v>13.36</v>
      </c>
      <c r="AK33">
        <v>34.75</v>
      </c>
      <c r="AL33">
        <v>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0.08</v>
      </c>
      <c r="AU33" t="s">
        <v>31</v>
      </c>
      <c r="AV33">
        <v>0</v>
      </c>
      <c r="AW33">
        <v>2</v>
      </c>
      <c r="AX33">
        <v>46416920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Y33*Source!I76</f>
        <v>0.56119999999999992</v>
      </c>
      <c r="CY33">
        <f>AB33</f>
        <v>1187.3</v>
      </c>
      <c r="CZ33">
        <f>AF33</f>
        <v>88.87</v>
      </c>
      <c r="DA33">
        <f>AJ33</f>
        <v>13.36</v>
      </c>
      <c r="DB33">
        <f t="shared" si="2"/>
        <v>8.1765000000000008</v>
      </c>
      <c r="DC33">
        <f t="shared" si="3"/>
        <v>0.86250000000000004</v>
      </c>
    </row>
    <row r="34" spans="1:107" x14ac:dyDescent="0.2">
      <c r="A34">
        <f>ROW(Source!A76)</f>
        <v>76</v>
      </c>
      <c r="B34">
        <v>46416371</v>
      </c>
      <c r="C34">
        <v>46416909</v>
      </c>
      <c r="D34">
        <v>42567659</v>
      </c>
      <c r="E34">
        <v>1</v>
      </c>
      <c r="F34">
        <v>1</v>
      </c>
      <c r="G34">
        <v>1</v>
      </c>
      <c r="H34">
        <v>2</v>
      </c>
      <c r="I34" t="s">
        <v>394</v>
      </c>
      <c r="J34" t="s">
        <v>395</v>
      </c>
      <c r="K34" t="s">
        <v>396</v>
      </c>
      <c r="L34">
        <v>1368</v>
      </c>
      <c r="N34">
        <v>1011</v>
      </c>
      <c r="O34" t="s">
        <v>393</v>
      </c>
      <c r="P34" t="s">
        <v>393</v>
      </c>
      <c r="Q34">
        <v>1</v>
      </c>
      <c r="W34">
        <v>0</v>
      </c>
      <c r="X34">
        <v>-1300877745</v>
      </c>
      <c r="Y34">
        <v>0.253</v>
      </c>
      <c r="AA34">
        <v>0</v>
      </c>
      <c r="AB34">
        <v>1320.9</v>
      </c>
      <c r="AC34">
        <v>326.64999999999998</v>
      </c>
      <c r="AD34">
        <v>0</v>
      </c>
      <c r="AE34">
        <v>0</v>
      </c>
      <c r="AF34">
        <v>98.87</v>
      </c>
      <c r="AG34">
        <v>9.4</v>
      </c>
      <c r="AH34">
        <v>0</v>
      </c>
      <c r="AI34">
        <v>1</v>
      </c>
      <c r="AJ34">
        <v>13.36</v>
      </c>
      <c r="AK34">
        <v>34.75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0.22</v>
      </c>
      <c r="AU34" t="s">
        <v>31</v>
      </c>
      <c r="AV34">
        <v>0</v>
      </c>
      <c r="AW34">
        <v>2</v>
      </c>
      <c r="AX34">
        <v>46416921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Y34*Source!I76</f>
        <v>1.5432999999999999</v>
      </c>
      <c r="CY34">
        <f>AB34</f>
        <v>1320.9</v>
      </c>
      <c r="CZ34">
        <f>AF34</f>
        <v>98.87</v>
      </c>
      <c r="DA34">
        <f>AJ34</f>
        <v>13.36</v>
      </c>
      <c r="DB34">
        <f t="shared" si="2"/>
        <v>25.012499999999999</v>
      </c>
      <c r="DC34">
        <f t="shared" si="3"/>
        <v>2.3805000000000001</v>
      </c>
    </row>
    <row r="35" spans="1:107" x14ac:dyDescent="0.2">
      <c r="A35">
        <f>ROW(Source!A76)</f>
        <v>76</v>
      </c>
      <c r="B35">
        <v>46416371</v>
      </c>
      <c r="C35">
        <v>46416909</v>
      </c>
      <c r="D35">
        <v>42570360</v>
      </c>
      <c r="E35">
        <v>1</v>
      </c>
      <c r="F35">
        <v>1</v>
      </c>
      <c r="G35">
        <v>1</v>
      </c>
      <c r="H35">
        <v>2</v>
      </c>
      <c r="I35" t="s">
        <v>427</v>
      </c>
      <c r="J35" t="s">
        <v>428</v>
      </c>
      <c r="K35" t="s">
        <v>429</v>
      </c>
      <c r="L35">
        <v>1368</v>
      </c>
      <c r="N35">
        <v>1011</v>
      </c>
      <c r="O35" t="s">
        <v>393</v>
      </c>
      <c r="P35" t="s">
        <v>393</v>
      </c>
      <c r="Q35">
        <v>1</v>
      </c>
      <c r="W35">
        <v>0</v>
      </c>
      <c r="X35">
        <v>1534850152</v>
      </c>
      <c r="Y35">
        <v>0.50600000000000001</v>
      </c>
      <c r="AA35">
        <v>0</v>
      </c>
      <c r="AB35">
        <v>7.35</v>
      </c>
      <c r="AC35">
        <v>0</v>
      </c>
      <c r="AD35">
        <v>0</v>
      </c>
      <c r="AE35">
        <v>0</v>
      </c>
      <c r="AF35">
        <v>0.55000000000000004</v>
      </c>
      <c r="AG35">
        <v>0</v>
      </c>
      <c r="AH35">
        <v>0</v>
      </c>
      <c r="AI35">
        <v>1</v>
      </c>
      <c r="AJ35">
        <v>13.36</v>
      </c>
      <c r="AK35">
        <v>34.75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0.44</v>
      </c>
      <c r="AU35" t="s">
        <v>31</v>
      </c>
      <c r="AV35">
        <v>0</v>
      </c>
      <c r="AW35">
        <v>2</v>
      </c>
      <c r="AX35">
        <v>46416922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Y35*Source!I76</f>
        <v>3.0865999999999998</v>
      </c>
      <c r="CY35">
        <f>AB35</f>
        <v>7.35</v>
      </c>
      <c r="CZ35">
        <f>AF35</f>
        <v>0.55000000000000004</v>
      </c>
      <c r="DA35">
        <f>AJ35</f>
        <v>13.36</v>
      </c>
      <c r="DB35">
        <f t="shared" si="2"/>
        <v>0.27600000000000002</v>
      </c>
      <c r="DC35">
        <f t="shared" si="3"/>
        <v>0</v>
      </c>
    </row>
    <row r="36" spans="1:107" x14ac:dyDescent="0.2">
      <c r="A36">
        <f>ROW(Source!A76)</f>
        <v>76</v>
      </c>
      <c r="B36">
        <v>46416371</v>
      </c>
      <c r="C36">
        <v>46416909</v>
      </c>
      <c r="D36">
        <v>42581395</v>
      </c>
      <c r="E36">
        <v>1</v>
      </c>
      <c r="F36">
        <v>1</v>
      </c>
      <c r="G36">
        <v>1</v>
      </c>
      <c r="H36">
        <v>3</v>
      </c>
      <c r="I36" t="s">
        <v>137</v>
      </c>
      <c r="J36" t="s">
        <v>140</v>
      </c>
      <c r="K36" t="s">
        <v>138</v>
      </c>
      <c r="L36">
        <v>1339</v>
      </c>
      <c r="N36">
        <v>1007</v>
      </c>
      <c r="O36" t="s">
        <v>139</v>
      </c>
      <c r="P36" t="s">
        <v>139</v>
      </c>
      <c r="Q36">
        <v>1</v>
      </c>
      <c r="W36">
        <v>1</v>
      </c>
      <c r="X36">
        <v>894824937</v>
      </c>
      <c r="Y36">
        <v>-1.2</v>
      </c>
      <c r="AA36">
        <v>578.89</v>
      </c>
      <c r="AB36">
        <v>0</v>
      </c>
      <c r="AC36">
        <v>0</v>
      </c>
      <c r="AD36">
        <v>0</v>
      </c>
      <c r="AE36">
        <v>69.83</v>
      </c>
      <c r="AF36">
        <v>0</v>
      </c>
      <c r="AG36">
        <v>0</v>
      </c>
      <c r="AH36">
        <v>0</v>
      </c>
      <c r="AI36">
        <v>8.2899999999999991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-1.2</v>
      </c>
      <c r="AU36" t="s">
        <v>3</v>
      </c>
      <c r="AV36">
        <v>0</v>
      </c>
      <c r="AW36">
        <v>2</v>
      </c>
      <c r="AX36">
        <v>46416923</v>
      </c>
      <c r="AY36">
        <v>1</v>
      </c>
      <c r="AZ36">
        <v>6144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Y36*Source!I76</f>
        <v>-7.3199999999999994</v>
      </c>
      <c r="CY36">
        <f>AA36</f>
        <v>578.89</v>
      </c>
      <c r="CZ36">
        <f>AE36</f>
        <v>69.83</v>
      </c>
      <c r="DA36">
        <f>AI36</f>
        <v>8.2899999999999991</v>
      </c>
      <c r="DB36">
        <f>ROUND(ROUND(AT36*CZ36,2),6)</f>
        <v>-83.8</v>
      </c>
      <c r="DC36">
        <f>ROUND(ROUND(AT36*AG36,2),6)</f>
        <v>0</v>
      </c>
    </row>
    <row r="37" spans="1:107" x14ac:dyDescent="0.2">
      <c r="A37">
        <f>ROW(Source!A76)</f>
        <v>76</v>
      </c>
      <c r="B37">
        <v>46416371</v>
      </c>
      <c r="C37">
        <v>46416909</v>
      </c>
      <c r="D37">
        <v>42582070</v>
      </c>
      <c r="E37">
        <v>1</v>
      </c>
      <c r="F37">
        <v>1</v>
      </c>
      <c r="G37">
        <v>1</v>
      </c>
      <c r="H37">
        <v>3</v>
      </c>
      <c r="I37" t="s">
        <v>435</v>
      </c>
      <c r="J37" t="s">
        <v>436</v>
      </c>
      <c r="K37" t="s">
        <v>437</v>
      </c>
      <c r="L37">
        <v>1339</v>
      </c>
      <c r="N37">
        <v>1007</v>
      </c>
      <c r="O37" t="s">
        <v>139</v>
      </c>
      <c r="P37" t="s">
        <v>139</v>
      </c>
      <c r="Q37">
        <v>1</v>
      </c>
      <c r="W37">
        <v>0</v>
      </c>
      <c r="X37">
        <v>327932598</v>
      </c>
      <c r="Y37">
        <v>0.15</v>
      </c>
      <c r="AA37">
        <v>10.78</v>
      </c>
      <c r="AB37">
        <v>0</v>
      </c>
      <c r="AC37">
        <v>0</v>
      </c>
      <c r="AD37">
        <v>0</v>
      </c>
      <c r="AE37">
        <v>1.3</v>
      </c>
      <c r="AF37">
        <v>0</v>
      </c>
      <c r="AG37">
        <v>0</v>
      </c>
      <c r="AH37">
        <v>0</v>
      </c>
      <c r="AI37">
        <v>8.2899999999999991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0.15</v>
      </c>
      <c r="AU37" t="s">
        <v>3</v>
      </c>
      <c r="AV37">
        <v>0</v>
      </c>
      <c r="AW37">
        <v>2</v>
      </c>
      <c r="AX37">
        <v>46416924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Y37*Source!I76</f>
        <v>0.91499999999999992</v>
      </c>
      <c r="CY37">
        <f>AA37</f>
        <v>10.78</v>
      </c>
      <c r="CZ37">
        <f>AE37</f>
        <v>1.3</v>
      </c>
      <c r="DA37">
        <f>AI37</f>
        <v>8.2899999999999991</v>
      </c>
      <c r="DB37">
        <f>ROUND(ROUND(AT37*CZ37,2),6)</f>
        <v>0.2</v>
      </c>
      <c r="DC37">
        <f>ROUND(ROUND(AT37*AG37,2),6)</f>
        <v>0</v>
      </c>
    </row>
    <row r="38" spans="1:107" x14ac:dyDescent="0.2">
      <c r="A38">
        <f>ROW(Source!A76)</f>
        <v>76</v>
      </c>
      <c r="B38">
        <v>46416371</v>
      </c>
      <c r="C38">
        <v>46416909</v>
      </c>
      <c r="D38">
        <v>0</v>
      </c>
      <c r="E38">
        <v>0</v>
      </c>
      <c r="F38">
        <v>1</v>
      </c>
      <c r="G38">
        <v>1</v>
      </c>
      <c r="H38">
        <v>3</v>
      </c>
      <c r="I38" t="s">
        <v>145</v>
      </c>
      <c r="J38" t="s">
        <v>3</v>
      </c>
      <c r="K38" t="s">
        <v>146</v>
      </c>
      <c r="L38">
        <v>1339</v>
      </c>
      <c r="N38">
        <v>1007</v>
      </c>
      <c r="O38" t="s">
        <v>139</v>
      </c>
      <c r="P38" t="s">
        <v>139</v>
      </c>
      <c r="Q38">
        <v>1</v>
      </c>
      <c r="W38">
        <v>0</v>
      </c>
      <c r="X38">
        <v>-1718654303</v>
      </c>
      <c r="Y38">
        <v>1.2</v>
      </c>
      <c r="AA38">
        <v>833.33</v>
      </c>
      <c r="AB38">
        <v>0</v>
      </c>
      <c r="AC38">
        <v>0</v>
      </c>
      <c r="AD38">
        <v>0</v>
      </c>
      <c r="AE38">
        <v>833.33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0</v>
      </c>
      <c r="AP38">
        <v>0</v>
      </c>
      <c r="AQ38">
        <v>0</v>
      </c>
      <c r="AR38">
        <v>0</v>
      </c>
      <c r="AS38" t="s">
        <v>3</v>
      </c>
      <c r="AT38">
        <v>1.2</v>
      </c>
      <c r="AU38" t="s">
        <v>3</v>
      </c>
      <c r="AV38">
        <v>0</v>
      </c>
      <c r="AW38">
        <v>1</v>
      </c>
      <c r="AX38">
        <v>-1</v>
      </c>
      <c r="AY38">
        <v>0</v>
      </c>
      <c r="AZ38">
        <v>0</v>
      </c>
      <c r="BA38" t="s">
        <v>3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Y38*Source!I76</f>
        <v>7.3199999999999994</v>
      </c>
      <c r="CY38">
        <f>AA38</f>
        <v>833.33</v>
      </c>
      <c r="CZ38">
        <f>AE38</f>
        <v>833.33</v>
      </c>
      <c r="DA38">
        <f>AI38</f>
        <v>1</v>
      </c>
      <c r="DB38">
        <f>ROUND(ROUND(AT38*CZ38,2),6)</f>
        <v>1000</v>
      </c>
      <c r="DC38">
        <f>ROUND(ROUND(AT38*AG38,2),6)</f>
        <v>0</v>
      </c>
    </row>
    <row r="39" spans="1:107" x14ac:dyDescent="0.2">
      <c r="A39">
        <f>ROW(Source!A79)</f>
        <v>79</v>
      </c>
      <c r="B39">
        <v>46416371</v>
      </c>
      <c r="C39">
        <v>46468031</v>
      </c>
      <c r="D39">
        <v>42647090</v>
      </c>
      <c r="E39">
        <v>1</v>
      </c>
      <c r="F39">
        <v>1</v>
      </c>
      <c r="G39">
        <v>1</v>
      </c>
      <c r="H39">
        <v>1</v>
      </c>
      <c r="I39" t="s">
        <v>438</v>
      </c>
      <c r="J39" t="s">
        <v>3</v>
      </c>
      <c r="K39" t="s">
        <v>439</v>
      </c>
      <c r="L39">
        <v>1369</v>
      </c>
      <c r="N39">
        <v>1013</v>
      </c>
      <c r="O39" t="s">
        <v>387</v>
      </c>
      <c r="P39" t="s">
        <v>387</v>
      </c>
      <c r="Q39">
        <v>1</v>
      </c>
      <c r="W39">
        <v>0</v>
      </c>
      <c r="X39">
        <v>-578194210</v>
      </c>
      <c r="Y39">
        <v>101.77499999999999</v>
      </c>
      <c r="AA39">
        <v>0</v>
      </c>
      <c r="AB39">
        <v>0</v>
      </c>
      <c r="AC39">
        <v>0</v>
      </c>
      <c r="AD39">
        <v>243.6</v>
      </c>
      <c r="AE39">
        <v>0</v>
      </c>
      <c r="AF39">
        <v>0</v>
      </c>
      <c r="AG39">
        <v>0</v>
      </c>
      <c r="AH39">
        <v>7.01</v>
      </c>
      <c r="AI39">
        <v>1</v>
      </c>
      <c r="AJ39">
        <v>1</v>
      </c>
      <c r="AK39">
        <v>1</v>
      </c>
      <c r="AL39">
        <v>34.75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88.5</v>
      </c>
      <c r="AU39" t="s">
        <v>31</v>
      </c>
      <c r="AV39">
        <v>1</v>
      </c>
      <c r="AW39">
        <v>2</v>
      </c>
      <c r="AX39">
        <v>46468032</v>
      </c>
      <c r="AY39">
        <v>1</v>
      </c>
      <c r="AZ39">
        <v>0</v>
      </c>
      <c r="BA39">
        <v>38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Y39*Source!I79</f>
        <v>0</v>
      </c>
      <c r="CY39">
        <f>AD39</f>
        <v>243.6</v>
      </c>
      <c r="CZ39">
        <f>AH39</f>
        <v>7.01</v>
      </c>
      <c r="DA39">
        <f>AL39</f>
        <v>34.75</v>
      </c>
      <c r="DB39">
        <f>ROUND((ROUND(AT39*CZ39,2)*1.15),6)</f>
        <v>713.44849999999997</v>
      </c>
      <c r="DC39">
        <f>ROUND((ROUND(AT39*AG39,2)*1.15),6)</f>
        <v>0</v>
      </c>
    </row>
    <row r="40" spans="1:107" x14ac:dyDescent="0.2">
      <c r="A40">
        <f>ROW(Source!A80)</f>
        <v>80</v>
      </c>
      <c r="B40">
        <v>46416371</v>
      </c>
      <c r="C40">
        <v>46468033</v>
      </c>
      <c r="D40">
        <v>42646086</v>
      </c>
      <c r="E40">
        <v>1</v>
      </c>
      <c r="F40">
        <v>1</v>
      </c>
      <c r="G40">
        <v>1</v>
      </c>
      <c r="H40">
        <v>1</v>
      </c>
      <c r="I40" t="s">
        <v>440</v>
      </c>
      <c r="J40" t="s">
        <v>3</v>
      </c>
      <c r="K40" t="s">
        <v>441</v>
      </c>
      <c r="L40">
        <v>1369</v>
      </c>
      <c r="N40">
        <v>1013</v>
      </c>
      <c r="O40" t="s">
        <v>387</v>
      </c>
      <c r="P40" t="s">
        <v>387</v>
      </c>
      <c r="Q40">
        <v>1</v>
      </c>
      <c r="W40">
        <v>0</v>
      </c>
      <c r="X40">
        <v>-1538712529</v>
      </c>
      <c r="Y40">
        <v>18.991099999999999</v>
      </c>
      <c r="AA40">
        <v>0</v>
      </c>
      <c r="AB40">
        <v>0</v>
      </c>
      <c r="AC40">
        <v>0</v>
      </c>
      <c r="AD40">
        <v>283.91000000000003</v>
      </c>
      <c r="AE40">
        <v>0</v>
      </c>
      <c r="AF40">
        <v>0</v>
      </c>
      <c r="AG40">
        <v>0</v>
      </c>
      <c r="AH40">
        <v>8.17</v>
      </c>
      <c r="AI40">
        <v>1</v>
      </c>
      <c r="AJ40">
        <v>1</v>
      </c>
      <c r="AK40">
        <v>1</v>
      </c>
      <c r="AL40">
        <v>34.75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14.36</v>
      </c>
      <c r="AU40" t="s">
        <v>161</v>
      </c>
      <c r="AV40">
        <v>1</v>
      </c>
      <c r="AW40">
        <v>2</v>
      </c>
      <c r="AX40">
        <v>46468034</v>
      </c>
      <c r="AY40">
        <v>1</v>
      </c>
      <c r="AZ40">
        <v>0</v>
      </c>
      <c r="BA40">
        <v>39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Y40*Source!I80</f>
        <v>3.6083089999999998</v>
      </c>
      <c r="CY40">
        <f>AD40</f>
        <v>283.91000000000003</v>
      </c>
      <c r="CZ40">
        <f>AH40</f>
        <v>8.17</v>
      </c>
      <c r="DA40">
        <f>AL40</f>
        <v>34.75</v>
      </c>
      <c r="DB40">
        <f>ROUND(((ROUND(AT40*CZ40,2)*1.15)*1.15),6)</f>
        <v>155.1557</v>
      </c>
      <c r="DC40">
        <f>ROUND(((ROUND(AT40*AG40,2)*1.15)*1.15),6)</f>
        <v>0</v>
      </c>
    </row>
    <row r="41" spans="1:107" x14ac:dyDescent="0.2">
      <c r="A41">
        <f>ROW(Source!A80)</f>
        <v>80</v>
      </c>
      <c r="B41">
        <v>46416371</v>
      </c>
      <c r="C41">
        <v>46468033</v>
      </c>
      <c r="D41">
        <v>42570797</v>
      </c>
      <c r="E41">
        <v>1</v>
      </c>
      <c r="F41">
        <v>1</v>
      </c>
      <c r="G41">
        <v>1</v>
      </c>
      <c r="H41">
        <v>2</v>
      </c>
      <c r="I41" t="s">
        <v>442</v>
      </c>
      <c r="J41" t="s">
        <v>443</v>
      </c>
      <c r="K41" t="s">
        <v>444</v>
      </c>
      <c r="L41">
        <v>1368</v>
      </c>
      <c r="N41">
        <v>1011</v>
      </c>
      <c r="O41" t="s">
        <v>393</v>
      </c>
      <c r="P41" t="s">
        <v>393</v>
      </c>
      <c r="Q41">
        <v>1</v>
      </c>
      <c r="W41">
        <v>0</v>
      </c>
      <c r="X41">
        <v>1334273015</v>
      </c>
      <c r="Y41">
        <v>0.359375</v>
      </c>
      <c r="AA41">
        <v>0</v>
      </c>
      <c r="AB41">
        <v>803.47</v>
      </c>
      <c r="AC41">
        <v>376.69</v>
      </c>
      <c r="AD41">
        <v>0</v>
      </c>
      <c r="AE41">
        <v>0</v>
      </c>
      <c r="AF41">
        <v>60.14</v>
      </c>
      <c r="AG41">
        <v>10.84</v>
      </c>
      <c r="AH41">
        <v>0</v>
      </c>
      <c r="AI41">
        <v>1</v>
      </c>
      <c r="AJ41">
        <v>13.36</v>
      </c>
      <c r="AK41">
        <v>34.75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0.25</v>
      </c>
      <c r="AU41" t="s">
        <v>160</v>
      </c>
      <c r="AV41">
        <v>0</v>
      </c>
      <c r="AW41">
        <v>2</v>
      </c>
      <c r="AX41">
        <v>46468035</v>
      </c>
      <c r="AY41">
        <v>1</v>
      </c>
      <c r="AZ41">
        <v>0</v>
      </c>
      <c r="BA41">
        <v>40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Y41*Source!I80</f>
        <v>6.8281250000000002E-2</v>
      </c>
      <c r="CY41">
        <f>AB41</f>
        <v>803.47</v>
      </c>
      <c r="CZ41">
        <f>AF41</f>
        <v>60.14</v>
      </c>
      <c r="DA41">
        <f>AJ41</f>
        <v>13.36</v>
      </c>
      <c r="DB41">
        <f>ROUND(((ROUND(AT41*CZ41,2)*1.15)*1.25),6)</f>
        <v>21.62</v>
      </c>
      <c r="DC41">
        <f>ROUND(((ROUND(AT41*AG41,2)*1.15)*1.25),6)</f>
        <v>3.8956249999999999</v>
      </c>
    </row>
    <row r="42" spans="1:107" x14ac:dyDescent="0.2">
      <c r="A42">
        <f>ROW(Source!A80)</f>
        <v>80</v>
      </c>
      <c r="B42">
        <v>46416371</v>
      </c>
      <c r="C42">
        <v>46468033</v>
      </c>
      <c r="D42">
        <v>42596183</v>
      </c>
      <c r="E42">
        <v>1</v>
      </c>
      <c r="F42">
        <v>1</v>
      </c>
      <c r="G42">
        <v>1</v>
      </c>
      <c r="H42">
        <v>3</v>
      </c>
      <c r="I42" t="s">
        <v>445</v>
      </c>
      <c r="J42" t="s">
        <v>446</v>
      </c>
      <c r="K42" t="s">
        <v>447</v>
      </c>
      <c r="L42">
        <v>1346</v>
      </c>
      <c r="N42">
        <v>1009</v>
      </c>
      <c r="O42" t="s">
        <v>448</v>
      </c>
      <c r="P42" t="s">
        <v>448</v>
      </c>
      <c r="Q42">
        <v>1</v>
      </c>
      <c r="W42">
        <v>0</v>
      </c>
      <c r="X42">
        <v>-1508651562</v>
      </c>
      <c r="Y42">
        <v>7.423</v>
      </c>
      <c r="AA42">
        <v>1069.08</v>
      </c>
      <c r="AB42">
        <v>0</v>
      </c>
      <c r="AC42">
        <v>0</v>
      </c>
      <c r="AD42">
        <v>0</v>
      </c>
      <c r="AE42">
        <v>128.96</v>
      </c>
      <c r="AF42">
        <v>0</v>
      </c>
      <c r="AG42">
        <v>0</v>
      </c>
      <c r="AH42">
        <v>0</v>
      </c>
      <c r="AI42">
        <v>8.2899999999999991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7.423</v>
      </c>
      <c r="AU42" t="s">
        <v>3</v>
      </c>
      <c r="AV42">
        <v>0</v>
      </c>
      <c r="AW42">
        <v>2</v>
      </c>
      <c r="AX42">
        <v>46468036</v>
      </c>
      <c r="AY42">
        <v>1</v>
      </c>
      <c r="AZ42">
        <v>0</v>
      </c>
      <c r="BA42">
        <v>41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Y42*Source!I80</f>
        <v>1.4103700000000001</v>
      </c>
      <c r="CY42">
        <f>AA42</f>
        <v>1069.08</v>
      </c>
      <c r="CZ42">
        <f>AE42</f>
        <v>128.96</v>
      </c>
      <c r="DA42">
        <f>AI42</f>
        <v>8.2899999999999991</v>
      </c>
      <c r="DB42">
        <f>ROUND(ROUND(AT42*CZ42,2),6)</f>
        <v>957.27</v>
      </c>
      <c r="DC42">
        <f>ROUND(ROUND(AT42*AG42,2),6)</f>
        <v>0</v>
      </c>
    </row>
    <row r="43" spans="1:107" x14ac:dyDescent="0.2">
      <c r="A43">
        <f>ROW(Source!A80)</f>
        <v>80</v>
      </c>
      <c r="B43">
        <v>46416371</v>
      </c>
      <c r="C43">
        <v>46468033</v>
      </c>
      <c r="D43">
        <v>42607941</v>
      </c>
      <c r="E43">
        <v>1</v>
      </c>
      <c r="F43">
        <v>1</v>
      </c>
      <c r="G43">
        <v>1</v>
      </c>
      <c r="H43">
        <v>3</v>
      </c>
      <c r="I43" t="s">
        <v>449</v>
      </c>
      <c r="J43" t="s">
        <v>450</v>
      </c>
      <c r="K43" t="s">
        <v>451</v>
      </c>
      <c r="L43">
        <v>1327</v>
      </c>
      <c r="N43">
        <v>1005</v>
      </c>
      <c r="O43" t="s">
        <v>452</v>
      </c>
      <c r="P43" t="s">
        <v>452</v>
      </c>
      <c r="Q43">
        <v>1</v>
      </c>
      <c r="W43">
        <v>0</v>
      </c>
      <c r="X43">
        <v>-745786960</v>
      </c>
      <c r="Y43">
        <v>115</v>
      </c>
      <c r="AA43">
        <v>46.09</v>
      </c>
      <c r="AB43">
        <v>0</v>
      </c>
      <c r="AC43">
        <v>0</v>
      </c>
      <c r="AD43">
        <v>0</v>
      </c>
      <c r="AE43">
        <v>5.56</v>
      </c>
      <c r="AF43">
        <v>0</v>
      </c>
      <c r="AG43">
        <v>0</v>
      </c>
      <c r="AH43">
        <v>0</v>
      </c>
      <c r="AI43">
        <v>8.2899999999999991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115</v>
      </c>
      <c r="AU43" t="s">
        <v>3</v>
      </c>
      <c r="AV43">
        <v>0</v>
      </c>
      <c r="AW43">
        <v>2</v>
      </c>
      <c r="AX43">
        <v>46468037</v>
      </c>
      <c r="AY43">
        <v>1</v>
      </c>
      <c r="AZ43">
        <v>0</v>
      </c>
      <c r="BA43">
        <v>42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Y43*Source!I80</f>
        <v>21.85</v>
      </c>
      <c r="CY43">
        <f>AA43</f>
        <v>46.09</v>
      </c>
      <c r="CZ43">
        <f>AE43</f>
        <v>5.56</v>
      </c>
      <c r="DA43">
        <f>AI43</f>
        <v>8.2899999999999991</v>
      </c>
      <c r="DB43">
        <f>ROUND(ROUND(AT43*CZ43,2),6)</f>
        <v>639.4</v>
      </c>
      <c r="DC43">
        <f>ROUND(ROUND(AT43*AG43,2),6)</f>
        <v>0</v>
      </c>
    </row>
    <row r="44" spans="1:107" x14ac:dyDescent="0.2">
      <c r="A44">
        <f>ROW(Source!A81)</f>
        <v>81</v>
      </c>
      <c r="B44">
        <v>46416371</v>
      </c>
      <c r="C44">
        <v>46416979</v>
      </c>
      <c r="D44">
        <v>42640602</v>
      </c>
      <c r="E44">
        <v>1</v>
      </c>
      <c r="F44">
        <v>1</v>
      </c>
      <c r="G44">
        <v>1</v>
      </c>
      <c r="H44">
        <v>1</v>
      </c>
      <c r="I44" t="s">
        <v>453</v>
      </c>
      <c r="J44" t="s">
        <v>3</v>
      </c>
      <c r="K44" t="s">
        <v>454</v>
      </c>
      <c r="L44">
        <v>1369</v>
      </c>
      <c r="N44">
        <v>1013</v>
      </c>
      <c r="O44" t="s">
        <v>387</v>
      </c>
      <c r="P44" t="s">
        <v>387</v>
      </c>
      <c r="Q44">
        <v>1</v>
      </c>
      <c r="W44">
        <v>0</v>
      </c>
      <c r="X44">
        <v>1571757197</v>
      </c>
      <c r="Y44">
        <v>71.15049999999998</v>
      </c>
      <c r="AA44">
        <v>0</v>
      </c>
      <c r="AB44">
        <v>0</v>
      </c>
      <c r="AC44">
        <v>0</v>
      </c>
      <c r="AD44">
        <v>287.73</v>
      </c>
      <c r="AE44">
        <v>0</v>
      </c>
      <c r="AF44">
        <v>0</v>
      </c>
      <c r="AG44">
        <v>0</v>
      </c>
      <c r="AH44">
        <v>8.2799999999999994</v>
      </c>
      <c r="AI44">
        <v>1</v>
      </c>
      <c r="AJ44">
        <v>1</v>
      </c>
      <c r="AK44">
        <v>1</v>
      </c>
      <c r="AL44">
        <v>34.75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53.8</v>
      </c>
      <c r="AU44" t="s">
        <v>161</v>
      </c>
      <c r="AV44">
        <v>1</v>
      </c>
      <c r="AW44">
        <v>2</v>
      </c>
      <c r="AX44">
        <v>46416985</v>
      </c>
      <c r="AY44">
        <v>1</v>
      </c>
      <c r="AZ44">
        <v>0</v>
      </c>
      <c r="BA44">
        <v>43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Y44*Source!I81</f>
        <v>10.672574999999997</v>
      </c>
      <c r="CY44">
        <f>AD44</f>
        <v>287.73</v>
      </c>
      <c r="CZ44">
        <f>AH44</f>
        <v>8.2799999999999994</v>
      </c>
      <c r="DA44">
        <f>AL44</f>
        <v>34.75</v>
      </c>
      <c r="DB44">
        <f>ROUND(((ROUND(AT44*CZ44,2)*1.15)*1.15),6)</f>
        <v>589.12085000000002</v>
      </c>
      <c r="DC44">
        <f>ROUND(((ROUND(AT44*AG44,2)*1.15)*1.15),6)</f>
        <v>0</v>
      </c>
    </row>
    <row r="45" spans="1:107" x14ac:dyDescent="0.2">
      <c r="A45">
        <f>ROW(Source!A81)</f>
        <v>81</v>
      </c>
      <c r="B45">
        <v>46416371</v>
      </c>
      <c r="C45">
        <v>46416979</v>
      </c>
      <c r="D45">
        <v>42570797</v>
      </c>
      <c r="E45">
        <v>1</v>
      </c>
      <c r="F45">
        <v>1</v>
      </c>
      <c r="G45">
        <v>1</v>
      </c>
      <c r="H45">
        <v>2</v>
      </c>
      <c r="I45" t="s">
        <v>442</v>
      </c>
      <c r="J45" t="s">
        <v>443</v>
      </c>
      <c r="K45" t="s">
        <v>444</v>
      </c>
      <c r="L45">
        <v>1368</v>
      </c>
      <c r="N45">
        <v>1011</v>
      </c>
      <c r="O45" t="s">
        <v>393</v>
      </c>
      <c r="P45" t="s">
        <v>393</v>
      </c>
      <c r="Q45">
        <v>1</v>
      </c>
      <c r="W45">
        <v>0</v>
      </c>
      <c r="X45">
        <v>1334273015</v>
      </c>
      <c r="Y45">
        <v>0.12937499999999999</v>
      </c>
      <c r="AA45">
        <v>0</v>
      </c>
      <c r="AB45">
        <v>803.47</v>
      </c>
      <c r="AC45">
        <v>376.69</v>
      </c>
      <c r="AD45">
        <v>0</v>
      </c>
      <c r="AE45">
        <v>0</v>
      </c>
      <c r="AF45">
        <v>60.14</v>
      </c>
      <c r="AG45">
        <v>10.84</v>
      </c>
      <c r="AH45">
        <v>0</v>
      </c>
      <c r="AI45">
        <v>1</v>
      </c>
      <c r="AJ45">
        <v>13.36</v>
      </c>
      <c r="AK45">
        <v>34.75</v>
      </c>
      <c r="AL45">
        <v>1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0.09</v>
      </c>
      <c r="AU45" t="s">
        <v>170</v>
      </c>
      <c r="AV45">
        <v>0</v>
      </c>
      <c r="AW45">
        <v>2</v>
      </c>
      <c r="AX45">
        <v>46416986</v>
      </c>
      <c r="AY45">
        <v>1</v>
      </c>
      <c r="AZ45">
        <v>0</v>
      </c>
      <c r="BA45">
        <v>44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Y45*Source!I81</f>
        <v>1.9406249999999996E-2</v>
      </c>
      <c r="CY45">
        <f>AB45</f>
        <v>803.47</v>
      </c>
      <c r="CZ45">
        <f>AF45</f>
        <v>60.14</v>
      </c>
      <c r="DA45">
        <f>AJ45</f>
        <v>13.36</v>
      </c>
      <c r="DB45">
        <f>ROUND(((ROUND(AT45*CZ45,2)*1.25)*1.15),6)</f>
        <v>7.7768750000000004</v>
      </c>
      <c r="DC45">
        <f>ROUND(((ROUND(AT45*AG45,2)*1.25)*1.15),6)</f>
        <v>1.4087499999999999</v>
      </c>
    </row>
    <row r="46" spans="1:107" x14ac:dyDescent="0.2">
      <c r="A46">
        <f>ROW(Source!A81)</f>
        <v>81</v>
      </c>
      <c r="B46">
        <v>46416371</v>
      </c>
      <c r="C46">
        <v>46416979</v>
      </c>
      <c r="D46">
        <v>42594559</v>
      </c>
      <c r="E46">
        <v>1</v>
      </c>
      <c r="F46">
        <v>1</v>
      </c>
      <c r="G46">
        <v>1</v>
      </c>
      <c r="H46">
        <v>3</v>
      </c>
      <c r="I46" t="s">
        <v>455</v>
      </c>
      <c r="J46" t="s">
        <v>456</v>
      </c>
      <c r="K46" t="s">
        <v>457</v>
      </c>
      <c r="L46">
        <v>1327</v>
      </c>
      <c r="N46">
        <v>1005</v>
      </c>
      <c r="O46" t="s">
        <v>452</v>
      </c>
      <c r="P46" t="s">
        <v>452</v>
      </c>
      <c r="Q46">
        <v>1</v>
      </c>
      <c r="W46">
        <v>0</v>
      </c>
      <c r="X46">
        <v>-1946627381</v>
      </c>
      <c r="Y46">
        <v>107</v>
      </c>
      <c r="AA46">
        <v>28.02</v>
      </c>
      <c r="AB46">
        <v>0</v>
      </c>
      <c r="AC46">
        <v>0</v>
      </c>
      <c r="AD46">
        <v>0</v>
      </c>
      <c r="AE46">
        <v>3.38</v>
      </c>
      <c r="AF46">
        <v>0</v>
      </c>
      <c r="AG46">
        <v>0</v>
      </c>
      <c r="AH46">
        <v>0</v>
      </c>
      <c r="AI46">
        <v>8.2899999999999991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107</v>
      </c>
      <c r="AU46" t="s">
        <v>3</v>
      </c>
      <c r="AV46">
        <v>0</v>
      </c>
      <c r="AW46">
        <v>2</v>
      </c>
      <c r="AX46">
        <v>46416987</v>
      </c>
      <c r="AY46">
        <v>1</v>
      </c>
      <c r="AZ46">
        <v>0</v>
      </c>
      <c r="BA46">
        <v>45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Y46*Source!I81</f>
        <v>16.05</v>
      </c>
      <c r="CY46">
        <f>AA46</f>
        <v>28.02</v>
      </c>
      <c r="CZ46">
        <f>AE46</f>
        <v>3.38</v>
      </c>
      <c r="DA46">
        <f>AI46</f>
        <v>8.2899999999999991</v>
      </c>
      <c r="DB46">
        <f>ROUND(ROUND(AT46*CZ46,2),6)</f>
        <v>361.66</v>
      </c>
      <c r="DC46">
        <f>ROUND(ROUND(AT46*AG46,2),6)</f>
        <v>0</v>
      </c>
    </row>
    <row r="47" spans="1:107" x14ac:dyDescent="0.2">
      <c r="A47">
        <f>ROW(Source!A81)</f>
        <v>81</v>
      </c>
      <c r="B47">
        <v>46416371</v>
      </c>
      <c r="C47">
        <v>46416979</v>
      </c>
      <c r="D47">
        <v>42593759</v>
      </c>
      <c r="E47">
        <v>1</v>
      </c>
      <c r="F47">
        <v>1</v>
      </c>
      <c r="G47">
        <v>1</v>
      </c>
      <c r="H47">
        <v>3</v>
      </c>
      <c r="I47" t="s">
        <v>458</v>
      </c>
      <c r="J47" t="s">
        <v>459</v>
      </c>
      <c r="K47" t="s">
        <v>460</v>
      </c>
      <c r="L47">
        <v>1346</v>
      </c>
      <c r="N47">
        <v>1009</v>
      </c>
      <c r="O47" t="s">
        <v>448</v>
      </c>
      <c r="P47" t="s">
        <v>448</v>
      </c>
      <c r="Q47">
        <v>1</v>
      </c>
      <c r="W47">
        <v>0</v>
      </c>
      <c r="X47">
        <v>-1630528999</v>
      </c>
      <c r="Y47">
        <v>22</v>
      </c>
      <c r="AA47">
        <v>133.97</v>
      </c>
      <c r="AB47">
        <v>0</v>
      </c>
      <c r="AC47">
        <v>0</v>
      </c>
      <c r="AD47">
        <v>0</v>
      </c>
      <c r="AE47">
        <v>16.16</v>
      </c>
      <c r="AF47">
        <v>0</v>
      </c>
      <c r="AG47">
        <v>0</v>
      </c>
      <c r="AH47">
        <v>0</v>
      </c>
      <c r="AI47">
        <v>8.2899999999999991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22</v>
      </c>
      <c r="AU47" t="s">
        <v>3</v>
      </c>
      <c r="AV47">
        <v>0</v>
      </c>
      <c r="AW47">
        <v>2</v>
      </c>
      <c r="AX47">
        <v>46416988</v>
      </c>
      <c r="AY47">
        <v>1</v>
      </c>
      <c r="AZ47">
        <v>0</v>
      </c>
      <c r="BA47">
        <v>46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Y47*Source!I81</f>
        <v>3.3</v>
      </c>
      <c r="CY47">
        <f>AA47</f>
        <v>133.97</v>
      </c>
      <c r="CZ47">
        <f>AE47</f>
        <v>16.16</v>
      </c>
      <c r="DA47">
        <f>AI47</f>
        <v>8.2899999999999991</v>
      </c>
      <c r="DB47">
        <f>ROUND(ROUND(AT47*CZ47,2),6)</f>
        <v>355.52</v>
      </c>
      <c r="DC47">
        <f>ROUND(ROUND(AT47*AG47,2),6)</f>
        <v>0</v>
      </c>
    </row>
    <row r="48" spans="1:107" x14ac:dyDescent="0.2">
      <c r="A48">
        <f>ROW(Source!A81)</f>
        <v>81</v>
      </c>
      <c r="B48">
        <v>46416371</v>
      </c>
      <c r="C48">
        <v>46416979</v>
      </c>
      <c r="D48">
        <v>42572018</v>
      </c>
      <c r="E48">
        <v>1</v>
      </c>
      <c r="F48">
        <v>1</v>
      </c>
      <c r="G48">
        <v>1</v>
      </c>
      <c r="H48">
        <v>3</v>
      </c>
      <c r="I48" t="s">
        <v>461</v>
      </c>
      <c r="J48" t="s">
        <v>462</v>
      </c>
      <c r="K48" t="s">
        <v>463</v>
      </c>
      <c r="L48">
        <v>1339</v>
      </c>
      <c r="N48">
        <v>1007</v>
      </c>
      <c r="O48" t="s">
        <v>139</v>
      </c>
      <c r="P48" t="s">
        <v>139</v>
      </c>
      <c r="Q48">
        <v>1</v>
      </c>
      <c r="W48">
        <v>0</v>
      </c>
      <c r="X48">
        <v>1982938735</v>
      </c>
      <c r="Y48">
        <v>0.26</v>
      </c>
      <c r="AA48">
        <v>3631.77</v>
      </c>
      <c r="AB48">
        <v>0</v>
      </c>
      <c r="AC48">
        <v>0</v>
      </c>
      <c r="AD48">
        <v>0</v>
      </c>
      <c r="AE48">
        <v>438.09</v>
      </c>
      <c r="AF48">
        <v>0</v>
      </c>
      <c r="AG48">
        <v>0</v>
      </c>
      <c r="AH48">
        <v>0</v>
      </c>
      <c r="AI48">
        <v>8.2899999999999991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0.26</v>
      </c>
      <c r="AU48" t="s">
        <v>3</v>
      </c>
      <c r="AV48">
        <v>0</v>
      </c>
      <c r="AW48">
        <v>2</v>
      </c>
      <c r="AX48">
        <v>46416989</v>
      </c>
      <c r="AY48">
        <v>1</v>
      </c>
      <c r="AZ48">
        <v>0</v>
      </c>
      <c r="BA48">
        <v>47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Y48*Source!I81</f>
        <v>3.9E-2</v>
      </c>
      <c r="CY48">
        <f>AA48</f>
        <v>3631.77</v>
      </c>
      <c r="CZ48">
        <f>AE48</f>
        <v>438.09</v>
      </c>
      <c r="DA48">
        <f>AI48</f>
        <v>8.2899999999999991</v>
      </c>
      <c r="DB48">
        <f>ROUND(ROUND(AT48*CZ48,2),6)</f>
        <v>113.9</v>
      </c>
      <c r="DC48">
        <f>ROUND(ROUND(AT48*AG48,2),6)</f>
        <v>0</v>
      </c>
    </row>
    <row r="49" spans="1:107" x14ac:dyDescent="0.2">
      <c r="A49">
        <f>ROW(Source!A82)</f>
        <v>82</v>
      </c>
      <c r="B49">
        <v>46416371</v>
      </c>
      <c r="C49">
        <v>46416990</v>
      </c>
      <c r="D49">
        <v>42645565</v>
      </c>
      <c r="E49">
        <v>1</v>
      </c>
      <c r="F49">
        <v>1</v>
      </c>
      <c r="G49">
        <v>1</v>
      </c>
      <c r="H49">
        <v>1</v>
      </c>
      <c r="I49" t="s">
        <v>464</v>
      </c>
      <c r="J49" t="s">
        <v>3</v>
      </c>
      <c r="K49" t="s">
        <v>465</v>
      </c>
      <c r="L49">
        <v>1369</v>
      </c>
      <c r="N49">
        <v>1013</v>
      </c>
      <c r="O49" t="s">
        <v>387</v>
      </c>
      <c r="P49" t="s">
        <v>387</v>
      </c>
      <c r="Q49">
        <v>1</v>
      </c>
      <c r="W49">
        <v>0</v>
      </c>
      <c r="X49">
        <v>-1290178105</v>
      </c>
      <c r="Y49">
        <v>368.81879999999995</v>
      </c>
      <c r="AA49">
        <v>0</v>
      </c>
      <c r="AB49">
        <v>0</v>
      </c>
      <c r="AC49">
        <v>0</v>
      </c>
      <c r="AD49">
        <v>272.44</v>
      </c>
      <c r="AE49">
        <v>0</v>
      </c>
      <c r="AF49">
        <v>0</v>
      </c>
      <c r="AG49">
        <v>0</v>
      </c>
      <c r="AH49">
        <v>7.84</v>
      </c>
      <c r="AI49">
        <v>1</v>
      </c>
      <c r="AJ49">
        <v>1</v>
      </c>
      <c r="AK49">
        <v>1</v>
      </c>
      <c r="AL49">
        <v>34.75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278.88</v>
      </c>
      <c r="AU49" t="s">
        <v>161</v>
      </c>
      <c r="AV49">
        <v>1</v>
      </c>
      <c r="AW49">
        <v>2</v>
      </c>
      <c r="AX49">
        <v>46417016</v>
      </c>
      <c r="AY49">
        <v>1</v>
      </c>
      <c r="AZ49">
        <v>0</v>
      </c>
      <c r="BA49">
        <v>48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Y49*Source!I82</f>
        <v>15.121570799999999</v>
      </c>
      <c r="CY49">
        <f>AD49</f>
        <v>272.44</v>
      </c>
      <c r="CZ49">
        <f>AH49</f>
        <v>7.84</v>
      </c>
      <c r="DA49">
        <f>AL49</f>
        <v>34.75</v>
      </c>
      <c r="DB49">
        <f>ROUND(((ROUND(AT49*CZ49,2)*1.15)*1.15),6)</f>
        <v>2891.54045</v>
      </c>
      <c r="DC49">
        <f>ROUND(((ROUND(AT49*AG49,2)*1.15)*1.15),6)</f>
        <v>0</v>
      </c>
    </row>
    <row r="50" spans="1:107" x14ac:dyDescent="0.2">
      <c r="A50">
        <f>ROW(Source!A82)</f>
        <v>82</v>
      </c>
      <c r="B50">
        <v>46416371</v>
      </c>
      <c r="C50">
        <v>46416990</v>
      </c>
      <c r="D50">
        <v>121548</v>
      </c>
      <c r="E50">
        <v>1</v>
      </c>
      <c r="F50">
        <v>1</v>
      </c>
      <c r="G50">
        <v>1</v>
      </c>
      <c r="H50">
        <v>1</v>
      </c>
      <c r="I50" t="s">
        <v>26</v>
      </c>
      <c r="J50" t="s">
        <v>3</v>
      </c>
      <c r="K50" t="s">
        <v>388</v>
      </c>
      <c r="L50">
        <v>608254</v>
      </c>
      <c r="N50">
        <v>1013</v>
      </c>
      <c r="O50" t="s">
        <v>389</v>
      </c>
      <c r="P50" t="s">
        <v>389</v>
      </c>
      <c r="Q50">
        <v>1</v>
      </c>
      <c r="W50">
        <v>0</v>
      </c>
      <c r="X50">
        <v>-185737400</v>
      </c>
      <c r="Y50">
        <v>25.630624999999995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34.75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17.829999999999998</v>
      </c>
      <c r="AU50" t="s">
        <v>170</v>
      </c>
      <c r="AV50">
        <v>2</v>
      </c>
      <c r="AW50">
        <v>2</v>
      </c>
      <c r="AX50">
        <v>46417017</v>
      </c>
      <c r="AY50">
        <v>1</v>
      </c>
      <c r="AZ50">
        <v>0</v>
      </c>
      <c r="BA50">
        <v>49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Y50*Source!I82</f>
        <v>1.0508556249999998</v>
      </c>
      <c r="CY50">
        <f>AD50</f>
        <v>0</v>
      </c>
      <c r="CZ50">
        <f>AH50</f>
        <v>0</v>
      </c>
      <c r="DA50">
        <f>AL50</f>
        <v>1</v>
      </c>
      <c r="DB50">
        <f t="shared" ref="DB50:DB57" si="4">ROUND(((ROUND(AT50*CZ50,2)*1.25)*1.15),6)</f>
        <v>0</v>
      </c>
      <c r="DC50">
        <f t="shared" ref="DC50:DC57" si="5">ROUND(((ROUND(AT50*AG50,2)*1.25)*1.15),6)</f>
        <v>0</v>
      </c>
    </row>
    <row r="51" spans="1:107" x14ac:dyDescent="0.2">
      <c r="A51">
        <f>ROW(Source!A82)</f>
        <v>82</v>
      </c>
      <c r="B51">
        <v>46416371</v>
      </c>
      <c r="C51">
        <v>46416990</v>
      </c>
      <c r="D51">
        <v>42567157</v>
      </c>
      <c r="E51">
        <v>1</v>
      </c>
      <c r="F51">
        <v>1</v>
      </c>
      <c r="G51">
        <v>1</v>
      </c>
      <c r="H51">
        <v>2</v>
      </c>
      <c r="I51" t="s">
        <v>466</v>
      </c>
      <c r="J51" t="s">
        <v>467</v>
      </c>
      <c r="K51" t="s">
        <v>468</v>
      </c>
      <c r="L51">
        <v>1368</v>
      </c>
      <c r="N51">
        <v>1011</v>
      </c>
      <c r="O51" t="s">
        <v>393</v>
      </c>
      <c r="P51" t="s">
        <v>393</v>
      </c>
      <c r="Q51">
        <v>1</v>
      </c>
      <c r="W51">
        <v>0</v>
      </c>
      <c r="X51">
        <v>845452885</v>
      </c>
      <c r="Y51">
        <v>1.2506249999999999</v>
      </c>
      <c r="AA51">
        <v>0</v>
      </c>
      <c r="AB51">
        <v>1187.3</v>
      </c>
      <c r="AC51">
        <v>438.55</v>
      </c>
      <c r="AD51">
        <v>0</v>
      </c>
      <c r="AE51">
        <v>0</v>
      </c>
      <c r="AF51">
        <v>88.87</v>
      </c>
      <c r="AG51">
        <v>12.62</v>
      </c>
      <c r="AH51">
        <v>0</v>
      </c>
      <c r="AI51">
        <v>1</v>
      </c>
      <c r="AJ51">
        <v>13.36</v>
      </c>
      <c r="AK51">
        <v>34.75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0.87</v>
      </c>
      <c r="AU51" t="s">
        <v>170</v>
      </c>
      <c r="AV51">
        <v>0</v>
      </c>
      <c r="AW51">
        <v>2</v>
      </c>
      <c r="AX51">
        <v>46417018</v>
      </c>
      <c r="AY51">
        <v>1</v>
      </c>
      <c r="AZ51">
        <v>0</v>
      </c>
      <c r="BA51">
        <v>50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Y51*Source!I82</f>
        <v>5.1275624999999998E-2</v>
      </c>
      <c r="CY51">
        <f t="shared" ref="CY51:CY57" si="6">AB51</f>
        <v>1187.3</v>
      </c>
      <c r="CZ51">
        <f t="shared" ref="CZ51:CZ57" si="7">AF51</f>
        <v>88.87</v>
      </c>
      <c r="DA51">
        <f t="shared" ref="DA51:DA57" si="8">AJ51</f>
        <v>13.36</v>
      </c>
      <c r="DB51">
        <f t="shared" si="4"/>
        <v>111.14749999999999</v>
      </c>
      <c r="DC51">
        <f t="shared" si="5"/>
        <v>15.78375</v>
      </c>
    </row>
    <row r="52" spans="1:107" x14ac:dyDescent="0.2">
      <c r="A52">
        <f>ROW(Source!A82)</f>
        <v>82</v>
      </c>
      <c r="B52">
        <v>46416371</v>
      </c>
      <c r="C52">
        <v>46416990</v>
      </c>
      <c r="D52">
        <v>42567205</v>
      </c>
      <c r="E52">
        <v>1</v>
      </c>
      <c r="F52">
        <v>1</v>
      </c>
      <c r="G52">
        <v>1</v>
      </c>
      <c r="H52">
        <v>2</v>
      </c>
      <c r="I52" t="s">
        <v>469</v>
      </c>
      <c r="J52" t="s">
        <v>470</v>
      </c>
      <c r="K52" t="s">
        <v>471</v>
      </c>
      <c r="L52">
        <v>1368</v>
      </c>
      <c r="N52">
        <v>1011</v>
      </c>
      <c r="O52" t="s">
        <v>393</v>
      </c>
      <c r="P52" t="s">
        <v>393</v>
      </c>
      <c r="Q52">
        <v>1</v>
      </c>
      <c r="W52">
        <v>0</v>
      </c>
      <c r="X52">
        <v>-166738881</v>
      </c>
      <c r="Y52">
        <v>23.991875</v>
      </c>
      <c r="AA52">
        <v>0</v>
      </c>
      <c r="AB52">
        <v>1348.02</v>
      </c>
      <c r="AC52">
        <v>438.55</v>
      </c>
      <c r="AD52">
        <v>0</v>
      </c>
      <c r="AE52">
        <v>0</v>
      </c>
      <c r="AF52">
        <v>100.9</v>
      </c>
      <c r="AG52">
        <v>12.62</v>
      </c>
      <c r="AH52">
        <v>0</v>
      </c>
      <c r="AI52">
        <v>1</v>
      </c>
      <c r="AJ52">
        <v>13.36</v>
      </c>
      <c r="AK52">
        <v>34.75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16.690000000000001</v>
      </c>
      <c r="AU52" t="s">
        <v>170</v>
      </c>
      <c r="AV52">
        <v>0</v>
      </c>
      <c r="AW52">
        <v>2</v>
      </c>
      <c r="AX52">
        <v>46417019</v>
      </c>
      <c r="AY52">
        <v>1</v>
      </c>
      <c r="AZ52">
        <v>0</v>
      </c>
      <c r="BA52">
        <v>51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Y52*Source!I82</f>
        <v>0.98366687500000005</v>
      </c>
      <c r="CY52">
        <f t="shared" si="6"/>
        <v>1348.02</v>
      </c>
      <c r="CZ52">
        <f t="shared" si="7"/>
        <v>100.9</v>
      </c>
      <c r="DA52">
        <f t="shared" si="8"/>
        <v>13.36</v>
      </c>
      <c r="DB52">
        <f t="shared" si="4"/>
        <v>2420.7787499999999</v>
      </c>
      <c r="DC52">
        <f t="shared" si="5"/>
        <v>302.78062499999999</v>
      </c>
    </row>
    <row r="53" spans="1:107" x14ac:dyDescent="0.2">
      <c r="A53">
        <f>ROW(Source!A82)</f>
        <v>82</v>
      </c>
      <c r="B53">
        <v>46416371</v>
      </c>
      <c r="C53">
        <v>46416990</v>
      </c>
      <c r="D53">
        <v>42567318</v>
      </c>
      <c r="E53">
        <v>1</v>
      </c>
      <c r="F53">
        <v>1</v>
      </c>
      <c r="G53">
        <v>1</v>
      </c>
      <c r="H53">
        <v>2</v>
      </c>
      <c r="I53" t="s">
        <v>432</v>
      </c>
      <c r="J53" t="s">
        <v>433</v>
      </c>
      <c r="K53" t="s">
        <v>434</v>
      </c>
      <c r="L53">
        <v>1368</v>
      </c>
      <c r="N53">
        <v>1011</v>
      </c>
      <c r="O53" t="s">
        <v>393</v>
      </c>
      <c r="P53" t="s">
        <v>393</v>
      </c>
      <c r="Q53">
        <v>1</v>
      </c>
      <c r="W53">
        <v>0</v>
      </c>
      <c r="X53">
        <v>-197763218</v>
      </c>
      <c r="Y53">
        <v>0.388125</v>
      </c>
      <c r="AA53">
        <v>0</v>
      </c>
      <c r="AB53">
        <v>1187.3</v>
      </c>
      <c r="AC53">
        <v>326.64999999999998</v>
      </c>
      <c r="AD53">
        <v>0</v>
      </c>
      <c r="AE53">
        <v>0</v>
      </c>
      <c r="AF53">
        <v>88.87</v>
      </c>
      <c r="AG53">
        <v>9.4</v>
      </c>
      <c r="AH53">
        <v>0</v>
      </c>
      <c r="AI53">
        <v>1</v>
      </c>
      <c r="AJ53">
        <v>13.36</v>
      </c>
      <c r="AK53">
        <v>34.75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0.27</v>
      </c>
      <c r="AU53" t="s">
        <v>170</v>
      </c>
      <c r="AV53">
        <v>0</v>
      </c>
      <c r="AW53">
        <v>2</v>
      </c>
      <c r="AX53">
        <v>46417020</v>
      </c>
      <c r="AY53">
        <v>1</v>
      </c>
      <c r="AZ53">
        <v>0</v>
      </c>
      <c r="BA53">
        <v>52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Y53*Source!I82</f>
        <v>1.5913125E-2</v>
      </c>
      <c r="CY53">
        <f t="shared" si="6"/>
        <v>1187.3</v>
      </c>
      <c r="CZ53">
        <f t="shared" si="7"/>
        <v>88.87</v>
      </c>
      <c r="DA53">
        <f t="shared" si="8"/>
        <v>13.36</v>
      </c>
      <c r="DB53">
        <f t="shared" si="4"/>
        <v>34.485624999999999</v>
      </c>
      <c r="DC53">
        <f t="shared" si="5"/>
        <v>3.6512500000000001</v>
      </c>
    </row>
    <row r="54" spans="1:107" x14ac:dyDescent="0.2">
      <c r="A54">
        <f>ROW(Source!A82)</f>
        <v>82</v>
      </c>
      <c r="B54">
        <v>46416371</v>
      </c>
      <c r="C54">
        <v>46416990</v>
      </c>
      <c r="D54">
        <v>42567594</v>
      </c>
      <c r="E54">
        <v>1</v>
      </c>
      <c r="F54">
        <v>1</v>
      </c>
      <c r="G54">
        <v>1</v>
      </c>
      <c r="H54">
        <v>2</v>
      </c>
      <c r="I54" t="s">
        <v>472</v>
      </c>
      <c r="J54" t="s">
        <v>473</v>
      </c>
      <c r="K54" t="s">
        <v>474</v>
      </c>
      <c r="L54">
        <v>1368</v>
      </c>
      <c r="N54">
        <v>1011</v>
      </c>
      <c r="O54" t="s">
        <v>393</v>
      </c>
      <c r="P54" t="s">
        <v>393</v>
      </c>
      <c r="Q54">
        <v>1</v>
      </c>
      <c r="W54">
        <v>0</v>
      </c>
      <c r="X54">
        <v>-435130156</v>
      </c>
      <c r="Y54">
        <v>119.45625</v>
      </c>
      <c r="AA54">
        <v>0</v>
      </c>
      <c r="AB54">
        <v>108.22</v>
      </c>
      <c r="AC54">
        <v>0</v>
      </c>
      <c r="AD54">
        <v>0</v>
      </c>
      <c r="AE54">
        <v>0</v>
      </c>
      <c r="AF54">
        <v>8.1</v>
      </c>
      <c r="AG54">
        <v>0</v>
      </c>
      <c r="AH54">
        <v>0</v>
      </c>
      <c r="AI54">
        <v>1</v>
      </c>
      <c r="AJ54">
        <v>13.36</v>
      </c>
      <c r="AK54">
        <v>34.75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83.1</v>
      </c>
      <c r="AU54" t="s">
        <v>170</v>
      </c>
      <c r="AV54">
        <v>0</v>
      </c>
      <c r="AW54">
        <v>2</v>
      </c>
      <c r="AX54">
        <v>46417021</v>
      </c>
      <c r="AY54">
        <v>1</v>
      </c>
      <c r="AZ54">
        <v>0</v>
      </c>
      <c r="BA54">
        <v>53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Y54*Source!I82</f>
        <v>4.8977062499999997</v>
      </c>
      <c r="CY54">
        <f t="shared" si="6"/>
        <v>108.22</v>
      </c>
      <c r="CZ54">
        <f t="shared" si="7"/>
        <v>8.1</v>
      </c>
      <c r="DA54">
        <f t="shared" si="8"/>
        <v>13.36</v>
      </c>
      <c r="DB54">
        <f t="shared" si="4"/>
        <v>967.59562500000004</v>
      </c>
      <c r="DC54">
        <f t="shared" si="5"/>
        <v>0</v>
      </c>
    </row>
    <row r="55" spans="1:107" x14ac:dyDescent="0.2">
      <c r="A55">
        <f>ROW(Source!A82)</f>
        <v>82</v>
      </c>
      <c r="B55">
        <v>46416371</v>
      </c>
      <c r="C55">
        <v>46416990</v>
      </c>
      <c r="D55">
        <v>42568333</v>
      </c>
      <c r="E55">
        <v>1</v>
      </c>
      <c r="F55">
        <v>1</v>
      </c>
      <c r="G55">
        <v>1</v>
      </c>
      <c r="H55">
        <v>2</v>
      </c>
      <c r="I55" t="s">
        <v>475</v>
      </c>
      <c r="J55" t="s">
        <v>476</v>
      </c>
      <c r="K55" t="s">
        <v>477</v>
      </c>
      <c r="L55">
        <v>1368</v>
      </c>
      <c r="N55">
        <v>1011</v>
      </c>
      <c r="O55" t="s">
        <v>393</v>
      </c>
      <c r="P55" t="s">
        <v>393</v>
      </c>
      <c r="Q55">
        <v>1</v>
      </c>
      <c r="W55">
        <v>0</v>
      </c>
      <c r="X55">
        <v>318929633</v>
      </c>
      <c r="Y55">
        <v>20.929999999999996</v>
      </c>
      <c r="AA55">
        <v>0</v>
      </c>
      <c r="AB55">
        <v>25.38</v>
      </c>
      <c r="AC55">
        <v>0</v>
      </c>
      <c r="AD55">
        <v>0</v>
      </c>
      <c r="AE55">
        <v>0</v>
      </c>
      <c r="AF55">
        <v>1.9</v>
      </c>
      <c r="AG55">
        <v>0</v>
      </c>
      <c r="AH55">
        <v>0</v>
      </c>
      <c r="AI55">
        <v>1</v>
      </c>
      <c r="AJ55">
        <v>13.36</v>
      </c>
      <c r="AK55">
        <v>34.75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14.56</v>
      </c>
      <c r="AU55" t="s">
        <v>170</v>
      </c>
      <c r="AV55">
        <v>0</v>
      </c>
      <c r="AW55">
        <v>2</v>
      </c>
      <c r="AX55">
        <v>46417022</v>
      </c>
      <c r="AY55">
        <v>1</v>
      </c>
      <c r="AZ55">
        <v>0</v>
      </c>
      <c r="BA55">
        <v>54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Y55*Source!I82</f>
        <v>0.85812999999999984</v>
      </c>
      <c r="CY55">
        <f t="shared" si="6"/>
        <v>25.38</v>
      </c>
      <c r="CZ55">
        <f t="shared" si="7"/>
        <v>1.9</v>
      </c>
      <c r="DA55">
        <f t="shared" si="8"/>
        <v>13.36</v>
      </c>
      <c r="DB55">
        <f t="shared" si="4"/>
        <v>39.761249999999997</v>
      </c>
      <c r="DC55">
        <f t="shared" si="5"/>
        <v>0</v>
      </c>
    </row>
    <row r="56" spans="1:107" x14ac:dyDescent="0.2">
      <c r="A56">
        <f>ROW(Source!A82)</f>
        <v>82</v>
      </c>
      <c r="B56">
        <v>46416371</v>
      </c>
      <c r="C56">
        <v>46416990</v>
      </c>
      <c r="D56">
        <v>42570399</v>
      </c>
      <c r="E56">
        <v>1</v>
      </c>
      <c r="F56">
        <v>1</v>
      </c>
      <c r="G56">
        <v>1</v>
      </c>
      <c r="H56">
        <v>2</v>
      </c>
      <c r="I56" t="s">
        <v>478</v>
      </c>
      <c r="J56" t="s">
        <v>479</v>
      </c>
      <c r="K56" t="s">
        <v>480</v>
      </c>
      <c r="L56">
        <v>1368</v>
      </c>
      <c r="N56">
        <v>1011</v>
      </c>
      <c r="O56" t="s">
        <v>393</v>
      </c>
      <c r="P56" t="s">
        <v>393</v>
      </c>
      <c r="Q56">
        <v>1</v>
      </c>
      <c r="W56">
        <v>0</v>
      </c>
      <c r="X56">
        <v>1431364018</v>
      </c>
      <c r="Y56">
        <v>0.74749999999999994</v>
      </c>
      <c r="AA56">
        <v>0</v>
      </c>
      <c r="AB56">
        <v>43.69</v>
      </c>
      <c r="AC56">
        <v>0</v>
      </c>
      <c r="AD56">
        <v>0</v>
      </c>
      <c r="AE56">
        <v>0</v>
      </c>
      <c r="AF56">
        <v>3.27</v>
      </c>
      <c r="AG56">
        <v>0</v>
      </c>
      <c r="AH56">
        <v>0</v>
      </c>
      <c r="AI56">
        <v>1</v>
      </c>
      <c r="AJ56">
        <v>13.36</v>
      </c>
      <c r="AK56">
        <v>34.75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0.52</v>
      </c>
      <c r="AU56" t="s">
        <v>170</v>
      </c>
      <c r="AV56">
        <v>0</v>
      </c>
      <c r="AW56">
        <v>2</v>
      </c>
      <c r="AX56">
        <v>46417023</v>
      </c>
      <c r="AY56">
        <v>1</v>
      </c>
      <c r="AZ56">
        <v>0</v>
      </c>
      <c r="BA56">
        <v>55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Y56*Source!I82</f>
        <v>3.0647499999999998E-2</v>
      </c>
      <c r="CY56">
        <f t="shared" si="6"/>
        <v>43.69</v>
      </c>
      <c r="CZ56">
        <f t="shared" si="7"/>
        <v>3.27</v>
      </c>
      <c r="DA56">
        <f t="shared" si="8"/>
        <v>13.36</v>
      </c>
      <c r="DB56">
        <f t="shared" si="4"/>
        <v>2.4437500000000001</v>
      </c>
      <c r="DC56">
        <f t="shared" si="5"/>
        <v>0</v>
      </c>
    </row>
    <row r="57" spans="1:107" x14ac:dyDescent="0.2">
      <c r="A57">
        <f>ROW(Source!A82)</f>
        <v>82</v>
      </c>
      <c r="B57">
        <v>46416371</v>
      </c>
      <c r="C57">
        <v>46416990</v>
      </c>
      <c r="D57">
        <v>42570797</v>
      </c>
      <c r="E57">
        <v>1</v>
      </c>
      <c r="F57">
        <v>1</v>
      </c>
      <c r="G57">
        <v>1</v>
      </c>
      <c r="H57">
        <v>2</v>
      </c>
      <c r="I57" t="s">
        <v>442</v>
      </c>
      <c r="J57" t="s">
        <v>443</v>
      </c>
      <c r="K57" t="s">
        <v>444</v>
      </c>
      <c r="L57">
        <v>1368</v>
      </c>
      <c r="N57">
        <v>1011</v>
      </c>
      <c r="O57" t="s">
        <v>393</v>
      </c>
      <c r="P57" t="s">
        <v>393</v>
      </c>
      <c r="Q57">
        <v>1</v>
      </c>
      <c r="W57">
        <v>0</v>
      </c>
      <c r="X57">
        <v>1334273015</v>
      </c>
      <c r="Y57">
        <v>1.8831250000000002</v>
      </c>
      <c r="AA57">
        <v>0</v>
      </c>
      <c r="AB57">
        <v>803.47</v>
      </c>
      <c r="AC57">
        <v>376.69</v>
      </c>
      <c r="AD57">
        <v>0</v>
      </c>
      <c r="AE57">
        <v>0</v>
      </c>
      <c r="AF57">
        <v>60.14</v>
      </c>
      <c r="AG57">
        <v>10.84</v>
      </c>
      <c r="AH57">
        <v>0</v>
      </c>
      <c r="AI57">
        <v>1</v>
      </c>
      <c r="AJ57">
        <v>13.36</v>
      </c>
      <c r="AK57">
        <v>34.75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1.31</v>
      </c>
      <c r="AU57" t="s">
        <v>170</v>
      </c>
      <c r="AV57">
        <v>0</v>
      </c>
      <c r="AW57">
        <v>2</v>
      </c>
      <c r="AX57">
        <v>46417024</v>
      </c>
      <c r="AY57">
        <v>1</v>
      </c>
      <c r="AZ57">
        <v>0</v>
      </c>
      <c r="BA57">
        <v>56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Y57*Source!I82</f>
        <v>7.7208125000000016E-2</v>
      </c>
      <c r="CY57">
        <f t="shared" si="6"/>
        <v>803.47</v>
      </c>
      <c r="CZ57">
        <f t="shared" si="7"/>
        <v>60.14</v>
      </c>
      <c r="DA57">
        <f t="shared" si="8"/>
        <v>13.36</v>
      </c>
      <c r="DB57">
        <f t="shared" si="4"/>
        <v>113.24625</v>
      </c>
      <c r="DC57">
        <f t="shared" si="5"/>
        <v>20.412500000000001</v>
      </c>
    </row>
    <row r="58" spans="1:107" x14ac:dyDescent="0.2">
      <c r="A58">
        <f>ROW(Source!A82)</f>
        <v>82</v>
      </c>
      <c r="B58">
        <v>46416371</v>
      </c>
      <c r="C58">
        <v>46416990</v>
      </c>
      <c r="D58">
        <v>42598779</v>
      </c>
      <c r="E58">
        <v>1</v>
      </c>
      <c r="F58">
        <v>1</v>
      </c>
      <c r="G58">
        <v>1</v>
      </c>
      <c r="H58">
        <v>3</v>
      </c>
      <c r="I58" t="s">
        <v>481</v>
      </c>
      <c r="J58" t="s">
        <v>482</v>
      </c>
      <c r="K58" t="s">
        <v>483</v>
      </c>
      <c r="L58">
        <v>1348</v>
      </c>
      <c r="N58">
        <v>1009</v>
      </c>
      <c r="O58" t="s">
        <v>184</v>
      </c>
      <c r="P58" t="s">
        <v>184</v>
      </c>
      <c r="Q58">
        <v>1000</v>
      </c>
      <c r="W58">
        <v>0</v>
      </c>
      <c r="X58">
        <v>-372132089</v>
      </c>
      <c r="Y58">
        <v>1.4999999999999999E-2</v>
      </c>
      <c r="AA58">
        <v>35404.769999999997</v>
      </c>
      <c r="AB58">
        <v>0</v>
      </c>
      <c r="AC58">
        <v>0</v>
      </c>
      <c r="AD58">
        <v>0</v>
      </c>
      <c r="AE58">
        <v>4270.78</v>
      </c>
      <c r="AF58">
        <v>0</v>
      </c>
      <c r="AG58">
        <v>0</v>
      </c>
      <c r="AH58">
        <v>0</v>
      </c>
      <c r="AI58">
        <v>8.2899999999999991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1.4999999999999999E-2</v>
      </c>
      <c r="AU58" t="s">
        <v>3</v>
      </c>
      <c r="AV58">
        <v>0</v>
      </c>
      <c r="AW58">
        <v>2</v>
      </c>
      <c r="AX58">
        <v>46417025</v>
      </c>
      <c r="AY58">
        <v>1</v>
      </c>
      <c r="AZ58">
        <v>0</v>
      </c>
      <c r="BA58">
        <v>57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Y58*Source!I82</f>
        <v>6.1499999999999999E-4</v>
      </c>
      <c r="CY58">
        <f t="shared" ref="CY58:CY73" si="9">AA58</f>
        <v>35404.769999999997</v>
      </c>
      <c r="CZ58">
        <f t="shared" ref="CZ58:CZ73" si="10">AE58</f>
        <v>4270.78</v>
      </c>
      <c r="DA58">
        <f t="shared" ref="DA58:DA73" si="11">AI58</f>
        <v>8.2899999999999991</v>
      </c>
      <c r="DB58">
        <f t="shared" ref="DB58:DB73" si="12">ROUND(ROUND(AT58*CZ58,2),6)</f>
        <v>64.06</v>
      </c>
      <c r="DC58">
        <f t="shared" ref="DC58:DC73" si="13">ROUND(ROUND(AT58*AG58,2),6)</f>
        <v>0</v>
      </c>
    </row>
    <row r="59" spans="1:107" x14ac:dyDescent="0.2">
      <c r="A59">
        <f>ROW(Source!A82)</f>
        <v>82</v>
      </c>
      <c r="B59">
        <v>46416371</v>
      </c>
      <c r="C59">
        <v>46416990</v>
      </c>
      <c r="D59">
        <v>42599326</v>
      </c>
      <c r="E59">
        <v>1</v>
      </c>
      <c r="F59">
        <v>1</v>
      </c>
      <c r="G59">
        <v>1</v>
      </c>
      <c r="H59">
        <v>3</v>
      </c>
      <c r="I59" t="s">
        <v>484</v>
      </c>
      <c r="J59" t="s">
        <v>485</v>
      </c>
      <c r="K59" t="s">
        <v>486</v>
      </c>
      <c r="L59">
        <v>1348</v>
      </c>
      <c r="N59">
        <v>1009</v>
      </c>
      <c r="O59" t="s">
        <v>184</v>
      </c>
      <c r="P59" t="s">
        <v>184</v>
      </c>
      <c r="Q59">
        <v>1000</v>
      </c>
      <c r="W59">
        <v>0</v>
      </c>
      <c r="X59">
        <v>-85774657</v>
      </c>
      <c r="Y59">
        <v>0.106</v>
      </c>
      <c r="AA59">
        <v>81239.679999999993</v>
      </c>
      <c r="AB59">
        <v>0</v>
      </c>
      <c r="AC59">
        <v>0</v>
      </c>
      <c r="AD59">
        <v>0</v>
      </c>
      <c r="AE59">
        <v>9799.7199999999993</v>
      </c>
      <c r="AF59">
        <v>0</v>
      </c>
      <c r="AG59">
        <v>0</v>
      </c>
      <c r="AH59">
        <v>0</v>
      </c>
      <c r="AI59">
        <v>8.2899999999999991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0.106</v>
      </c>
      <c r="AU59" t="s">
        <v>3</v>
      </c>
      <c r="AV59">
        <v>0</v>
      </c>
      <c r="AW59">
        <v>2</v>
      </c>
      <c r="AX59">
        <v>46417026</v>
      </c>
      <c r="AY59">
        <v>1</v>
      </c>
      <c r="AZ59">
        <v>0</v>
      </c>
      <c r="BA59">
        <v>58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Y59*Source!I82</f>
        <v>4.346E-3</v>
      </c>
      <c r="CY59">
        <f t="shared" si="9"/>
        <v>81239.679999999993</v>
      </c>
      <c r="CZ59">
        <f t="shared" si="10"/>
        <v>9799.7199999999993</v>
      </c>
      <c r="DA59">
        <f t="shared" si="11"/>
        <v>8.2899999999999991</v>
      </c>
      <c r="DB59">
        <f t="shared" si="12"/>
        <v>1038.77</v>
      </c>
      <c r="DC59">
        <f t="shared" si="13"/>
        <v>0</v>
      </c>
    </row>
    <row r="60" spans="1:107" x14ac:dyDescent="0.2">
      <c r="A60">
        <f>ROW(Source!A82)</f>
        <v>82</v>
      </c>
      <c r="B60">
        <v>46416371</v>
      </c>
      <c r="C60">
        <v>46416990</v>
      </c>
      <c r="D60">
        <v>42593928</v>
      </c>
      <c r="E60">
        <v>1</v>
      </c>
      <c r="F60">
        <v>1</v>
      </c>
      <c r="G60">
        <v>1</v>
      </c>
      <c r="H60">
        <v>3</v>
      </c>
      <c r="I60" t="s">
        <v>487</v>
      </c>
      <c r="J60" t="s">
        <v>488</v>
      </c>
      <c r="K60" t="s">
        <v>489</v>
      </c>
      <c r="L60">
        <v>1327</v>
      </c>
      <c r="N60">
        <v>1005</v>
      </c>
      <c r="O60" t="s">
        <v>452</v>
      </c>
      <c r="P60" t="s">
        <v>452</v>
      </c>
      <c r="Q60">
        <v>1</v>
      </c>
      <c r="W60">
        <v>0</v>
      </c>
      <c r="X60">
        <v>-264731698</v>
      </c>
      <c r="Y60">
        <v>8.9</v>
      </c>
      <c r="AA60">
        <v>87.96</v>
      </c>
      <c r="AB60">
        <v>0</v>
      </c>
      <c r="AC60">
        <v>0</v>
      </c>
      <c r="AD60">
        <v>0</v>
      </c>
      <c r="AE60">
        <v>10.61</v>
      </c>
      <c r="AF60">
        <v>0</v>
      </c>
      <c r="AG60">
        <v>0</v>
      </c>
      <c r="AH60">
        <v>0</v>
      </c>
      <c r="AI60">
        <v>8.2899999999999991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8.9</v>
      </c>
      <c r="AU60" t="s">
        <v>3</v>
      </c>
      <c r="AV60">
        <v>0</v>
      </c>
      <c r="AW60">
        <v>2</v>
      </c>
      <c r="AX60">
        <v>46417027</v>
      </c>
      <c r="AY60">
        <v>1</v>
      </c>
      <c r="AZ60">
        <v>0</v>
      </c>
      <c r="BA60">
        <v>59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Y60*Source!I82</f>
        <v>0.3649</v>
      </c>
      <c r="CY60">
        <f t="shared" si="9"/>
        <v>87.96</v>
      </c>
      <c r="CZ60">
        <f t="shared" si="10"/>
        <v>10.61</v>
      </c>
      <c r="DA60">
        <f t="shared" si="11"/>
        <v>8.2899999999999991</v>
      </c>
      <c r="DB60">
        <f t="shared" si="12"/>
        <v>94.43</v>
      </c>
      <c r="DC60">
        <f t="shared" si="13"/>
        <v>0</v>
      </c>
    </row>
    <row r="61" spans="1:107" x14ac:dyDescent="0.2">
      <c r="A61">
        <f>ROW(Source!A82)</f>
        <v>82</v>
      </c>
      <c r="B61">
        <v>46416371</v>
      </c>
      <c r="C61">
        <v>46416990</v>
      </c>
      <c r="D61">
        <v>42599638</v>
      </c>
      <c r="E61">
        <v>1</v>
      </c>
      <c r="F61">
        <v>1</v>
      </c>
      <c r="G61">
        <v>1</v>
      </c>
      <c r="H61">
        <v>3</v>
      </c>
      <c r="I61" t="s">
        <v>490</v>
      </c>
      <c r="J61" t="s">
        <v>491</v>
      </c>
      <c r="K61" t="s">
        <v>492</v>
      </c>
      <c r="L61">
        <v>1348</v>
      </c>
      <c r="N61">
        <v>1009</v>
      </c>
      <c r="O61" t="s">
        <v>184</v>
      </c>
      <c r="P61" t="s">
        <v>184</v>
      </c>
      <c r="Q61">
        <v>1000</v>
      </c>
      <c r="W61">
        <v>0</v>
      </c>
      <c r="X61">
        <v>511917161</v>
      </c>
      <c r="Y61">
        <v>8.0000000000000002E-3</v>
      </c>
      <c r="AA61">
        <v>94977.54</v>
      </c>
      <c r="AB61">
        <v>0</v>
      </c>
      <c r="AC61">
        <v>0</v>
      </c>
      <c r="AD61">
        <v>0</v>
      </c>
      <c r="AE61">
        <v>11456.88</v>
      </c>
      <c r="AF61">
        <v>0</v>
      </c>
      <c r="AG61">
        <v>0</v>
      </c>
      <c r="AH61">
        <v>0</v>
      </c>
      <c r="AI61">
        <v>8.2899999999999991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8.0000000000000002E-3</v>
      </c>
      <c r="AU61" t="s">
        <v>3</v>
      </c>
      <c r="AV61">
        <v>0</v>
      </c>
      <c r="AW61">
        <v>2</v>
      </c>
      <c r="AX61">
        <v>46417028</v>
      </c>
      <c r="AY61">
        <v>1</v>
      </c>
      <c r="AZ61">
        <v>0</v>
      </c>
      <c r="BA61">
        <v>60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Y61*Source!I82</f>
        <v>3.28E-4</v>
      </c>
      <c r="CY61">
        <f t="shared" si="9"/>
        <v>94977.54</v>
      </c>
      <c r="CZ61">
        <f t="shared" si="10"/>
        <v>11456.88</v>
      </c>
      <c r="DA61">
        <f t="shared" si="11"/>
        <v>8.2899999999999991</v>
      </c>
      <c r="DB61">
        <f t="shared" si="12"/>
        <v>91.66</v>
      </c>
      <c r="DC61">
        <f t="shared" si="13"/>
        <v>0</v>
      </c>
    </row>
    <row r="62" spans="1:107" x14ac:dyDescent="0.2">
      <c r="A62">
        <f>ROW(Source!A82)</f>
        <v>82</v>
      </c>
      <c r="B62">
        <v>46416371</v>
      </c>
      <c r="C62">
        <v>46416990</v>
      </c>
      <c r="D62">
        <v>42601169</v>
      </c>
      <c r="E62">
        <v>1</v>
      </c>
      <c r="F62">
        <v>1</v>
      </c>
      <c r="G62">
        <v>1</v>
      </c>
      <c r="H62">
        <v>3</v>
      </c>
      <c r="I62" t="s">
        <v>493</v>
      </c>
      <c r="J62" t="s">
        <v>494</v>
      </c>
      <c r="K62" t="s">
        <v>495</v>
      </c>
      <c r="L62">
        <v>1339</v>
      </c>
      <c r="N62">
        <v>1007</v>
      </c>
      <c r="O62" t="s">
        <v>139</v>
      </c>
      <c r="P62" t="s">
        <v>139</v>
      </c>
      <c r="Q62">
        <v>1</v>
      </c>
      <c r="W62">
        <v>0</v>
      </c>
      <c r="X62">
        <v>-1168381685</v>
      </c>
      <c r="Y62">
        <v>0.22</v>
      </c>
      <c r="AA62">
        <v>5026.1400000000003</v>
      </c>
      <c r="AB62">
        <v>0</v>
      </c>
      <c r="AC62">
        <v>0</v>
      </c>
      <c r="AD62">
        <v>0</v>
      </c>
      <c r="AE62">
        <v>606.29</v>
      </c>
      <c r="AF62">
        <v>0</v>
      </c>
      <c r="AG62">
        <v>0</v>
      </c>
      <c r="AH62">
        <v>0</v>
      </c>
      <c r="AI62">
        <v>8.2899999999999991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0.22</v>
      </c>
      <c r="AU62" t="s">
        <v>3</v>
      </c>
      <c r="AV62">
        <v>0</v>
      </c>
      <c r="AW62">
        <v>2</v>
      </c>
      <c r="AX62">
        <v>46417029</v>
      </c>
      <c r="AY62">
        <v>1</v>
      </c>
      <c r="AZ62">
        <v>0</v>
      </c>
      <c r="BA62">
        <v>61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Y62*Source!I82</f>
        <v>9.0200000000000002E-3</v>
      </c>
      <c r="CY62">
        <f t="shared" si="9"/>
        <v>5026.1400000000003</v>
      </c>
      <c r="CZ62">
        <f t="shared" si="10"/>
        <v>606.29</v>
      </c>
      <c r="DA62">
        <f t="shared" si="11"/>
        <v>8.2899999999999991</v>
      </c>
      <c r="DB62">
        <f t="shared" si="12"/>
        <v>133.38</v>
      </c>
      <c r="DC62">
        <f t="shared" si="13"/>
        <v>0</v>
      </c>
    </row>
    <row r="63" spans="1:107" x14ac:dyDescent="0.2">
      <c r="A63">
        <f>ROW(Source!A82)</f>
        <v>82</v>
      </c>
      <c r="B63">
        <v>46416371</v>
      </c>
      <c r="C63">
        <v>46416990</v>
      </c>
      <c r="D63">
        <v>42600692</v>
      </c>
      <c r="E63">
        <v>1</v>
      </c>
      <c r="F63">
        <v>1</v>
      </c>
      <c r="G63">
        <v>1</v>
      </c>
      <c r="H63">
        <v>3</v>
      </c>
      <c r="I63" t="s">
        <v>496</v>
      </c>
      <c r="J63" t="s">
        <v>497</v>
      </c>
      <c r="K63" t="s">
        <v>498</v>
      </c>
      <c r="L63">
        <v>1339</v>
      </c>
      <c r="N63">
        <v>1007</v>
      </c>
      <c r="O63" t="s">
        <v>139</v>
      </c>
      <c r="P63" t="s">
        <v>139</v>
      </c>
      <c r="Q63">
        <v>1</v>
      </c>
      <c r="W63">
        <v>0</v>
      </c>
      <c r="X63">
        <v>1765362625</v>
      </c>
      <c r="Y63">
        <v>0.02</v>
      </c>
      <c r="AA63">
        <v>11585.28</v>
      </c>
      <c r="AB63">
        <v>0</v>
      </c>
      <c r="AC63">
        <v>0</v>
      </c>
      <c r="AD63">
        <v>0</v>
      </c>
      <c r="AE63">
        <v>1397.5</v>
      </c>
      <c r="AF63">
        <v>0</v>
      </c>
      <c r="AG63">
        <v>0</v>
      </c>
      <c r="AH63">
        <v>0</v>
      </c>
      <c r="AI63">
        <v>8.2899999999999991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0.02</v>
      </c>
      <c r="AU63" t="s">
        <v>3</v>
      </c>
      <c r="AV63">
        <v>0</v>
      </c>
      <c r="AW63">
        <v>2</v>
      </c>
      <c r="AX63">
        <v>46417030</v>
      </c>
      <c r="AY63">
        <v>1</v>
      </c>
      <c r="AZ63">
        <v>0</v>
      </c>
      <c r="BA63">
        <v>62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Y63*Source!I82</f>
        <v>8.2000000000000009E-4</v>
      </c>
      <c r="CY63">
        <f t="shared" si="9"/>
        <v>11585.28</v>
      </c>
      <c r="CZ63">
        <f t="shared" si="10"/>
        <v>1397.5</v>
      </c>
      <c r="DA63">
        <f t="shared" si="11"/>
        <v>8.2899999999999991</v>
      </c>
      <c r="DB63">
        <f t="shared" si="12"/>
        <v>27.95</v>
      </c>
      <c r="DC63">
        <f t="shared" si="13"/>
        <v>0</v>
      </c>
    </row>
    <row r="64" spans="1:107" x14ac:dyDescent="0.2">
      <c r="A64">
        <f>ROW(Source!A82)</f>
        <v>82</v>
      </c>
      <c r="B64">
        <v>46416371</v>
      </c>
      <c r="C64">
        <v>46416990</v>
      </c>
      <c r="D64">
        <v>42600981</v>
      </c>
      <c r="E64">
        <v>1</v>
      </c>
      <c r="F64">
        <v>1</v>
      </c>
      <c r="G64">
        <v>1</v>
      </c>
      <c r="H64">
        <v>3</v>
      </c>
      <c r="I64" t="s">
        <v>499</v>
      </c>
      <c r="J64" t="s">
        <v>500</v>
      </c>
      <c r="K64" t="s">
        <v>501</v>
      </c>
      <c r="L64">
        <v>1339</v>
      </c>
      <c r="N64">
        <v>1007</v>
      </c>
      <c r="O64" t="s">
        <v>139</v>
      </c>
      <c r="P64" t="s">
        <v>139</v>
      </c>
      <c r="Q64">
        <v>1</v>
      </c>
      <c r="W64">
        <v>0</v>
      </c>
      <c r="X64">
        <v>795155789</v>
      </c>
      <c r="Y64">
        <v>0.02</v>
      </c>
      <c r="AA64">
        <v>9902.74</v>
      </c>
      <c r="AB64">
        <v>0</v>
      </c>
      <c r="AC64">
        <v>0</v>
      </c>
      <c r="AD64">
        <v>0</v>
      </c>
      <c r="AE64">
        <v>1194.54</v>
      </c>
      <c r="AF64">
        <v>0</v>
      </c>
      <c r="AG64">
        <v>0</v>
      </c>
      <c r="AH64">
        <v>0</v>
      </c>
      <c r="AI64">
        <v>8.2899999999999991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0.02</v>
      </c>
      <c r="AU64" t="s">
        <v>3</v>
      </c>
      <c r="AV64">
        <v>0</v>
      </c>
      <c r="AW64">
        <v>2</v>
      </c>
      <c r="AX64">
        <v>46417031</v>
      </c>
      <c r="AY64">
        <v>1</v>
      </c>
      <c r="AZ64">
        <v>0</v>
      </c>
      <c r="BA64">
        <v>63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Y64*Source!I82</f>
        <v>8.2000000000000009E-4</v>
      </c>
      <c r="CY64">
        <f t="shared" si="9"/>
        <v>9902.74</v>
      </c>
      <c r="CZ64">
        <f t="shared" si="10"/>
        <v>1194.54</v>
      </c>
      <c r="DA64">
        <f t="shared" si="11"/>
        <v>8.2899999999999991</v>
      </c>
      <c r="DB64">
        <f t="shared" si="12"/>
        <v>23.89</v>
      </c>
      <c r="DC64">
        <f t="shared" si="13"/>
        <v>0</v>
      </c>
    </row>
    <row r="65" spans="1:107" x14ac:dyDescent="0.2">
      <c r="A65">
        <f>ROW(Source!A82)</f>
        <v>82</v>
      </c>
      <c r="B65">
        <v>46416371</v>
      </c>
      <c r="C65">
        <v>46416990</v>
      </c>
      <c r="D65">
        <v>42600997</v>
      </c>
      <c r="E65">
        <v>1</v>
      </c>
      <c r="F65">
        <v>1</v>
      </c>
      <c r="G65">
        <v>1</v>
      </c>
      <c r="H65">
        <v>3</v>
      </c>
      <c r="I65" t="s">
        <v>502</v>
      </c>
      <c r="J65" t="s">
        <v>503</v>
      </c>
      <c r="K65" t="s">
        <v>504</v>
      </c>
      <c r="L65">
        <v>1339</v>
      </c>
      <c r="N65">
        <v>1007</v>
      </c>
      <c r="O65" t="s">
        <v>139</v>
      </c>
      <c r="P65" t="s">
        <v>139</v>
      </c>
      <c r="Q65">
        <v>1</v>
      </c>
      <c r="W65">
        <v>0</v>
      </c>
      <c r="X65">
        <v>1676929263</v>
      </c>
      <c r="Y65">
        <v>0.28000000000000003</v>
      </c>
      <c r="AA65">
        <v>9506.06</v>
      </c>
      <c r="AB65">
        <v>0</v>
      </c>
      <c r="AC65">
        <v>0</v>
      </c>
      <c r="AD65">
        <v>0</v>
      </c>
      <c r="AE65">
        <v>1146.69</v>
      </c>
      <c r="AF65">
        <v>0</v>
      </c>
      <c r="AG65">
        <v>0</v>
      </c>
      <c r="AH65">
        <v>0</v>
      </c>
      <c r="AI65">
        <v>8.2899999999999991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0.28000000000000003</v>
      </c>
      <c r="AU65" t="s">
        <v>3</v>
      </c>
      <c r="AV65">
        <v>0</v>
      </c>
      <c r="AW65">
        <v>2</v>
      </c>
      <c r="AX65">
        <v>46417032</v>
      </c>
      <c r="AY65">
        <v>1</v>
      </c>
      <c r="AZ65">
        <v>0</v>
      </c>
      <c r="BA65">
        <v>64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Y65*Source!I82</f>
        <v>1.1480000000000002E-2</v>
      </c>
      <c r="CY65">
        <f t="shared" si="9"/>
        <v>9506.06</v>
      </c>
      <c r="CZ65">
        <f t="shared" si="10"/>
        <v>1146.69</v>
      </c>
      <c r="DA65">
        <f t="shared" si="11"/>
        <v>8.2899999999999991</v>
      </c>
      <c r="DB65">
        <f t="shared" si="12"/>
        <v>321.07</v>
      </c>
      <c r="DC65">
        <f t="shared" si="13"/>
        <v>0</v>
      </c>
    </row>
    <row r="66" spans="1:107" x14ac:dyDescent="0.2">
      <c r="A66">
        <f>ROW(Source!A82)</f>
        <v>82</v>
      </c>
      <c r="B66">
        <v>46416371</v>
      </c>
      <c r="C66">
        <v>46416990</v>
      </c>
      <c r="D66">
        <v>42589192</v>
      </c>
      <c r="E66">
        <v>1</v>
      </c>
      <c r="F66">
        <v>1</v>
      </c>
      <c r="G66">
        <v>1</v>
      </c>
      <c r="H66">
        <v>3</v>
      </c>
      <c r="I66" t="s">
        <v>505</v>
      </c>
      <c r="J66" t="s">
        <v>506</v>
      </c>
      <c r="K66" t="s">
        <v>507</v>
      </c>
      <c r="L66">
        <v>1327</v>
      </c>
      <c r="N66">
        <v>1005</v>
      </c>
      <c r="O66" t="s">
        <v>452</v>
      </c>
      <c r="P66" t="s">
        <v>452</v>
      </c>
      <c r="Q66">
        <v>1</v>
      </c>
      <c r="W66">
        <v>0</v>
      </c>
      <c r="X66">
        <v>-1343717979</v>
      </c>
      <c r="Y66">
        <v>20.7</v>
      </c>
      <c r="AA66">
        <v>455.87</v>
      </c>
      <c r="AB66">
        <v>0</v>
      </c>
      <c r="AC66">
        <v>0</v>
      </c>
      <c r="AD66">
        <v>0</v>
      </c>
      <c r="AE66">
        <v>54.99</v>
      </c>
      <c r="AF66">
        <v>0</v>
      </c>
      <c r="AG66">
        <v>0</v>
      </c>
      <c r="AH66">
        <v>0</v>
      </c>
      <c r="AI66">
        <v>8.2899999999999991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20.7</v>
      </c>
      <c r="AU66" t="s">
        <v>3</v>
      </c>
      <c r="AV66">
        <v>0</v>
      </c>
      <c r="AW66">
        <v>2</v>
      </c>
      <c r="AX66">
        <v>46417033</v>
      </c>
      <c r="AY66">
        <v>1</v>
      </c>
      <c r="AZ66">
        <v>0</v>
      </c>
      <c r="BA66">
        <v>65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Y66*Source!I82</f>
        <v>0.84870000000000001</v>
      </c>
      <c r="CY66">
        <f t="shared" si="9"/>
        <v>455.87</v>
      </c>
      <c r="CZ66">
        <f t="shared" si="10"/>
        <v>54.99</v>
      </c>
      <c r="DA66">
        <f t="shared" si="11"/>
        <v>8.2899999999999991</v>
      </c>
      <c r="DB66">
        <f t="shared" si="12"/>
        <v>1138.29</v>
      </c>
      <c r="DC66">
        <f t="shared" si="13"/>
        <v>0</v>
      </c>
    </row>
    <row r="67" spans="1:107" x14ac:dyDescent="0.2">
      <c r="A67">
        <f>ROW(Source!A82)</f>
        <v>82</v>
      </c>
      <c r="B67">
        <v>46416371</v>
      </c>
      <c r="C67">
        <v>46416990</v>
      </c>
      <c r="D67">
        <v>42589353</v>
      </c>
      <c r="E67">
        <v>1</v>
      </c>
      <c r="F67">
        <v>1</v>
      </c>
      <c r="G67">
        <v>1</v>
      </c>
      <c r="H67">
        <v>3</v>
      </c>
      <c r="I67" t="s">
        <v>196</v>
      </c>
      <c r="J67" t="s">
        <v>198</v>
      </c>
      <c r="K67" t="s">
        <v>197</v>
      </c>
      <c r="L67">
        <v>1348</v>
      </c>
      <c r="N67">
        <v>1009</v>
      </c>
      <c r="O67" t="s">
        <v>184</v>
      </c>
      <c r="P67" t="s">
        <v>184</v>
      </c>
      <c r="Q67">
        <v>1000</v>
      </c>
      <c r="W67">
        <v>0</v>
      </c>
      <c r="X67">
        <v>-922995156</v>
      </c>
      <c r="Y67">
        <v>10.731707</v>
      </c>
      <c r="AA67">
        <v>11277.14</v>
      </c>
      <c r="AB67">
        <v>0</v>
      </c>
      <c r="AC67">
        <v>0</v>
      </c>
      <c r="AD67">
        <v>0</v>
      </c>
      <c r="AE67">
        <v>1360.33</v>
      </c>
      <c r="AF67">
        <v>0</v>
      </c>
      <c r="AG67">
        <v>0</v>
      </c>
      <c r="AH67">
        <v>0</v>
      </c>
      <c r="AI67">
        <v>8.2899999999999991</v>
      </c>
      <c r="AJ67">
        <v>1</v>
      </c>
      <c r="AK67">
        <v>1</v>
      </c>
      <c r="AL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 t="s">
        <v>3</v>
      </c>
      <c r="AT67">
        <v>10.731707</v>
      </c>
      <c r="AU67" t="s">
        <v>3</v>
      </c>
      <c r="AV67">
        <v>0</v>
      </c>
      <c r="AW67">
        <v>1</v>
      </c>
      <c r="AX67">
        <v>-1</v>
      </c>
      <c r="AY67">
        <v>0</v>
      </c>
      <c r="AZ67">
        <v>0</v>
      </c>
      <c r="BA67" t="s">
        <v>3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Y67*Source!I82</f>
        <v>0.43999998700000004</v>
      </c>
      <c r="CY67">
        <f t="shared" si="9"/>
        <v>11277.14</v>
      </c>
      <c r="CZ67">
        <f t="shared" si="10"/>
        <v>1360.33</v>
      </c>
      <c r="DA67">
        <f t="shared" si="11"/>
        <v>8.2899999999999991</v>
      </c>
      <c r="DB67">
        <f t="shared" si="12"/>
        <v>14598.66</v>
      </c>
      <c r="DC67">
        <f t="shared" si="13"/>
        <v>0</v>
      </c>
    </row>
    <row r="68" spans="1:107" x14ac:dyDescent="0.2">
      <c r="A68">
        <f>ROW(Source!A82)</f>
        <v>82</v>
      </c>
      <c r="B68">
        <v>46416371</v>
      </c>
      <c r="C68">
        <v>46416990</v>
      </c>
      <c r="D68">
        <v>42589206</v>
      </c>
      <c r="E68">
        <v>1</v>
      </c>
      <c r="F68">
        <v>1</v>
      </c>
      <c r="G68">
        <v>1</v>
      </c>
      <c r="H68">
        <v>3</v>
      </c>
      <c r="I68" t="s">
        <v>182</v>
      </c>
      <c r="J68" t="s">
        <v>185</v>
      </c>
      <c r="K68" t="s">
        <v>183</v>
      </c>
      <c r="L68">
        <v>1348</v>
      </c>
      <c r="N68">
        <v>1009</v>
      </c>
      <c r="O68" t="s">
        <v>184</v>
      </c>
      <c r="P68" t="s">
        <v>184</v>
      </c>
      <c r="Q68">
        <v>1000</v>
      </c>
      <c r="W68">
        <v>1</v>
      </c>
      <c r="X68">
        <v>98865574</v>
      </c>
      <c r="Y68">
        <v>-3.2</v>
      </c>
      <c r="AA68">
        <v>44900.3</v>
      </c>
      <c r="AB68">
        <v>0</v>
      </c>
      <c r="AC68">
        <v>0</v>
      </c>
      <c r="AD68">
        <v>0</v>
      </c>
      <c r="AE68">
        <v>5416.2</v>
      </c>
      <c r="AF68">
        <v>0</v>
      </c>
      <c r="AG68">
        <v>0</v>
      </c>
      <c r="AH68">
        <v>0</v>
      </c>
      <c r="AI68">
        <v>8.2899999999999991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-3.2</v>
      </c>
      <c r="AU68" t="s">
        <v>3</v>
      </c>
      <c r="AV68">
        <v>0</v>
      </c>
      <c r="AW68">
        <v>2</v>
      </c>
      <c r="AX68">
        <v>46417034</v>
      </c>
      <c r="AY68">
        <v>1</v>
      </c>
      <c r="AZ68">
        <v>6144</v>
      </c>
      <c r="BA68">
        <v>66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Y68*Source!I82</f>
        <v>-0.13120000000000001</v>
      </c>
      <c r="CY68">
        <f t="shared" si="9"/>
        <v>44900.3</v>
      </c>
      <c r="CZ68">
        <f t="shared" si="10"/>
        <v>5416.2</v>
      </c>
      <c r="DA68">
        <f t="shared" si="11"/>
        <v>8.2899999999999991</v>
      </c>
      <c r="DB68">
        <f t="shared" si="12"/>
        <v>-17331.84</v>
      </c>
      <c r="DC68">
        <f t="shared" si="13"/>
        <v>0</v>
      </c>
    </row>
    <row r="69" spans="1:107" x14ac:dyDescent="0.2">
      <c r="A69">
        <f>ROW(Source!A82)</f>
        <v>82</v>
      </c>
      <c r="B69">
        <v>46416371</v>
      </c>
      <c r="C69">
        <v>46416990</v>
      </c>
      <c r="D69">
        <v>42571927</v>
      </c>
      <c r="E69">
        <v>1</v>
      </c>
      <c r="F69">
        <v>1</v>
      </c>
      <c r="G69">
        <v>1</v>
      </c>
      <c r="H69">
        <v>3</v>
      </c>
      <c r="I69" t="s">
        <v>187</v>
      </c>
      <c r="J69" t="s">
        <v>189</v>
      </c>
      <c r="K69" t="s">
        <v>188</v>
      </c>
      <c r="L69">
        <v>1339</v>
      </c>
      <c r="N69">
        <v>1007</v>
      </c>
      <c r="O69" t="s">
        <v>139</v>
      </c>
      <c r="P69" t="s">
        <v>139</v>
      </c>
      <c r="Q69">
        <v>1</v>
      </c>
      <c r="W69">
        <v>1</v>
      </c>
      <c r="X69">
        <v>220986734</v>
      </c>
      <c r="Y69">
        <v>-101.5</v>
      </c>
      <c r="AA69">
        <v>6198.76</v>
      </c>
      <c r="AB69">
        <v>0</v>
      </c>
      <c r="AC69">
        <v>0</v>
      </c>
      <c r="AD69">
        <v>0</v>
      </c>
      <c r="AE69">
        <v>747.74</v>
      </c>
      <c r="AF69">
        <v>0</v>
      </c>
      <c r="AG69">
        <v>0</v>
      </c>
      <c r="AH69">
        <v>0</v>
      </c>
      <c r="AI69">
        <v>8.2899999999999991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-101.5</v>
      </c>
      <c r="AU69" t="s">
        <v>3</v>
      </c>
      <c r="AV69">
        <v>0</v>
      </c>
      <c r="AW69">
        <v>2</v>
      </c>
      <c r="AX69">
        <v>46417035</v>
      </c>
      <c r="AY69">
        <v>1</v>
      </c>
      <c r="AZ69">
        <v>6144</v>
      </c>
      <c r="BA69">
        <v>67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Y69*Source!I82</f>
        <v>-4.1615000000000002</v>
      </c>
      <c r="CY69">
        <f t="shared" si="9"/>
        <v>6198.76</v>
      </c>
      <c r="CZ69">
        <f t="shared" si="10"/>
        <v>747.74</v>
      </c>
      <c r="DA69">
        <f t="shared" si="11"/>
        <v>8.2899999999999991</v>
      </c>
      <c r="DB69">
        <f t="shared" si="12"/>
        <v>-75895.61</v>
      </c>
      <c r="DC69">
        <f t="shared" si="13"/>
        <v>0</v>
      </c>
    </row>
    <row r="70" spans="1:107" x14ac:dyDescent="0.2">
      <c r="A70">
        <f>ROW(Source!A82)</f>
        <v>82</v>
      </c>
      <c r="B70">
        <v>46416371</v>
      </c>
      <c r="C70">
        <v>46416990</v>
      </c>
      <c r="D70">
        <v>42580849</v>
      </c>
      <c r="E70">
        <v>1</v>
      </c>
      <c r="F70">
        <v>1</v>
      </c>
      <c r="G70">
        <v>1</v>
      </c>
      <c r="H70">
        <v>3</v>
      </c>
      <c r="I70" t="s">
        <v>508</v>
      </c>
      <c r="J70" t="s">
        <v>509</v>
      </c>
      <c r="K70" t="s">
        <v>510</v>
      </c>
      <c r="L70">
        <v>1348</v>
      </c>
      <c r="N70">
        <v>1009</v>
      </c>
      <c r="O70" t="s">
        <v>184</v>
      </c>
      <c r="P70" t="s">
        <v>184</v>
      </c>
      <c r="Q70">
        <v>1000</v>
      </c>
      <c r="W70">
        <v>0</v>
      </c>
      <c r="X70">
        <v>-1182839843</v>
      </c>
      <c r="Y70">
        <v>0.03</v>
      </c>
      <c r="AA70">
        <v>6935</v>
      </c>
      <c r="AB70">
        <v>0</v>
      </c>
      <c r="AC70">
        <v>0</v>
      </c>
      <c r="AD70">
        <v>0</v>
      </c>
      <c r="AE70">
        <v>836.55</v>
      </c>
      <c r="AF70">
        <v>0</v>
      </c>
      <c r="AG70">
        <v>0</v>
      </c>
      <c r="AH70">
        <v>0</v>
      </c>
      <c r="AI70">
        <v>8.2899999999999991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0.03</v>
      </c>
      <c r="AU70" t="s">
        <v>3</v>
      </c>
      <c r="AV70">
        <v>0</v>
      </c>
      <c r="AW70">
        <v>2</v>
      </c>
      <c r="AX70">
        <v>46417036</v>
      </c>
      <c r="AY70">
        <v>1</v>
      </c>
      <c r="AZ70">
        <v>0</v>
      </c>
      <c r="BA70">
        <v>68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Y70*Source!I82</f>
        <v>1.23E-3</v>
      </c>
      <c r="CY70">
        <f t="shared" si="9"/>
        <v>6935</v>
      </c>
      <c r="CZ70">
        <f t="shared" si="10"/>
        <v>836.55</v>
      </c>
      <c r="DA70">
        <f t="shared" si="11"/>
        <v>8.2899999999999991</v>
      </c>
      <c r="DB70">
        <f t="shared" si="12"/>
        <v>25.1</v>
      </c>
      <c r="DC70">
        <f t="shared" si="13"/>
        <v>0</v>
      </c>
    </row>
    <row r="71" spans="1:107" x14ac:dyDescent="0.2">
      <c r="A71">
        <f>ROW(Source!A82)</f>
        <v>82</v>
      </c>
      <c r="B71">
        <v>46416371</v>
      </c>
      <c r="C71">
        <v>46416990</v>
      </c>
      <c r="D71">
        <v>42582070</v>
      </c>
      <c r="E71">
        <v>1</v>
      </c>
      <c r="F71">
        <v>1</v>
      </c>
      <c r="G71">
        <v>1</v>
      </c>
      <c r="H71">
        <v>3</v>
      </c>
      <c r="I71" t="s">
        <v>435</v>
      </c>
      <c r="J71" t="s">
        <v>436</v>
      </c>
      <c r="K71" t="s">
        <v>437</v>
      </c>
      <c r="L71">
        <v>1339</v>
      </c>
      <c r="N71">
        <v>1007</v>
      </c>
      <c r="O71" t="s">
        <v>139</v>
      </c>
      <c r="P71" t="s">
        <v>139</v>
      </c>
      <c r="Q71">
        <v>1</v>
      </c>
      <c r="W71">
        <v>0</v>
      </c>
      <c r="X71">
        <v>327932598</v>
      </c>
      <c r="Y71">
        <v>7.4880000000000004</v>
      </c>
      <c r="AA71">
        <v>10.78</v>
      </c>
      <c r="AB71">
        <v>0</v>
      </c>
      <c r="AC71">
        <v>0</v>
      </c>
      <c r="AD71">
        <v>0</v>
      </c>
      <c r="AE71">
        <v>1.3</v>
      </c>
      <c r="AF71">
        <v>0</v>
      </c>
      <c r="AG71">
        <v>0</v>
      </c>
      <c r="AH71">
        <v>0</v>
      </c>
      <c r="AI71">
        <v>8.2899999999999991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7.4880000000000004</v>
      </c>
      <c r="AU71" t="s">
        <v>3</v>
      </c>
      <c r="AV71">
        <v>0</v>
      </c>
      <c r="AW71">
        <v>2</v>
      </c>
      <c r="AX71">
        <v>46417037</v>
      </c>
      <c r="AY71">
        <v>1</v>
      </c>
      <c r="AZ71">
        <v>0</v>
      </c>
      <c r="BA71">
        <v>69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Y71*Source!I82</f>
        <v>0.307008</v>
      </c>
      <c r="CY71">
        <f t="shared" si="9"/>
        <v>10.78</v>
      </c>
      <c r="CZ71">
        <f t="shared" si="10"/>
        <v>1.3</v>
      </c>
      <c r="DA71">
        <f t="shared" si="11"/>
        <v>8.2899999999999991</v>
      </c>
      <c r="DB71">
        <f t="shared" si="12"/>
        <v>9.73</v>
      </c>
      <c r="DC71">
        <f t="shared" si="13"/>
        <v>0</v>
      </c>
    </row>
    <row r="72" spans="1:107" x14ac:dyDescent="0.2">
      <c r="A72">
        <f>ROW(Source!A82)</f>
        <v>82</v>
      </c>
      <c r="B72">
        <v>46416371</v>
      </c>
      <c r="C72">
        <v>46416990</v>
      </c>
      <c r="D72">
        <v>0</v>
      </c>
      <c r="E72">
        <v>1</v>
      </c>
      <c r="F72">
        <v>1</v>
      </c>
      <c r="G72">
        <v>1</v>
      </c>
      <c r="H72">
        <v>3</v>
      </c>
      <c r="I72" t="s">
        <v>145</v>
      </c>
      <c r="J72" t="s">
        <v>3</v>
      </c>
      <c r="K72" t="s">
        <v>191</v>
      </c>
      <c r="L72">
        <v>1339</v>
      </c>
      <c r="N72">
        <v>1007</v>
      </c>
      <c r="O72" t="s">
        <v>139</v>
      </c>
      <c r="P72" t="s">
        <v>139</v>
      </c>
      <c r="Q72">
        <v>1</v>
      </c>
      <c r="W72">
        <v>0</v>
      </c>
      <c r="X72">
        <v>1314498646</v>
      </c>
      <c r="Y72">
        <v>101.5</v>
      </c>
      <c r="AA72">
        <v>8916.67</v>
      </c>
      <c r="AB72">
        <v>0</v>
      </c>
      <c r="AC72">
        <v>0</v>
      </c>
      <c r="AD72">
        <v>0</v>
      </c>
      <c r="AE72">
        <v>8916.67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 t="s">
        <v>3</v>
      </c>
      <c r="AT72">
        <v>101.5</v>
      </c>
      <c r="AU72" t="s">
        <v>3</v>
      </c>
      <c r="AV72">
        <v>0</v>
      </c>
      <c r="AW72">
        <v>1</v>
      </c>
      <c r="AX72">
        <v>-1</v>
      </c>
      <c r="AY72">
        <v>0</v>
      </c>
      <c r="AZ72">
        <v>0</v>
      </c>
      <c r="BA72" t="s">
        <v>3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Y72*Source!I82</f>
        <v>4.1615000000000002</v>
      </c>
      <c r="CY72">
        <f t="shared" si="9"/>
        <v>8916.67</v>
      </c>
      <c r="CZ72">
        <f t="shared" si="10"/>
        <v>8916.67</v>
      </c>
      <c r="DA72">
        <f t="shared" si="11"/>
        <v>1</v>
      </c>
      <c r="DB72">
        <f t="shared" si="12"/>
        <v>905042.01</v>
      </c>
      <c r="DC72">
        <f t="shared" si="13"/>
        <v>0</v>
      </c>
    </row>
    <row r="73" spans="1:107" x14ac:dyDescent="0.2">
      <c r="A73">
        <f>ROW(Source!A82)</f>
        <v>82</v>
      </c>
      <c r="B73">
        <v>46416371</v>
      </c>
      <c r="C73">
        <v>46416990</v>
      </c>
      <c r="D73">
        <v>0</v>
      </c>
      <c r="E73">
        <v>0</v>
      </c>
      <c r="F73">
        <v>1</v>
      </c>
      <c r="G73">
        <v>1</v>
      </c>
      <c r="H73">
        <v>3</v>
      </c>
      <c r="I73" t="s">
        <v>145</v>
      </c>
      <c r="J73" t="s">
        <v>3</v>
      </c>
      <c r="K73" t="s">
        <v>183</v>
      </c>
      <c r="L73">
        <v>1348</v>
      </c>
      <c r="N73">
        <v>1009</v>
      </c>
      <c r="O73" t="s">
        <v>184</v>
      </c>
      <c r="P73" t="s">
        <v>184</v>
      </c>
      <c r="Q73">
        <v>1000</v>
      </c>
      <c r="W73">
        <v>0</v>
      </c>
      <c r="X73">
        <v>511527928</v>
      </c>
      <c r="Y73">
        <v>10.731707</v>
      </c>
      <c r="AA73">
        <v>61285</v>
      </c>
      <c r="AB73">
        <v>0</v>
      </c>
      <c r="AC73">
        <v>0</v>
      </c>
      <c r="AD73">
        <v>0</v>
      </c>
      <c r="AE73">
        <v>61285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 t="s">
        <v>3</v>
      </c>
      <c r="AT73">
        <v>10.731707</v>
      </c>
      <c r="AU73" t="s">
        <v>3</v>
      </c>
      <c r="AV73">
        <v>0</v>
      </c>
      <c r="AW73">
        <v>1</v>
      </c>
      <c r="AX73">
        <v>-1</v>
      </c>
      <c r="AY73">
        <v>0</v>
      </c>
      <c r="AZ73">
        <v>0</v>
      </c>
      <c r="BA73" t="s">
        <v>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Y73*Source!I82</f>
        <v>0.43999998700000004</v>
      </c>
      <c r="CY73">
        <f t="shared" si="9"/>
        <v>61285</v>
      </c>
      <c r="CZ73">
        <f t="shared" si="10"/>
        <v>61285</v>
      </c>
      <c r="DA73">
        <f t="shared" si="11"/>
        <v>1</v>
      </c>
      <c r="DB73">
        <f t="shared" si="12"/>
        <v>657692.66</v>
      </c>
      <c r="DC73">
        <f t="shared" si="13"/>
        <v>0</v>
      </c>
    </row>
    <row r="74" spans="1:107" x14ac:dyDescent="0.2">
      <c r="A74">
        <f>ROW(Source!A123)</f>
        <v>123</v>
      </c>
      <c r="B74">
        <v>46416371</v>
      </c>
      <c r="C74">
        <v>46468038</v>
      </c>
      <c r="D74">
        <v>42640871</v>
      </c>
      <c r="E74">
        <v>1</v>
      </c>
      <c r="F74">
        <v>1</v>
      </c>
      <c r="G74">
        <v>1</v>
      </c>
      <c r="H74">
        <v>1</v>
      </c>
      <c r="I74" t="s">
        <v>385</v>
      </c>
      <c r="J74" t="s">
        <v>3</v>
      </c>
      <c r="K74" t="s">
        <v>386</v>
      </c>
      <c r="L74">
        <v>1369</v>
      </c>
      <c r="N74">
        <v>1013</v>
      </c>
      <c r="O74" t="s">
        <v>387</v>
      </c>
      <c r="P74" t="s">
        <v>387</v>
      </c>
      <c r="Q74">
        <v>1</v>
      </c>
      <c r="W74">
        <v>0</v>
      </c>
      <c r="X74">
        <v>110868128</v>
      </c>
      <c r="Y74">
        <v>14.409499999999998</v>
      </c>
      <c r="AA74">
        <v>0</v>
      </c>
      <c r="AB74">
        <v>0</v>
      </c>
      <c r="AC74">
        <v>0</v>
      </c>
      <c r="AD74">
        <v>276.95999999999998</v>
      </c>
      <c r="AE74">
        <v>0</v>
      </c>
      <c r="AF74">
        <v>0</v>
      </c>
      <c r="AG74">
        <v>0</v>
      </c>
      <c r="AH74">
        <v>7.97</v>
      </c>
      <c r="AI74">
        <v>1</v>
      </c>
      <c r="AJ74">
        <v>1</v>
      </c>
      <c r="AK74">
        <v>1</v>
      </c>
      <c r="AL74">
        <v>34.75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12.53</v>
      </c>
      <c r="AU74" t="s">
        <v>31</v>
      </c>
      <c r="AV74">
        <v>1</v>
      </c>
      <c r="AW74">
        <v>2</v>
      </c>
      <c r="AX74">
        <v>46468043</v>
      </c>
      <c r="AY74">
        <v>1</v>
      </c>
      <c r="AZ74">
        <v>0</v>
      </c>
      <c r="BA74">
        <v>70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Y74*Source!I123</f>
        <v>0</v>
      </c>
      <c r="CY74">
        <f>AD74</f>
        <v>276.95999999999998</v>
      </c>
      <c r="CZ74">
        <f>AH74</f>
        <v>7.97</v>
      </c>
      <c r="DA74">
        <f>AL74</f>
        <v>34.75</v>
      </c>
      <c r="DB74">
        <f t="shared" ref="DB74:DB82" si="14">ROUND((ROUND(AT74*CZ74,2)*1.15),6)</f>
        <v>114.839</v>
      </c>
      <c r="DC74">
        <f t="shared" ref="DC74:DC82" si="15">ROUND((ROUND(AT74*AG74,2)*1.15),6)</f>
        <v>0</v>
      </c>
    </row>
    <row r="75" spans="1:107" x14ac:dyDescent="0.2">
      <c r="A75">
        <f>ROW(Source!A123)</f>
        <v>123</v>
      </c>
      <c r="B75">
        <v>46416371</v>
      </c>
      <c r="C75">
        <v>46468038</v>
      </c>
      <c r="D75">
        <v>121548</v>
      </c>
      <c r="E75">
        <v>1</v>
      </c>
      <c r="F75">
        <v>1</v>
      </c>
      <c r="G75">
        <v>1</v>
      </c>
      <c r="H75">
        <v>1</v>
      </c>
      <c r="I75" t="s">
        <v>26</v>
      </c>
      <c r="J75" t="s">
        <v>3</v>
      </c>
      <c r="K75" t="s">
        <v>388</v>
      </c>
      <c r="L75">
        <v>608254</v>
      </c>
      <c r="N75">
        <v>1013</v>
      </c>
      <c r="O75" t="s">
        <v>389</v>
      </c>
      <c r="P75" t="s">
        <v>389</v>
      </c>
      <c r="Q75">
        <v>1</v>
      </c>
      <c r="W75">
        <v>0</v>
      </c>
      <c r="X75">
        <v>-185737400</v>
      </c>
      <c r="Y75">
        <v>3.4959999999999996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34.75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3.04</v>
      </c>
      <c r="AU75" t="s">
        <v>31</v>
      </c>
      <c r="AV75">
        <v>2</v>
      </c>
      <c r="AW75">
        <v>2</v>
      </c>
      <c r="AX75">
        <v>46468044</v>
      </c>
      <c r="AY75">
        <v>1</v>
      </c>
      <c r="AZ75">
        <v>0</v>
      </c>
      <c r="BA75">
        <v>71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Y75*Source!I123</f>
        <v>0</v>
      </c>
      <c r="CY75">
        <f>AD75</f>
        <v>0</v>
      </c>
      <c r="CZ75">
        <f>AH75</f>
        <v>0</v>
      </c>
      <c r="DA75">
        <f>AL75</f>
        <v>1</v>
      </c>
      <c r="DB75">
        <f t="shared" si="14"/>
        <v>0</v>
      </c>
      <c r="DC75">
        <f t="shared" si="15"/>
        <v>0</v>
      </c>
    </row>
    <row r="76" spans="1:107" x14ac:dyDescent="0.2">
      <c r="A76">
        <f>ROW(Source!A123)</f>
        <v>123</v>
      </c>
      <c r="B76">
        <v>46416371</v>
      </c>
      <c r="C76">
        <v>46468038</v>
      </c>
      <c r="D76">
        <v>42567659</v>
      </c>
      <c r="E76">
        <v>1</v>
      </c>
      <c r="F76">
        <v>1</v>
      </c>
      <c r="G76">
        <v>1</v>
      </c>
      <c r="H76">
        <v>2</v>
      </c>
      <c r="I76" t="s">
        <v>394</v>
      </c>
      <c r="J76" t="s">
        <v>395</v>
      </c>
      <c r="K76" t="s">
        <v>396</v>
      </c>
      <c r="L76">
        <v>1368</v>
      </c>
      <c r="N76">
        <v>1011</v>
      </c>
      <c r="O76" t="s">
        <v>393</v>
      </c>
      <c r="P76" t="s">
        <v>393</v>
      </c>
      <c r="Q76">
        <v>1</v>
      </c>
      <c r="W76">
        <v>0</v>
      </c>
      <c r="X76">
        <v>-1300877745</v>
      </c>
      <c r="Y76">
        <v>3.4959999999999996</v>
      </c>
      <c r="AA76">
        <v>0</v>
      </c>
      <c r="AB76">
        <v>1320.9</v>
      </c>
      <c r="AC76">
        <v>326.64999999999998</v>
      </c>
      <c r="AD76">
        <v>0</v>
      </c>
      <c r="AE76">
        <v>0</v>
      </c>
      <c r="AF76">
        <v>98.87</v>
      </c>
      <c r="AG76">
        <v>9.4</v>
      </c>
      <c r="AH76">
        <v>0</v>
      </c>
      <c r="AI76">
        <v>1</v>
      </c>
      <c r="AJ76">
        <v>13.36</v>
      </c>
      <c r="AK76">
        <v>34.75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3.04</v>
      </c>
      <c r="AU76" t="s">
        <v>31</v>
      </c>
      <c r="AV76">
        <v>0</v>
      </c>
      <c r="AW76">
        <v>2</v>
      </c>
      <c r="AX76">
        <v>46468045</v>
      </c>
      <c r="AY76">
        <v>1</v>
      </c>
      <c r="AZ76">
        <v>0</v>
      </c>
      <c r="BA76">
        <v>72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Y76*Source!I123</f>
        <v>0</v>
      </c>
      <c r="CY76">
        <f>AB76</f>
        <v>1320.9</v>
      </c>
      <c r="CZ76">
        <f>AF76</f>
        <v>98.87</v>
      </c>
      <c r="DA76">
        <f>AJ76</f>
        <v>13.36</v>
      </c>
      <c r="DB76">
        <f t="shared" si="14"/>
        <v>345.64400000000001</v>
      </c>
      <c r="DC76">
        <f t="shared" si="15"/>
        <v>32.866999999999997</v>
      </c>
    </row>
    <row r="77" spans="1:107" x14ac:dyDescent="0.2">
      <c r="A77">
        <f>ROW(Source!A123)</f>
        <v>123</v>
      </c>
      <c r="B77">
        <v>46416371</v>
      </c>
      <c r="C77">
        <v>46468038</v>
      </c>
      <c r="D77">
        <v>42570360</v>
      </c>
      <c r="E77">
        <v>1</v>
      </c>
      <c r="F77">
        <v>1</v>
      </c>
      <c r="G77">
        <v>1</v>
      </c>
      <c r="H77">
        <v>2</v>
      </c>
      <c r="I77" t="s">
        <v>427</v>
      </c>
      <c r="J77" t="s">
        <v>428</v>
      </c>
      <c r="K77" t="s">
        <v>429</v>
      </c>
      <c r="L77">
        <v>1368</v>
      </c>
      <c r="N77">
        <v>1011</v>
      </c>
      <c r="O77" t="s">
        <v>393</v>
      </c>
      <c r="P77" t="s">
        <v>393</v>
      </c>
      <c r="Q77">
        <v>1</v>
      </c>
      <c r="W77">
        <v>0</v>
      </c>
      <c r="X77">
        <v>1534850152</v>
      </c>
      <c r="Y77">
        <v>14.006999999999998</v>
      </c>
      <c r="AA77">
        <v>0</v>
      </c>
      <c r="AB77">
        <v>7.35</v>
      </c>
      <c r="AC77">
        <v>0</v>
      </c>
      <c r="AD77">
        <v>0</v>
      </c>
      <c r="AE77">
        <v>0</v>
      </c>
      <c r="AF77">
        <v>0.55000000000000004</v>
      </c>
      <c r="AG77">
        <v>0</v>
      </c>
      <c r="AH77">
        <v>0</v>
      </c>
      <c r="AI77">
        <v>1</v>
      </c>
      <c r="AJ77">
        <v>13.36</v>
      </c>
      <c r="AK77">
        <v>34.75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12.18</v>
      </c>
      <c r="AU77" t="s">
        <v>31</v>
      </c>
      <c r="AV77">
        <v>0</v>
      </c>
      <c r="AW77">
        <v>2</v>
      </c>
      <c r="AX77">
        <v>46468046</v>
      </c>
      <c r="AY77">
        <v>1</v>
      </c>
      <c r="AZ77">
        <v>0</v>
      </c>
      <c r="BA77">
        <v>73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Y77*Source!I123</f>
        <v>0</v>
      </c>
      <c r="CY77">
        <f>AB77</f>
        <v>7.35</v>
      </c>
      <c r="CZ77">
        <f>AF77</f>
        <v>0.55000000000000004</v>
      </c>
      <c r="DA77">
        <f>AJ77</f>
        <v>13.36</v>
      </c>
      <c r="DB77">
        <f t="shared" si="14"/>
        <v>7.7050000000000001</v>
      </c>
      <c r="DC77">
        <f t="shared" si="15"/>
        <v>0</v>
      </c>
    </row>
    <row r="78" spans="1:107" x14ac:dyDescent="0.2">
      <c r="A78">
        <f>ROW(Source!A124)</f>
        <v>124</v>
      </c>
      <c r="B78">
        <v>46416371</v>
      </c>
      <c r="C78">
        <v>46468047</v>
      </c>
      <c r="D78">
        <v>42645178</v>
      </c>
      <c r="E78">
        <v>1</v>
      </c>
      <c r="F78">
        <v>1</v>
      </c>
      <c r="G78">
        <v>1</v>
      </c>
      <c r="H78">
        <v>1</v>
      </c>
      <c r="I78" t="s">
        <v>430</v>
      </c>
      <c r="J78" t="s">
        <v>3</v>
      </c>
      <c r="K78" t="s">
        <v>431</v>
      </c>
      <c r="L78">
        <v>1369</v>
      </c>
      <c r="N78">
        <v>1013</v>
      </c>
      <c r="O78" t="s">
        <v>387</v>
      </c>
      <c r="P78" t="s">
        <v>387</v>
      </c>
      <c r="Q78">
        <v>1</v>
      </c>
      <c r="W78">
        <v>0</v>
      </c>
      <c r="X78">
        <v>230122419</v>
      </c>
      <c r="Y78">
        <v>3.9215</v>
      </c>
      <c r="AA78">
        <v>0</v>
      </c>
      <c r="AB78">
        <v>0</v>
      </c>
      <c r="AC78">
        <v>0</v>
      </c>
      <c r="AD78">
        <v>280.43</v>
      </c>
      <c r="AE78">
        <v>0</v>
      </c>
      <c r="AF78">
        <v>0</v>
      </c>
      <c r="AG78">
        <v>0</v>
      </c>
      <c r="AH78">
        <v>8.07</v>
      </c>
      <c r="AI78">
        <v>1</v>
      </c>
      <c r="AJ78">
        <v>1</v>
      </c>
      <c r="AK78">
        <v>1</v>
      </c>
      <c r="AL78">
        <v>34.75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3.41</v>
      </c>
      <c r="AU78" t="s">
        <v>31</v>
      </c>
      <c r="AV78">
        <v>1</v>
      </c>
      <c r="AW78">
        <v>2</v>
      </c>
      <c r="AX78">
        <v>46468056</v>
      </c>
      <c r="AY78">
        <v>1</v>
      </c>
      <c r="AZ78">
        <v>0</v>
      </c>
      <c r="BA78">
        <v>74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Y78*Source!I124</f>
        <v>101.959</v>
      </c>
      <c r="CY78">
        <f>AD78</f>
        <v>280.43</v>
      </c>
      <c r="CZ78">
        <f>AH78</f>
        <v>8.07</v>
      </c>
      <c r="DA78">
        <f>AL78</f>
        <v>34.75</v>
      </c>
      <c r="DB78">
        <f t="shared" si="14"/>
        <v>31.648</v>
      </c>
      <c r="DC78">
        <f t="shared" si="15"/>
        <v>0</v>
      </c>
    </row>
    <row r="79" spans="1:107" x14ac:dyDescent="0.2">
      <c r="A79">
        <f>ROW(Source!A124)</f>
        <v>124</v>
      </c>
      <c r="B79">
        <v>46416371</v>
      </c>
      <c r="C79">
        <v>46468047</v>
      </c>
      <c r="D79">
        <v>121548</v>
      </c>
      <c r="E79">
        <v>1</v>
      </c>
      <c r="F79">
        <v>1</v>
      </c>
      <c r="G79">
        <v>1</v>
      </c>
      <c r="H79">
        <v>1</v>
      </c>
      <c r="I79" t="s">
        <v>26</v>
      </c>
      <c r="J79" t="s">
        <v>3</v>
      </c>
      <c r="K79" t="s">
        <v>388</v>
      </c>
      <c r="L79">
        <v>608254</v>
      </c>
      <c r="N79">
        <v>1013</v>
      </c>
      <c r="O79" t="s">
        <v>389</v>
      </c>
      <c r="P79" t="s">
        <v>389</v>
      </c>
      <c r="Q79">
        <v>1</v>
      </c>
      <c r="W79">
        <v>0</v>
      </c>
      <c r="X79">
        <v>-185737400</v>
      </c>
      <c r="Y79">
        <v>0.34499999999999997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34.75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0.3</v>
      </c>
      <c r="AU79" t="s">
        <v>31</v>
      </c>
      <c r="AV79">
        <v>2</v>
      </c>
      <c r="AW79">
        <v>2</v>
      </c>
      <c r="AX79">
        <v>46468057</v>
      </c>
      <c r="AY79">
        <v>1</v>
      </c>
      <c r="AZ79">
        <v>0</v>
      </c>
      <c r="BA79">
        <v>75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Y79*Source!I124</f>
        <v>8.9699999999999989</v>
      </c>
      <c r="CY79">
        <f>AD79</f>
        <v>0</v>
      </c>
      <c r="CZ79">
        <f>AH79</f>
        <v>0</v>
      </c>
      <c r="DA79">
        <f>AL79</f>
        <v>1</v>
      </c>
      <c r="DB79">
        <f t="shared" si="14"/>
        <v>0</v>
      </c>
      <c r="DC79">
        <f t="shared" si="15"/>
        <v>0</v>
      </c>
    </row>
    <row r="80" spans="1:107" x14ac:dyDescent="0.2">
      <c r="A80">
        <f>ROW(Source!A124)</f>
        <v>124</v>
      </c>
      <c r="B80">
        <v>46416371</v>
      </c>
      <c r="C80">
        <v>46468047</v>
      </c>
      <c r="D80">
        <v>42567318</v>
      </c>
      <c r="E80">
        <v>1</v>
      </c>
      <c r="F80">
        <v>1</v>
      </c>
      <c r="G80">
        <v>1</v>
      </c>
      <c r="H80">
        <v>2</v>
      </c>
      <c r="I80" t="s">
        <v>432</v>
      </c>
      <c r="J80" t="s">
        <v>433</v>
      </c>
      <c r="K80" t="s">
        <v>434</v>
      </c>
      <c r="L80">
        <v>1368</v>
      </c>
      <c r="N80">
        <v>1011</v>
      </c>
      <c r="O80" t="s">
        <v>393</v>
      </c>
      <c r="P80" t="s">
        <v>393</v>
      </c>
      <c r="Q80">
        <v>1</v>
      </c>
      <c r="W80">
        <v>0</v>
      </c>
      <c r="X80">
        <v>-197763218</v>
      </c>
      <c r="Y80">
        <v>9.1999999999999998E-2</v>
      </c>
      <c r="AA80">
        <v>0</v>
      </c>
      <c r="AB80">
        <v>1187.3</v>
      </c>
      <c r="AC80">
        <v>326.64999999999998</v>
      </c>
      <c r="AD80">
        <v>0</v>
      </c>
      <c r="AE80">
        <v>0</v>
      </c>
      <c r="AF80">
        <v>88.87</v>
      </c>
      <c r="AG80">
        <v>9.4</v>
      </c>
      <c r="AH80">
        <v>0</v>
      </c>
      <c r="AI80">
        <v>1</v>
      </c>
      <c r="AJ80">
        <v>13.36</v>
      </c>
      <c r="AK80">
        <v>34.75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0.08</v>
      </c>
      <c r="AU80" t="s">
        <v>31</v>
      </c>
      <c r="AV80">
        <v>0</v>
      </c>
      <c r="AW80">
        <v>2</v>
      </c>
      <c r="AX80">
        <v>46468058</v>
      </c>
      <c r="AY80">
        <v>1</v>
      </c>
      <c r="AZ80">
        <v>0</v>
      </c>
      <c r="BA80">
        <v>76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Y80*Source!I124</f>
        <v>2.3919999999999999</v>
      </c>
      <c r="CY80">
        <f>AB80</f>
        <v>1187.3</v>
      </c>
      <c r="CZ80">
        <f>AF80</f>
        <v>88.87</v>
      </c>
      <c r="DA80">
        <f>AJ80</f>
        <v>13.36</v>
      </c>
      <c r="DB80">
        <f t="shared" si="14"/>
        <v>8.1765000000000008</v>
      </c>
      <c r="DC80">
        <f t="shared" si="15"/>
        <v>0.86250000000000004</v>
      </c>
    </row>
    <row r="81" spans="1:107" x14ac:dyDescent="0.2">
      <c r="A81">
        <f>ROW(Source!A124)</f>
        <v>124</v>
      </c>
      <c r="B81">
        <v>46416371</v>
      </c>
      <c r="C81">
        <v>46468047</v>
      </c>
      <c r="D81">
        <v>42567659</v>
      </c>
      <c r="E81">
        <v>1</v>
      </c>
      <c r="F81">
        <v>1</v>
      </c>
      <c r="G81">
        <v>1</v>
      </c>
      <c r="H81">
        <v>2</v>
      </c>
      <c r="I81" t="s">
        <v>394</v>
      </c>
      <c r="J81" t="s">
        <v>395</v>
      </c>
      <c r="K81" t="s">
        <v>396</v>
      </c>
      <c r="L81">
        <v>1368</v>
      </c>
      <c r="N81">
        <v>1011</v>
      </c>
      <c r="O81" t="s">
        <v>393</v>
      </c>
      <c r="P81" t="s">
        <v>393</v>
      </c>
      <c r="Q81">
        <v>1</v>
      </c>
      <c r="W81">
        <v>0</v>
      </c>
      <c r="X81">
        <v>-1300877745</v>
      </c>
      <c r="Y81">
        <v>0.253</v>
      </c>
      <c r="AA81">
        <v>0</v>
      </c>
      <c r="AB81">
        <v>1320.9</v>
      </c>
      <c r="AC81">
        <v>326.64999999999998</v>
      </c>
      <c r="AD81">
        <v>0</v>
      </c>
      <c r="AE81">
        <v>0</v>
      </c>
      <c r="AF81">
        <v>98.87</v>
      </c>
      <c r="AG81">
        <v>9.4</v>
      </c>
      <c r="AH81">
        <v>0</v>
      </c>
      <c r="AI81">
        <v>1</v>
      </c>
      <c r="AJ81">
        <v>13.36</v>
      </c>
      <c r="AK81">
        <v>34.75</v>
      </c>
      <c r="AL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0.22</v>
      </c>
      <c r="AU81" t="s">
        <v>31</v>
      </c>
      <c r="AV81">
        <v>0</v>
      </c>
      <c r="AW81">
        <v>2</v>
      </c>
      <c r="AX81">
        <v>46468059</v>
      </c>
      <c r="AY81">
        <v>1</v>
      </c>
      <c r="AZ81">
        <v>0</v>
      </c>
      <c r="BA81">
        <v>77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Y81*Source!I124</f>
        <v>6.5780000000000003</v>
      </c>
      <c r="CY81">
        <f>AB81</f>
        <v>1320.9</v>
      </c>
      <c r="CZ81">
        <f>AF81</f>
        <v>98.87</v>
      </c>
      <c r="DA81">
        <f>AJ81</f>
        <v>13.36</v>
      </c>
      <c r="DB81">
        <f t="shared" si="14"/>
        <v>25.012499999999999</v>
      </c>
      <c r="DC81">
        <f t="shared" si="15"/>
        <v>2.3805000000000001</v>
      </c>
    </row>
    <row r="82" spans="1:107" x14ac:dyDescent="0.2">
      <c r="A82">
        <f>ROW(Source!A124)</f>
        <v>124</v>
      </c>
      <c r="B82">
        <v>46416371</v>
      </c>
      <c r="C82">
        <v>46468047</v>
      </c>
      <c r="D82">
        <v>42570360</v>
      </c>
      <c r="E82">
        <v>1</v>
      </c>
      <c r="F82">
        <v>1</v>
      </c>
      <c r="G82">
        <v>1</v>
      </c>
      <c r="H82">
        <v>2</v>
      </c>
      <c r="I82" t="s">
        <v>427</v>
      </c>
      <c r="J82" t="s">
        <v>428</v>
      </c>
      <c r="K82" t="s">
        <v>429</v>
      </c>
      <c r="L82">
        <v>1368</v>
      </c>
      <c r="N82">
        <v>1011</v>
      </c>
      <c r="O82" t="s">
        <v>393</v>
      </c>
      <c r="P82" t="s">
        <v>393</v>
      </c>
      <c r="Q82">
        <v>1</v>
      </c>
      <c r="W82">
        <v>0</v>
      </c>
      <c r="X82">
        <v>1534850152</v>
      </c>
      <c r="Y82">
        <v>0.50600000000000001</v>
      </c>
      <c r="AA82">
        <v>0</v>
      </c>
      <c r="AB82">
        <v>7.35</v>
      </c>
      <c r="AC82">
        <v>0</v>
      </c>
      <c r="AD82">
        <v>0</v>
      </c>
      <c r="AE82">
        <v>0</v>
      </c>
      <c r="AF82">
        <v>0.55000000000000004</v>
      </c>
      <c r="AG82">
        <v>0</v>
      </c>
      <c r="AH82">
        <v>0</v>
      </c>
      <c r="AI82">
        <v>1</v>
      </c>
      <c r="AJ82">
        <v>13.36</v>
      </c>
      <c r="AK82">
        <v>34.75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0.44</v>
      </c>
      <c r="AU82" t="s">
        <v>31</v>
      </c>
      <c r="AV82">
        <v>0</v>
      </c>
      <c r="AW82">
        <v>2</v>
      </c>
      <c r="AX82">
        <v>46468060</v>
      </c>
      <c r="AY82">
        <v>1</v>
      </c>
      <c r="AZ82">
        <v>0</v>
      </c>
      <c r="BA82">
        <v>78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Y82*Source!I124</f>
        <v>13.156000000000001</v>
      </c>
      <c r="CY82">
        <f>AB82</f>
        <v>7.35</v>
      </c>
      <c r="CZ82">
        <f>AF82</f>
        <v>0.55000000000000004</v>
      </c>
      <c r="DA82">
        <f>AJ82</f>
        <v>13.36</v>
      </c>
      <c r="DB82">
        <f t="shared" si="14"/>
        <v>0.27600000000000002</v>
      </c>
      <c r="DC82">
        <f t="shared" si="15"/>
        <v>0</v>
      </c>
    </row>
    <row r="83" spans="1:107" x14ac:dyDescent="0.2">
      <c r="A83">
        <f>ROW(Source!A124)</f>
        <v>124</v>
      </c>
      <c r="B83">
        <v>46416371</v>
      </c>
      <c r="C83">
        <v>46468047</v>
      </c>
      <c r="D83">
        <v>42581395</v>
      </c>
      <c r="E83">
        <v>1</v>
      </c>
      <c r="F83">
        <v>1</v>
      </c>
      <c r="G83">
        <v>1</v>
      </c>
      <c r="H83">
        <v>3</v>
      </c>
      <c r="I83" t="s">
        <v>137</v>
      </c>
      <c r="J83" t="s">
        <v>140</v>
      </c>
      <c r="K83" t="s">
        <v>138</v>
      </c>
      <c r="L83">
        <v>1339</v>
      </c>
      <c r="N83">
        <v>1007</v>
      </c>
      <c r="O83" t="s">
        <v>139</v>
      </c>
      <c r="P83" t="s">
        <v>139</v>
      </c>
      <c r="Q83">
        <v>1</v>
      </c>
      <c r="W83">
        <v>1</v>
      </c>
      <c r="X83">
        <v>894824937</v>
      </c>
      <c r="Y83">
        <v>-1.2</v>
      </c>
      <c r="AA83">
        <v>578.89</v>
      </c>
      <c r="AB83">
        <v>0</v>
      </c>
      <c r="AC83">
        <v>0</v>
      </c>
      <c r="AD83">
        <v>0</v>
      </c>
      <c r="AE83">
        <v>69.83</v>
      </c>
      <c r="AF83">
        <v>0</v>
      </c>
      <c r="AG83">
        <v>0</v>
      </c>
      <c r="AH83">
        <v>0</v>
      </c>
      <c r="AI83">
        <v>8.2899999999999991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-1.2</v>
      </c>
      <c r="AU83" t="s">
        <v>3</v>
      </c>
      <c r="AV83">
        <v>0</v>
      </c>
      <c r="AW83">
        <v>2</v>
      </c>
      <c r="AX83">
        <v>46468061</v>
      </c>
      <c r="AY83">
        <v>1</v>
      </c>
      <c r="AZ83">
        <v>6144</v>
      </c>
      <c r="BA83">
        <v>79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Y83*Source!I124</f>
        <v>-31.2</v>
      </c>
      <c r="CY83">
        <f>AA83</f>
        <v>578.89</v>
      </c>
      <c r="CZ83">
        <f>AE83</f>
        <v>69.83</v>
      </c>
      <c r="DA83">
        <f>AI83</f>
        <v>8.2899999999999991</v>
      </c>
      <c r="DB83">
        <f>ROUND(ROUND(AT83*CZ83,2),6)</f>
        <v>-83.8</v>
      </c>
      <c r="DC83">
        <f>ROUND(ROUND(AT83*AG83,2),6)</f>
        <v>0</v>
      </c>
    </row>
    <row r="84" spans="1:107" x14ac:dyDescent="0.2">
      <c r="A84">
        <f>ROW(Source!A124)</f>
        <v>124</v>
      </c>
      <c r="B84">
        <v>46416371</v>
      </c>
      <c r="C84">
        <v>46468047</v>
      </c>
      <c r="D84">
        <v>42582070</v>
      </c>
      <c r="E84">
        <v>1</v>
      </c>
      <c r="F84">
        <v>1</v>
      </c>
      <c r="G84">
        <v>1</v>
      </c>
      <c r="H84">
        <v>3</v>
      </c>
      <c r="I84" t="s">
        <v>435</v>
      </c>
      <c r="J84" t="s">
        <v>436</v>
      </c>
      <c r="K84" t="s">
        <v>437</v>
      </c>
      <c r="L84">
        <v>1339</v>
      </c>
      <c r="N84">
        <v>1007</v>
      </c>
      <c r="O84" t="s">
        <v>139</v>
      </c>
      <c r="P84" t="s">
        <v>139</v>
      </c>
      <c r="Q84">
        <v>1</v>
      </c>
      <c r="W84">
        <v>0</v>
      </c>
      <c r="X84">
        <v>327932598</v>
      </c>
      <c r="Y84">
        <v>0.15</v>
      </c>
      <c r="AA84">
        <v>10.78</v>
      </c>
      <c r="AB84">
        <v>0</v>
      </c>
      <c r="AC84">
        <v>0</v>
      </c>
      <c r="AD84">
        <v>0</v>
      </c>
      <c r="AE84">
        <v>1.3</v>
      </c>
      <c r="AF84">
        <v>0</v>
      </c>
      <c r="AG84">
        <v>0</v>
      </c>
      <c r="AH84">
        <v>0</v>
      </c>
      <c r="AI84">
        <v>8.2899999999999991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0.15</v>
      </c>
      <c r="AU84" t="s">
        <v>3</v>
      </c>
      <c r="AV84">
        <v>0</v>
      </c>
      <c r="AW84">
        <v>2</v>
      </c>
      <c r="AX84">
        <v>46468062</v>
      </c>
      <c r="AY84">
        <v>1</v>
      </c>
      <c r="AZ84">
        <v>0</v>
      </c>
      <c r="BA84">
        <v>80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Y84*Source!I124</f>
        <v>3.9</v>
      </c>
      <c r="CY84">
        <f>AA84</f>
        <v>10.78</v>
      </c>
      <c r="CZ84">
        <f>AE84</f>
        <v>1.3</v>
      </c>
      <c r="DA84">
        <f>AI84</f>
        <v>8.2899999999999991</v>
      </c>
      <c r="DB84">
        <f>ROUND(ROUND(AT84*CZ84,2),6)</f>
        <v>0.2</v>
      </c>
      <c r="DC84">
        <f>ROUND(ROUND(AT84*AG84,2),6)</f>
        <v>0</v>
      </c>
    </row>
    <row r="85" spans="1:107" x14ac:dyDescent="0.2">
      <c r="A85">
        <f>ROW(Source!A124)</f>
        <v>124</v>
      </c>
      <c r="B85">
        <v>46416371</v>
      </c>
      <c r="C85">
        <v>46468047</v>
      </c>
      <c r="D85">
        <v>0</v>
      </c>
      <c r="E85">
        <v>1</v>
      </c>
      <c r="F85">
        <v>1</v>
      </c>
      <c r="G85">
        <v>1</v>
      </c>
      <c r="H85">
        <v>3</v>
      </c>
      <c r="I85" t="s">
        <v>145</v>
      </c>
      <c r="J85" t="s">
        <v>3</v>
      </c>
      <c r="K85" t="s">
        <v>146</v>
      </c>
      <c r="L85">
        <v>1339</v>
      </c>
      <c r="N85">
        <v>1007</v>
      </c>
      <c r="O85" t="s">
        <v>139</v>
      </c>
      <c r="P85" t="s">
        <v>139</v>
      </c>
      <c r="Q85">
        <v>1</v>
      </c>
      <c r="W85">
        <v>0</v>
      </c>
      <c r="X85">
        <v>-1718654303</v>
      </c>
      <c r="Y85">
        <v>1.2</v>
      </c>
      <c r="AA85">
        <v>833.33</v>
      </c>
      <c r="AB85">
        <v>0</v>
      </c>
      <c r="AC85">
        <v>0</v>
      </c>
      <c r="AD85">
        <v>0</v>
      </c>
      <c r="AE85">
        <v>833.33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0</v>
      </c>
      <c r="AP85">
        <v>0</v>
      </c>
      <c r="AQ85">
        <v>0</v>
      </c>
      <c r="AR85">
        <v>0</v>
      </c>
      <c r="AS85" t="s">
        <v>3</v>
      </c>
      <c r="AT85">
        <v>1.2</v>
      </c>
      <c r="AU85" t="s">
        <v>3</v>
      </c>
      <c r="AV85">
        <v>0</v>
      </c>
      <c r="AW85">
        <v>1</v>
      </c>
      <c r="AX85">
        <v>-1</v>
      </c>
      <c r="AY85">
        <v>0</v>
      </c>
      <c r="AZ85">
        <v>0</v>
      </c>
      <c r="BA85" t="s">
        <v>3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Y85*Source!I124</f>
        <v>31.2</v>
      </c>
      <c r="CY85">
        <f>AA85</f>
        <v>833.33</v>
      </c>
      <c r="CZ85">
        <f>AE85</f>
        <v>833.33</v>
      </c>
      <c r="DA85">
        <f>AI85</f>
        <v>1</v>
      </c>
      <c r="DB85">
        <f>ROUND(ROUND(AT85*CZ85,2),6)</f>
        <v>1000</v>
      </c>
      <c r="DC85">
        <f>ROUND(ROUND(AT85*AG85,2),6)</f>
        <v>0</v>
      </c>
    </row>
    <row r="86" spans="1:107" x14ac:dyDescent="0.2">
      <c r="A86">
        <f>ROW(Source!A127)</f>
        <v>127</v>
      </c>
      <c r="B86">
        <v>46416371</v>
      </c>
      <c r="C86">
        <v>46468065</v>
      </c>
      <c r="D86">
        <v>42647090</v>
      </c>
      <c r="E86">
        <v>1</v>
      </c>
      <c r="F86">
        <v>1</v>
      </c>
      <c r="G86">
        <v>1</v>
      </c>
      <c r="H86">
        <v>1</v>
      </c>
      <c r="I86" t="s">
        <v>438</v>
      </c>
      <c r="J86" t="s">
        <v>3</v>
      </c>
      <c r="K86" t="s">
        <v>439</v>
      </c>
      <c r="L86">
        <v>1369</v>
      </c>
      <c r="N86">
        <v>1013</v>
      </c>
      <c r="O86" t="s">
        <v>387</v>
      </c>
      <c r="P86" t="s">
        <v>387</v>
      </c>
      <c r="Q86">
        <v>1</v>
      </c>
      <c r="W86">
        <v>0</v>
      </c>
      <c r="X86">
        <v>-578194210</v>
      </c>
      <c r="Y86">
        <v>101.77499999999999</v>
      </c>
      <c r="AA86">
        <v>0</v>
      </c>
      <c r="AB86">
        <v>0</v>
      </c>
      <c r="AC86">
        <v>0</v>
      </c>
      <c r="AD86">
        <v>243.6</v>
      </c>
      <c r="AE86">
        <v>0</v>
      </c>
      <c r="AF86">
        <v>0</v>
      </c>
      <c r="AG86">
        <v>0</v>
      </c>
      <c r="AH86">
        <v>7.01</v>
      </c>
      <c r="AI86">
        <v>1</v>
      </c>
      <c r="AJ86">
        <v>1</v>
      </c>
      <c r="AK86">
        <v>1</v>
      </c>
      <c r="AL86">
        <v>34.75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88.5</v>
      </c>
      <c r="AU86" t="s">
        <v>31</v>
      </c>
      <c r="AV86">
        <v>1</v>
      </c>
      <c r="AW86">
        <v>2</v>
      </c>
      <c r="AX86">
        <v>46468067</v>
      </c>
      <c r="AY86">
        <v>1</v>
      </c>
      <c r="AZ86">
        <v>0</v>
      </c>
      <c r="BA86">
        <v>81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Y86*Source!I127</f>
        <v>0</v>
      </c>
      <c r="CY86">
        <f>AD86</f>
        <v>243.6</v>
      </c>
      <c r="CZ86">
        <f>AH86</f>
        <v>7.01</v>
      </c>
      <c r="DA86">
        <f>AL86</f>
        <v>34.75</v>
      </c>
      <c r="DB86">
        <f>ROUND((ROUND(AT86*CZ86,2)*1.15),6)</f>
        <v>713.44849999999997</v>
      </c>
      <c r="DC86">
        <f>ROUND((ROUND(AT86*AG86,2)*1.15),6)</f>
        <v>0</v>
      </c>
    </row>
    <row r="87" spans="1:107" x14ac:dyDescent="0.2">
      <c r="A87">
        <f>ROW(Source!A128)</f>
        <v>128</v>
      </c>
      <c r="B87">
        <v>46416371</v>
      </c>
      <c r="C87">
        <v>46468068</v>
      </c>
      <c r="D87">
        <v>42646086</v>
      </c>
      <c r="E87">
        <v>1</v>
      </c>
      <c r="F87">
        <v>1</v>
      </c>
      <c r="G87">
        <v>1</v>
      </c>
      <c r="H87">
        <v>1</v>
      </c>
      <c r="I87" t="s">
        <v>440</v>
      </c>
      <c r="J87" t="s">
        <v>3</v>
      </c>
      <c r="K87" t="s">
        <v>441</v>
      </c>
      <c r="L87">
        <v>1369</v>
      </c>
      <c r="N87">
        <v>1013</v>
      </c>
      <c r="O87" t="s">
        <v>387</v>
      </c>
      <c r="P87" t="s">
        <v>387</v>
      </c>
      <c r="Q87">
        <v>1</v>
      </c>
      <c r="W87">
        <v>0</v>
      </c>
      <c r="X87">
        <v>-1538712529</v>
      </c>
      <c r="Y87">
        <v>18.991099999999999</v>
      </c>
      <c r="AA87">
        <v>0</v>
      </c>
      <c r="AB87">
        <v>0</v>
      </c>
      <c r="AC87">
        <v>0</v>
      </c>
      <c r="AD87">
        <v>283.91000000000003</v>
      </c>
      <c r="AE87">
        <v>0</v>
      </c>
      <c r="AF87">
        <v>0</v>
      </c>
      <c r="AG87">
        <v>0</v>
      </c>
      <c r="AH87">
        <v>8.17</v>
      </c>
      <c r="AI87">
        <v>1</v>
      </c>
      <c r="AJ87">
        <v>1</v>
      </c>
      <c r="AK87">
        <v>1</v>
      </c>
      <c r="AL87">
        <v>34.75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14.36</v>
      </c>
      <c r="AU87" t="s">
        <v>161</v>
      </c>
      <c r="AV87">
        <v>1</v>
      </c>
      <c r="AW87">
        <v>2</v>
      </c>
      <c r="AX87">
        <v>46468073</v>
      </c>
      <c r="AY87">
        <v>1</v>
      </c>
      <c r="AZ87">
        <v>0</v>
      </c>
      <c r="BA87">
        <v>82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Y87*Source!I128</f>
        <v>44.629085000000003</v>
      </c>
      <c r="CY87">
        <f>AD87</f>
        <v>283.91000000000003</v>
      </c>
      <c r="CZ87">
        <f>AH87</f>
        <v>8.17</v>
      </c>
      <c r="DA87">
        <f>AL87</f>
        <v>34.75</v>
      </c>
      <c r="DB87">
        <f>ROUND(((ROUND(AT87*CZ87,2)*1.15)*1.15),6)</f>
        <v>155.1557</v>
      </c>
      <c r="DC87">
        <f>ROUND(((ROUND(AT87*AG87,2)*1.15)*1.15),6)</f>
        <v>0</v>
      </c>
    </row>
    <row r="88" spans="1:107" x14ac:dyDescent="0.2">
      <c r="A88">
        <f>ROW(Source!A128)</f>
        <v>128</v>
      </c>
      <c r="B88">
        <v>46416371</v>
      </c>
      <c r="C88">
        <v>46468068</v>
      </c>
      <c r="D88">
        <v>42570797</v>
      </c>
      <c r="E88">
        <v>1</v>
      </c>
      <c r="F88">
        <v>1</v>
      </c>
      <c r="G88">
        <v>1</v>
      </c>
      <c r="H88">
        <v>2</v>
      </c>
      <c r="I88" t="s">
        <v>442</v>
      </c>
      <c r="J88" t="s">
        <v>443</v>
      </c>
      <c r="K88" t="s">
        <v>444</v>
      </c>
      <c r="L88">
        <v>1368</v>
      </c>
      <c r="N88">
        <v>1011</v>
      </c>
      <c r="O88" t="s">
        <v>393</v>
      </c>
      <c r="P88" t="s">
        <v>393</v>
      </c>
      <c r="Q88">
        <v>1</v>
      </c>
      <c r="W88">
        <v>0</v>
      </c>
      <c r="X88">
        <v>1334273015</v>
      </c>
      <c r="Y88">
        <v>0.359375</v>
      </c>
      <c r="AA88">
        <v>0</v>
      </c>
      <c r="AB88">
        <v>803.47</v>
      </c>
      <c r="AC88">
        <v>376.69</v>
      </c>
      <c r="AD88">
        <v>0</v>
      </c>
      <c r="AE88">
        <v>0</v>
      </c>
      <c r="AF88">
        <v>60.14</v>
      </c>
      <c r="AG88">
        <v>10.84</v>
      </c>
      <c r="AH88">
        <v>0</v>
      </c>
      <c r="AI88">
        <v>1</v>
      </c>
      <c r="AJ88">
        <v>13.36</v>
      </c>
      <c r="AK88">
        <v>34.75</v>
      </c>
      <c r="AL88">
        <v>1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0.25</v>
      </c>
      <c r="AU88" t="s">
        <v>160</v>
      </c>
      <c r="AV88">
        <v>0</v>
      </c>
      <c r="AW88">
        <v>2</v>
      </c>
      <c r="AX88">
        <v>46468074</v>
      </c>
      <c r="AY88">
        <v>1</v>
      </c>
      <c r="AZ88">
        <v>0</v>
      </c>
      <c r="BA88">
        <v>83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Y88*Source!I128</f>
        <v>0.84453125000000007</v>
      </c>
      <c r="CY88">
        <f>AB88</f>
        <v>803.47</v>
      </c>
      <c r="CZ88">
        <f>AF88</f>
        <v>60.14</v>
      </c>
      <c r="DA88">
        <f>AJ88</f>
        <v>13.36</v>
      </c>
      <c r="DB88">
        <f>ROUND(((ROUND(AT88*CZ88,2)*1.15)*1.25),6)</f>
        <v>21.62</v>
      </c>
      <c r="DC88">
        <f>ROUND(((ROUND(AT88*AG88,2)*1.15)*1.25),6)</f>
        <v>3.8956249999999999</v>
      </c>
    </row>
    <row r="89" spans="1:107" x14ac:dyDescent="0.2">
      <c r="A89">
        <f>ROW(Source!A128)</f>
        <v>128</v>
      </c>
      <c r="B89">
        <v>46416371</v>
      </c>
      <c r="C89">
        <v>46468068</v>
      </c>
      <c r="D89">
        <v>42596183</v>
      </c>
      <c r="E89">
        <v>1</v>
      </c>
      <c r="F89">
        <v>1</v>
      </c>
      <c r="G89">
        <v>1</v>
      </c>
      <c r="H89">
        <v>3</v>
      </c>
      <c r="I89" t="s">
        <v>445</v>
      </c>
      <c r="J89" t="s">
        <v>446</v>
      </c>
      <c r="K89" t="s">
        <v>447</v>
      </c>
      <c r="L89">
        <v>1346</v>
      </c>
      <c r="N89">
        <v>1009</v>
      </c>
      <c r="O89" t="s">
        <v>448</v>
      </c>
      <c r="P89" t="s">
        <v>448</v>
      </c>
      <c r="Q89">
        <v>1</v>
      </c>
      <c r="W89">
        <v>0</v>
      </c>
      <c r="X89">
        <v>-1508651562</v>
      </c>
      <c r="Y89">
        <v>7.423</v>
      </c>
      <c r="AA89">
        <v>1069.08</v>
      </c>
      <c r="AB89">
        <v>0</v>
      </c>
      <c r="AC89">
        <v>0</v>
      </c>
      <c r="AD89">
        <v>0</v>
      </c>
      <c r="AE89">
        <v>128.96</v>
      </c>
      <c r="AF89">
        <v>0</v>
      </c>
      <c r="AG89">
        <v>0</v>
      </c>
      <c r="AH89">
        <v>0</v>
      </c>
      <c r="AI89">
        <v>8.2899999999999991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7.423</v>
      </c>
      <c r="AU89" t="s">
        <v>3</v>
      </c>
      <c r="AV89">
        <v>0</v>
      </c>
      <c r="AW89">
        <v>2</v>
      </c>
      <c r="AX89">
        <v>46468075</v>
      </c>
      <c r="AY89">
        <v>1</v>
      </c>
      <c r="AZ89">
        <v>0</v>
      </c>
      <c r="BA89">
        <v>84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Y89*Source!I128</f>
        <v>17.444050000000001</v>
      </c>
      <c r="CY89">
        <f>AA89</f>
        <v>1069.08</v>
      </c>
      <c r="CZ89">
        <f>AE89</f>
        <v>128.96</v>
      </c>
      <c r="DA89">
        <f>AI89</f>
        <v>8.2899999999999991</v>
      </c>
      <c r="DB89">
        <f>ROUND(ROUND(AT89*CZ89,2),6)</f>
        <v>957.27</v>
      </c>
      <c r="DC89">
        <f>ROUND(ROUND(AT89*AG89,2),6)</f>
        <v>0</v>
      </c>
    </row>
    <row r="90" spans="1:107" x14ac:dyDescent="0.2">
      <c r="A90">
        <f>ROW(Source!A128)</f>
        <v>128</v>
      </c>
      <c r="B90">
        <v>46416371</v>
      </c>
      <c r="C90">
        <v>46468068</v>
      </c>
      <c r="D90">
        <v>42607941</v>
      </c>
      <c r="E90">
        <v>1</v>
      </c>
      <c r="F90">
        <v>1</v>
      </c>
      <c r="G90">
        <v>1</v>
      </c>
      <c r="H90">
        <v>3</v>
      </c>
      <c r="I90" t="s">
        <v>449</v>
      </c>
      <c r="J90" t="s">
        <v>450</v>
      </c>
      <c r="K90" t="s">
        <v>451</v>
      </c>
      <c r="L90">
        <v>1327</v>
      </c>
      <c r="N90">
        <v>1005</v>
      </c>
      <c r="O90" t="s">
        <v>452</v>
      </c>
      <c r="P90" t="s">
        <v>452</v>
      </c>
      <c r="Q90">
        <v>1</v>
      </c>
      <c r="W90">
        <v>0</v>
      </c>
      <c r="X90">
        <v>-745786960</v>
      </c>
      <c r="Y90">
        <v>115</v>
      </c>
      <c r="AA90">
        <v>46.09</v>
      </c>
      <c r="AB90">
        <v>0</v>
      </c>
      <c r="AC90">
        <v>0</v>
      </c>
      <c r="AD90">
        <v>0</v>
      </c>
      <c r="AE90">
        <v>5.56</v>
      </c>
      <c r="AF90">
        <v>0</v>
      </c>
      <c r="AG90">
        <v>0</v>
      </c>
      <c r="AH90">
        <v>0</v>
      </c>
      <c r="AI90">
        <v>8.2899999999999991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115</v>
      </c>
      <c r="AU90" t="s">
        <v>3</v>
      </c>
      <c r="AV90">
        <v>0</v>
      </c>
      <c r="AW90">
        <v>2</v>
      </c>
      <c r="AX90">
        <v>46468076</v>
      </c>
      <c r="AY90">
        <v>1</v>
      </c>
      <c r="AZ90">
        <v>0</v>
      </c>
      <c r="BA90">
        <v>85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Y90*Source!I128</f>
        <v>270.25</v>
      </c>
      <c r="CY90">
        <f>AA90</f>
        <v>46.09</v>
      </c>
      <c r="CZ90">
        <f>AE90</f>
        <v>5.56</v>
      </c>
      <c r="DA90">
        <f>AI90</f>
        <v>8.2899999999999991</v>
      </c>
      <c r="DB90">
        <f>ROUND(ROUND(AT90*CZ90,2),6)</f>
        <v>639.4</v>
      </c>
      <c r="DC90">
        <f>ROUND(ROUND(AT90*AG90,2),6)</f>
        <v>0</v>
      </c>
    </row>
    <row r="91" spans="1:107" x14ac:dyDescent="0.2">
      <c r="A91">
        <f>ROW(Source!A129)</f>
        <v>129</v>
      </c>
      <c r="B91">
        <v>46416371</v>
      </c>
      <c r="C91">
        <v>46468077</v>
      </c>
      <c r="D91">
        <v>42640602</v>
      </c>
      <c r="E91">
        <v>1</v>
      </c>
      <c r="F91">
        <v>1</v>
      </c>
      <c r="G91">
        <v>1</v>
      </c>
      <c r="H91">
        <v>1</v>
      </c>
      <c r="I91" t="s">
        <v>453</v>
      </c>
      <c r="J91" t="s">
        <v>3</v>
      </c>
      <c r="K91" t="s">
        <v>454</v>
      </c>
      <c r="L91">
        <v>1369</v>
      </c>
      <c r="N91">
        <v>1013</v>
      </c>
      <c r="O91" t="s">
        <v>387</v>
      </c>
      <c r="P91" t="s">
        <v>387</v>
      </c>
      <c r="Q91">
        <v>1</v>
      </c>
      <c r="W91">
        <v>0</v>
      </c>
      <c r="X91">
        <v>1571757197</v>
      </c>
      <c r="Y91">
        <v>71.15049999999998</v>
      </c>
      <c r="AA91">
        <v>0</v>
      </c>
      <c r="AB91">
        <v>0</v>
      </c>
      <c r="AC91">
        <v>0</v>
      </c>
      <c r="AD91">
        <v>287.73</v>
      </c>
      <c r="AE91">
        <v>0</v>
      </c>
      <c r="AF91">
        <v>0</v>
      </c>
      <c r="AG91">
        <v>0</v>
      </c>
      <c r="AH91">
        <v>8.2799999999999994</v>
      </c>
      <c r="AI91">
        <v>1</v>
      </c>
      <c r="AJ91">
        <v>1</v>
      </c>
      <c r="AK91">
        <v>1</v>
      </c>
      <c r="AL91">
        <v>34.75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</v>
      </c>
      <c r="AT91">
        <v>53.8</v>
      </c>
      <c r="AU91" t="s">
        <v>161</v>
      </c>
      <c r="AV91">
        <v>1</v>
      </c>
      <c r="AW91">
        <v>2</v>
      </c>
      <c r="AX91">
        <v>46468083</v>
      </c>
      <c r="AY91">
        <v>1</v>
      </c>
      <c r="AZ91">
        <v>0</v>
      </c>
      <c r="BA91">
        <v>86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Y91*Source!I129</f>
        <v>91.072639999999978</v>
      </c>
      <c r="CY91">
        <f>AD91</f>
        <v>287.73</v>
      </c>
      <c r="CZ91">
        <f>AH91</f>
        <v>8.2799999999999994</v>
      </c>
      <c r="DA91">
        <f>AL91</f>
        <v>34.75</v>
      </c>
      <c r="DB91">
        <f>ROUND(((ROUND(AT91*CZ91,2)*1.15)*1.15),6)</f>
        <v>589.12085000000002</v>
      </c>
      <c r="DC91">
        <f>ROUND(((ROUND(AT91*AG91,2)*1.15)*1.15),6)</f>
        <v>0</v>
      </c>
    </row>
    <row r="92" spans="1:107" x14ac:dyDescent="0.2">
      <c r="A92">
        <f>ROW(Source!A129)</f>
        <v>129</v>
      </c>
      <c r="B92">
        <v>46416371</v>
      </c>
      <c r="C92">
        <v>46468077</v>
      </c>
      <c r="D92">
        <v>42570797</v>
      </c>
      <c r="E92">
        <v>1</v>
      </c>
      <c r="F92">
        <v>1</v>
      </c>
      <c r="G92">
        <v>1</v>
      </c>
      <c r="H92">
        <v>2</v>
      </c>
      <c r="I92" t="s">
        <v>442</v>
      </c>
      <c r="J92" t="s">
        <v>443</v>
      </c>
      <c r="K92" t="s">
        <v>444</v>
      </c>
      <c r="L92">
        <v>1368</v>
      </c>
      <c r="N92">
        <v>1011</v>
      </c>
      <c r="O92" t="s">
        <v>393</v>
      </c>
      <c r="P92" t="s">
        <v>393</v>
      </c>
      <c r="Q92">
        <v>1</v>
      </c>
      <c r="W92">
        <v>0</v>
      </c>
      <c r="X92">
        <v>1334273015</v>
      </c>
      <c r="Y92">
        <v>0.12937499999999999</v>
      </c>
      <c r="AA92">
        <v>0</v>
      </c>
      <c r="AB92">
        <v>803.47</v>
      </c>
      <c r="AC92">
        <v>376.69</v>
      </c>
      <c r="AD92">
        <v>0</v>
      </c>
      <c r="AE92">
        <v>0</v>
      </c>
      <c r="AF92">
        <v>60.14</v>
      </c>
      <c r="AG92">
        <v>10.84</v>
      </c>
      <c r="AH92">
        <v>0</v>
      </c>
      <c r="AI92">
        <v>1</v>
      </c>
      <c r="AJ92">
        <v>13.36</v>
      </c>
      <c r="AK92">
        <v>34.75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0.09</v>
      </c>
      <c r="AU92" t="s">
        <v>170</v>
      </c>
      <c r="AV92">
        <v>0</v>
      </c>
      <c r="AW92">
        <v>2</v>
      </c>
      <c r="AX92">
        <v>46468084</v>
      </c>
      <c r="AY92">
        <v>1</v>
      </c>
      <c r="AZ92">
        <v>0</v>
      </c>
      <c r="BA92">
        <v>87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Y92*Source!I129</f>
        <v>0.1656</v>
      </c>
      <c r="CY92">
        <f>AB92</f>
        <v>803.47</v>
      </c>
      <c r="CZ92">
        <f>AF92</f>
        <v>60.14</v>
      </c>
      <c r="DA92">
        <f>AJ92</f>
        <v>13.36</v>
      </c>
      <c r="DB92">
        <f>ROUND(((ROUND(AT92*CZ92,2)*1.25)*1.15),6)</f>
        <v>7.7768750000000004</v>
      </c>
      <c r="DC92">
        <f>ROUND(((ROUND(AT92*AG92,2)*1.25)*1.15),6)</f>
        <v>1.4087499999999999</v>
      </c>
    </row>
    <row r="93" spans="1:107" x14ac:dyDescent="0.2">
      <c r="A93">
        <f>ROW(Source!A129)</f>
        <v>129</v>
      </c>
      <c r="B93">
        <v>46416371</v>
      </c>
      <c r="C93">
        <v>46468077</v>
      </c>
      <c r="D93">
        <v>42594559</v>
      </c>
      <c r="E93">
        <v>1</v>
      </c>
      <c r="F93">
        <v>1</v>
      </c>
      <c r="G93">
        <v>1</v>
      </c>
      <c r="H93">
        <v>3</v>
      </c>
      <c r="I93" t="s">
        <v>455</v>
      </c>
      <c r="J93" t="s">
        <v>456</v>
      </c>
      <c r="K93" t="s">
        <v>457</v>
      </c>
      <c r="L93">
        <v>1327</v>
      </c>
      <c r="N93">
        <v>1005</v>
      </c>
      <c r="O93" t="s">
        <v>452</v>
      </c>
      <c r="P93" t="s">
        <v>452</v>
      </c>
      <c r="Q93">
        <v>1</v>
      </c>
      <c r="W93">
        <v>0</v>
      </c>
      <c r="X93">
        <v>-1946627381</v>
      </c>
      <c r="Y93">
        <v>107</v>
      </c>
      <c r="AA93">
        <v>28.02</v>
      </c>
      <c r="AB93">
        <v>0</v>
      </c>
      <c r="AC93">
        <v>0</v>
      </c>
      <c r="AD93">
        <v>0</v>
      </c>
      <c r="AE93">
        <v>3.38</v>
      </c>
      <c r="AF93">
        <v>0</v>
      </c>
      <c r="AG93">
        <v>0</v>
      </c>
      <c r="AH93">
        <v>0</v>
      </c>
      <c r="AI93">
        <v>8.2899999999999991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107</v>
      </c>
      <c r="AU93" t="s">
        <v>3</v>
      </c>
      <c r="AV93">
        <v>0</v>
      </c>
      <c r="AW93">
        <v>2</v>
      </c>
      <c r="AX93">
        <v>46468085</v>
      </c>
      <c r="AY93">
        <v>1</v>
      </c>
      <c r="AZ93">
        <v>0</v>
      </c>
      <c r="BA93">
        <v>88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Y93*Source!I129</f>
        <v>136.96</v>
      </c>
      <c r="CY93">
        <f>AA93</f>
        <v>28.02</v>
      </c>
      <c r="CZ93">
        <f>AE93</f>
        <v>3.38</v>
      </c>
      <c r="DA93">
        <f>AI93</f>
        <v>8.2899999999999991</v>
      </c>
      <c r="DB93">
        <f>ROUND(ROUND(AT93*CZ93,2),6)</f>
        <v>361.66</v>
      </c>
      <c r="DC93">
        <f>ROUND(ROUND(AT93*AG93,2),6)</f>
        <v>0</v>
      </c>
    </row>
    <row r="94" spans="1:107" x14ac:dyDescent="0.2">
      <c r="A94">
        <f>ROW(Source!A129)</f>
        <v>129</v>
      </c>
      <c r="B94">
        <v>46416371</v>
      </c>
      <c r="C94">
        <v>46468077</v>
      </c>
      <c r="D94">
        <v>42593759</v>
      </c>
      <c r="E94">
        <v>1</v>
      </c>
      <c r="F94">
        <v>1</v>
      </c>
      <c r="G94">
        <v>1</v>
      </c>
      <c r="H94">
        <v>3</v>
      </c>
      <c r="I94" t="s">
        <v>458</v>
      </c>
      <c r="J94" t="s">
        <v>459</v>
      </c>
      <c r="K94" t="s">
        <v>460</v>
      </c>
      <c r="L94">
        <v>1346</v>
      </c>
      <c r="N94">
        <v>1009</v>
      </c>
      <c r="O94" t="s">
        <v>448</v>
      </c>
      <c r="P94" t="s">
        <v>448</v>
      </c>
      <c r="Q94">
        <v>1</v>
      </c>
      <c r="W94">
        <v>0</v>
      </c>
      <c r="X94">
        <v>-1630528999</v>
      </c>
      <c r="Y94">
        <v>22</v>
      </c>
      <c r="AA94">
        <v>133.97</v>
      </c>
      <c r="AB94">
        <v>0</v>
      </c>
      <c r="AC94">
        <v>0</v>
      </c>
      <c r="AD94">
        <v>0</v>
      </c>
      <c r="AE94">
        <v>16.16</v>
      </c>
      <c r="AF94">
        <v>0</v>
      </c>
      <c r="AG94">
        <v>0</v>
      </c>
      <c r="AH94">
        <v>0</v>
      </c>
      <c r="AI94">
        <v>8.2899999999999991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22</v>
      </c>
      <c r="AU94" t="s">
        <v>3</v>
      </c>
      <c r="AV94">
        <v>0</v>
      </c>
      <c r="AW94">
        <v>2</v>
      </c>
      <c r="AX94">
        <v>46468086</v>
      </c>
      <c r="AY94">
        <v>1</v>
      </c>
      <c r="AZ94">
        <v>0</v>
      </c>
      <c r="BA94">
        <v>89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Y94*Source!I129</f>
        <v>28.16</v>
      </c>
      <c r="CY94">
        <f>AA94</f>
        <v>133.97</v>
      </c>
      <c r="CZ94">
        <f>AE94</f>
        <v>16.16</v>
      </c>
      <c r="DA94">
        <f>AI94</f>
        <v>8.2899999999999991</v>
      </c>
      <c r="DB94">
        <f>ROUND(ROUND(AT94*CZ94,2),6)</f>
        <v>355.52</v>
      </c>
      <c r="DC94">
        <f>ROUND(ROUND(AT94*AG94,2),6)</f>
        <v>0</v>
      </c>
    </row>
    <row r="95" spans="1:107" x14ac:dyDescent="0.2">
      <c r="A95">
        <f>ROW(Source!A129)</f>
        <v>129</v>
      </c>
      <c r="B95">
        <v>46416371</v>
      </c>
      <c r="C95">
        <v>46468077</v>
      </c>
      <c r="D95">
        <v>42572018</v>
      </c>
      <c r="E95">
        <v>1</v>
      </c>
      <c r="F95">
        <v>1</v>
      </c>
      <c r="G95">
        <v>1</v>
      </c>
      <c r="H95">
        <v>3</v>
      </c>
      <c r="I95" t="s">
        <v>461</v>
      </c>
      <c r="J95" t="s">
        <v>462</v>
      </c>
      <c r="K95" t="s">
        <v>463</v>
      </c>
      <c r="L95">
        <v>1339</v>
      </c>
      <c r="N95">
        <v>1007</v>
      </c>
      <c r="O95" t="s">
        <v>139</v>
      </c>
      <c r="P95" t="s">
        <v>139</v>
      </c>
      <c r="Q95">
        <v>1</v>
      </c>
      <c r="W95">
        <v>0</v>
      </c>
      <c r="X95">
        <v>1982938735</v>
      </c>
      <c r="Y95">
        <v>0.26</v>
      </c>
      <c r="AA95">
        <v>3631.77</v>
      </c>
      <c r="AB95">
        <v>0</v>
      </c>
      <c r="AC95">
        <v>0</v>
      </c>
      <c r="AD95">
        <v>0</v>
      </c>
      <c r="AE95">
        <v>438.09</v>
      </c>
      <c r="AF95">
        <v>0</v>
      </c>
      <c r="AG95">
        <v>0</v>
      </c>
      <c r="AH95">
        <v>0</v>
      </c>
      <c r="AI95">
        <v>8.2899999999999991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0.26</v>
      </c>
      <c r="AU95" t="s">
        <v>3</v>
      </c>
      <c r="AV95">
        <v>0</v>
      </c>
      <c r="AW95">
        <v>2</v>
      </c>
      <c r="AX95">
        <v>46468087</v>
      </c>
      <c r="AY95">
        <v>1</v>
      </c>
      <c r="AZ95">
        <v>0</v>
      </c>
      <c r="BA95">
        <v>90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Y95*Source!I129</f>
        <v>0.33280000000000004</v>
      </c>
      <c r="CY95">
        <f>AA95</f>
        <v>3631.77</v>
      </c>
      <c r="CZ95">
        <f>AE95</f>
        <v>438.09</v>
      </c>
      <c r="DA95">
        <f>AI95</f>
        <v>8.2899999999999991</v>
      </c>
      <c r="DB95">
        <f>ROUND(ROUND(AT95*CZ95,2),6)</f>
        <v>113.9</v>
      </c>
      <c r="DC95">
        <f>ROUND(ROUND(AT95*AG95,2),6)</f>
        <v>0</v>
      </c>
    </row>
    <row r="96" spans="1:107" x14ac:dyDescent="0.2">
      <c r="A96">
        <f>ROW(Source!A130)</f>
        <v>130</v>
      </c>
      <c r="B96">
        <v>46416371</v>
      </c>
      <c r="C96">
        <v>46468088</v>
      </c>
      <c r="D96">
        <v>42645565</v>
      </c>
      <c r="E96">
        <v>1</v>
      </c>
      <c r="F96">
        <v>1</v>
      </c>
      <c r="G96">
        <v>1</v>
      </c>
      <c r="H96">
        <v>1</v>
      </c>
      <c r="I96" t="s">
        <v>464</v>
      </c>
      <c r="J96" t="s">
        <v>3</v>
      </c>
      <c r="K96" t="s">
        <v>465</v>
      </c>
      <c r="L96">
        <v>1369</v>
      </c>
      <c r="N96">
        <v>1013</v>
      </c>
      <c r="O96" t="s">
        <v>387</v>
      </c>
      <c r="P96" t="s">
        <v>387</v>
      </c>
      <c r="Q96">
        <v>1</v>
      </c>
      <c r="W96">
        <v>0</v>
      </c>
      <c r="X96">
        <v>-1290178105</v>
      </c>
      <c r="Y96">
        <v>1106.4563999999998</v>
      </c>
      <c r="AA96">
        <v>0</v>
      </c>
      <c r="AB96">
        <v>0</v>
      </c>
      <c r="AC96">
        <v>0</v>
      </c>
      <c r="AD96">
        <v>272.44</v>
      </c>
      <c r="AE96">
        <v>0</v>
      </c>
      <c r="AF96">
        <v>0</v>
      </c>
      <c r="AG96">
        <v>0</v>
      </c>
      <c r="AH96">
        <v>7.84</v>
      </c>
      <c r="AI96">
        <v>1</v>
      </c>
      <c r="AJ96">
        <v>1</v>
      </c>
      <c r="AK96">
        <v>1</v>
      </c>
      <c r="AL96">
        <v>34.75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278.88</v>
      </c>
      <c r="AU96" t="s">
        <v>203</v>
      </c>
      <c r="AV96">
        <v>1</v>
      </c>
      <c r="AW96">
        <v>2</v>
      </c>
      <c r="AX96">
        <v>46468114</v>
      </c>
      <c r="AY96">
        <v>1</v>
      </c>
      <c r="AZ96">
        <v>0</v>
      </c>
      <c r="BA96">
        <v>91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Y96*Source!I130</f>
        <v>287.67866399999997</v>
      </c>
      <c r="CY96">
        <f>AD96</f>
        <v>272.44</v>
      </c>
      <c r="CZ96">
        <f>AH96</f>
        <v>7.84</v>
      </c>
      <c r="DA96">
        <f>AL96</f>
        <v>34.75</v>
      </c>
      <c r="DB96">
        <f>ROUND(((ROUND(AT96*CZ96,2)*1.15)*1.15*3),6)</f>
        <v>8674.6213499999994</v>
      </c>
      <c r="DC96">
        <f>ROUND(((ROUND(AT96*AG96,2)*1.15)*1.15*3),6)</f>
        <v>0</v>
      </c>
    </row>
    <row r="97" spans="1:107" x14ac:dyDescent="0.2">
      <c r="A97">
        <f>ROW(Source!A130)</f>
        <v>130</v>
      </c>
      <c r="B97">
        <v>46416371</v>
      </c>
      <c r="C97">
        <v>46468088</v>
      </c>
      <c r="D97">
        <v>121548</v>
      </c>
      <c r="E97">
        <v>1</v>
      </c>
      <c r="F97">
        <v>1</v>
      </c>
      <c r="G97">
        <v>1</v>
      </c>
      <c r="H97">
        <v>1</v>
      </c>
      <c r="I97" t="s">
        <v>26</v>
      </c>
      <c r="J97" t="s">
        <v>3</v>
      </c>
      <c r="K97" t="s">
        <v>388</v>
      </c>
      <c r="L97">
        <v>608254</v>
      </c>
      <c r="N97">
        <v>1013</v>
      </c>
      <c r="O97" t="s">
        <v>389</v>
      </c>
      <c r="P97" t="s">
        <v>389</v>
      </c>
      <c r="Q97">
        <v>1</v>
      </c>
      <c r="W97">
        <v>0</v>
      </c>
      <c r="X97">
        <v>-185737400</v>
      </c>
      <c r="Y97">
        <v>25.630624999999995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34.75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17.829999999999998</v>
      </c>
      <c r="AU97" t="s">
        <v>170</v>
      </c>
      <c r="AV97">
        <v>2</v>
      </c>
      <c r="AW97">
        <v>2</v>
      </c>
      <c r="AX97">
        <v>46468115</v>
      </c>
      <c r="AY97">
        <v>1</v>
      </c>
      <c r="AZ97">
        <v>0</v>
      </c>
      <c r="BA97">
        <v>92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Y97*Source!I130</f>
        <v>6.6639624999999985</v>
      </c>
      <c r="CY97">
        <f>AD97</f>
        <v>0</v>
      </c>
      <c r="CZ97">
        <f>AH97</f>
        <v>0</v>
      </c>
      <c r="DA97">
        <f>AL97</f>
        <v>1</v>
      </c>
      <c r="DB97">
        <f t="shared" ref="DB97:DB104" si="16">ROUND(((ROUND(AT97*CZ97,2)*1.25)*1.15),6)</f>
        <v>0</v>
      </c>
      <c r="DC97">
        <f t="shared" ref="DC97:DC104" si="17">ROUND(((ROUND(AT97*AG97,2)*1.25)*1.15),6)</f>
        <v>0</v>
      </c>
    </row>
    <row r="98" spans="1:107" x14ac:dyDescent="0.2">
      <c r="A98">
        <f>ROW(Source!A130)</f>
        <v>130</v>
      </c>
      <c r="B98">
        <v>46416371</v>
      </c>
      <c r="C98">
        <v>46468088</v>
      </c>
      <c r="D98">
        <v>42567157</v>
      </c>
      <c r="E98">
        <v>1</v>
      </c>
      <c r="F98">
        <v>1</v>
      </c>
      <c r="G98">
        <v>1</v>
      </c>
      <c r="H98">
        <v>2</v>
      </c>
      <c r="I98" t="s">
        <v>466</v>
      </c>
      <c r="J98" t="s">
        <v>467</v>
      </c>
      <c r="K98" t="s">
        <v>468</v>
      </c>
      <c r="L98">
        <v>1368</v>
      </c>
      <c r="N98">
        <v>1011</v>
      </c>
      <c r="O98" t="s">
        <v>393</v>
      </c>
      <c r="P98" t="s">
        <v>393</v>
      </c>
      <c r="Q98">
        <v>1</v>
      </c>
      <c r="W98">
        <v>0</v>
      </c>
      <c r="X98">
        <v>845452885</v>
      </c>
      <c r="Y98">
        <v>1.2506249999999999</v>
      </c>
      <c r="AA98">
        <v>0</v>
      </c>
      <c r="AB98">
        <v>1187.3</v>
      </c>
      <c r="AC98">
        <v>438.55</v>
      </c>
      <c r="AD98">
        <v>0</v>
      </c>
      <c r="AE98">
        <v>0</v>
      </c>
      <c r="AF98">
        <v>88.87</v>
      </c>
      <c r="AG98">
        <v>12.62</v>
      </c>
      <c r="AH98">
        <v>0</v>
      </c>
      <c r="AI98">
        <v>1</v>
      </c>
      <c r="AJ98">
        <v>13.36</v>
      </c>
      <c r="AK98">
        <v>34.75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0.87</v>
      </c>
      <c r="AU98" t="s">
        <v>170</v>
      </c>
      <c r="AV98">
        <v>0</v>
      </c>
      <c r="AW98">
        <v>2</v>
      </c>
      <c r="AX98">
        <v>46468116</v>
      </c>
      <c r="AY98">
        <v>1</v>
      </c>
      <c r="AZ98">
        <v>0</v>
      </c>
      <c r="BA98">
        <v>93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Y98*Source!I130</f>
        <v>0.32516249999999997</v>
      </c>
      <c r="CY98">
        <f t="shared" ref="CY98:CY104" si="18">AB98</f>
        <v>1187.3</v>
      </c>
      <c r="CZ98">
        <f t="shared" ref="CZ98:CZ104" si="19">AF98</f>
        <v>88.87</v>
      </c>
      <c r="DA98">
        <f t="shared" ref="DA98:DA104" si="20">AJ98</f>
        <v>13.36</v>
      </c>
      <c r="DB98">
        <f t="shared" si="16"/>
        <v>111.14749999999999</v>
      </c>
      <c r="DC98">
        <f t="shared" si="17"/>
        <v>15.78375</v>
      </c>
    </row>
    <row r="99" spans="1:107" x14ac:dyDescent="0.2">
      <c r="A99">
        <f>ROW(Source!A130)</f>
        <v>130</v>
      </c>
      <c r="B99">
        <v>46416371</v>
      </c>
      <c r="C99">
        <v>46468088</v>
      </c>
      <c r="D99">
        <v>42567205</v>
      </c>
      <c r="E99">
        <v>1</v>
      </c>
      <c r="F99">
        <v>1</v>
      </c>
      <c r="G99">
        <v>1</v>
      </c>
      <c r="H99">
        <v>2</v>
      </c>
      <c r="I99" t="s">
        <v>469</v>
      </c>
      <c r="J99" t="s">
        <v>470</v>
      </c>
      <c r="K99" t="s">
        <v>471</v>
      </c>
      <c r="L99">
        <v>1368</v>
      </c>
      <c r="N99">
        <v>1011</v>
      </c>
      <c r="O99" t="s">
        <v>393</v>
      </c>
      <c r="P99" t="s">
        <v>393</v>
      </c>
      <c r="Q99">
        <v>1</v>
      </c>
      <c r="W99">
        <v>0</v>
      </c>
      <c r="X99">
        <v>-166738881</v>
      </c>
      <c r="Y99">
        <v>23.991875</v>
      </c>
      <c r="AA99">
        <v>0</v>
      </c>
      <c r="AB99">
        <v>1348.02</v>
      </c>
      <c r="AC99">
        <v>438.55</v>
      </c>
      <c r="AD99">
        <v>0</v>
      </c>
      <c r="AE99">
        <v>0</v>
      </c>
      <c r="AF99">
        <v>100.9</v>
      </c>
      <c r="AG99">
        <v>12.62</v>
      </c>
      <c r="AH99">
        <v>0</v>
      </c>
      <c r="AI99">
        <v>1</v>
      </c>
      <c r="AJ99">
        <v>13.36</v>
      </c>
      <c r="AK99">
        <v>34.75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16.690000000000001</v>
      </c>
      <c r="AU99" t="s">
        <v>170</v>
      </c>
      <c r="AV99">
        <v>0</v>
      </c>
      <c r="AW99">
        <v>2</v>
      </c>
      <c r="AX99">
        <v>46468117</v>
      </c>
      <c r="AY99">
        <v>1</v>
      </c>
      <c r="AZ99">
        <v>0</v>
      </c>
      <c r="BA99">
        <v>94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Y99*Source!I130</f>
        <v>6.2378875000000003</v>
      </c>
      <c r="CY99">
        <f t="shared" si="18"/>
        <v>1348.02</v>
      </c>
      <c r="CZ99">
        <f t="shared" si="19"/>
        <v>100.9</v>
      </c>
      <c r="DA99">
        <f t="shared" si="20"/>
        <v>13.36</v>
      </c>
      <c r="DB99">
        <f t="shared" si="16"/>
        <v>2420.7787499999999</v>
      </c>
      <c r="DC99">
        <f t="shared" si="17"/>
        <v>302.78062499999999</v>
      </c>
    </row>
    <row r="100" spans="1:107" x14ac:dyDescent="0.2">
      <c r="A100">
        <f>ROW(Source!A130)</f>
        <v>130</v>
      </c>
      <c r="B100">
        <v>46416371</v>
      </c>
      <c r="C100">
        <v>46468088</v>
      </c>
      <c r="D100">
        <v>42567318</v>
      </c>
      <c r="E100">
        <v>1</v>
      </c>
      <c r="F100">
        <v>1</v>
      </c>
      <c r="G100">
        <v>1</v>
      </c>
      <c r="H100">
        <v>2</v>
      </c>
      <c r="I100" t="s">
        <v>432</v>
      </c>
      <c r="J100" t="s">
        <v>433</v>
      </c>
      <c r="K100" t="s">
        <v>434</v>
      </c>
      <c r="L100">
        <v>1368</v>
      </c>
      <c r="N100">
        <v>1011</v>
      </c>
      <c r="O100" t="s">
        <v>393</v>
      </c>
      <c r="P100" t="s">
        <v>393</v>
      </c>
      <c r="Q100">
        <v>1</v>
      </c>
      <c r="W100">
        <v>0</v>
      </c>
      <c r="X100">
        <v>-197763218</v>
      </c>
      <c r="Y100">
        <v>0.388125</v>
      </c>
      <c r="AA100">
        <v>0</v>
      </c>
      <c r="AB100">
        <v>1187.3</v>
      </c>
      <c r="AC100">
        <v>326.64999999999998</v>
      </c>
      <c r="AD100">
        <v>0</v>
      </c>
      <c r="AE100">
        <v>0</v>
      </c>
      <c r="AF100">
        <v>88.87</v>
      </c>
      <c r="AG100">
        <v>9.4</v>
      </c>
      <c r="AH100">
        <v>0</v>
      </c>
      <c r="AI100">
        <v>1</v>
      </c>
      <c r="AJ100">
        <v>13.36</v>
      </c>
      <c r="AK100">
        <v>34.75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0.27</v>
      </c>
      <c r="AU100" t="s">
        <v>170</v>
      </c>
      <c r="AV100">
        <v>0</v>
      </c>
      <c r="AW100">
        <v>2</v>
      </c>
      <c r="AX100">
        <v>46468118</v>
      </c>
      <c r="AY100">
        <v>1</v>
      </c>
      <c r="AZ100">
        <v>0</v>
      </c>
      <c r="BA100">
        <v>95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Y100*Source!I130</f>
        <v>0.1009125</v>
      </c>
      <c r="CY100">
        <f t="shared" si="18"/>
        <v>1187.3</v>
      </c>
      <c r="CZ100">
        <f t="shared" si="19"/>
        <v>88.87</v>
      </c>
      <c r="DA100">
        <f t="shared" si="20"/>
        <v>13.36</v>
      </c>
      <c r="DB100">
        <f t="shared" si="16"/>
        <v>34.485624999999999</v>
      </c>
      <c r="DC100">
        <f t="shared" si="17"/>
        <v>3.6512500000000001</v>
      </c>
    </row>
    <row r="101" spans="1:107" x14ac:dyDescent="0.2">
      <c r="A101">
        <f>ROW(Source!A130)</f>
        <v>130</v>
      </c>
      <c r="B101">
        <v>46416371</v>
      </c>
      <c r="C101">
        <v>46468088</v>
      </c>
      <c r="D101">
        <v>42567594</v>
      </c>
      <c r="E101">
        <v>1</v>
      </c>
      <c r="F101">
        <v>1</v>
      </c>
      <c r="G101">
        <v>1</v>
      </c>
      <c r="H101">
        <v>2</v>
      </c>
      <c r="I101" t="s">
        <v>472</v>
      </c>
      <c r="J101" t="s">
        <v>473</v>
      </c>
      <c r="K101" t="s">
        <v>474</v>
      </c>
      <c r="L101">
        <v>1368</v>
      </c>
      <c r="N101">
        <v>1011</v>
      </c>
      <c r="O101" t="s">
        <v>393</v>
      </c>
      <c r="P101" t="s">
        <v>393</v>
      </c>
      <c r="Q101">
        <v>1</v>
      </c>
      <c r="W101">
        <v>0</v>
      </c>
      <c r="X101">
        <v>-435130156</v>
      </c>
      <c r="Y101">
        <v>119.45625</v>
      </c>
      <c r="AA101">
        <v>0</v>
      </c>
      <c r="AB101">
        <v>108.22</v>
      </c>
      <c r="AC101">
        <v>0</v>
      </c>
      <c r="AD101">
        <v>0</v>
      </c>
      <c r="AE101">
        <v>0</v>
      </c>
      <c r="AF101">
        <v>8.1</v>
      </c>
      <c r="AG101">
        <v>0</v>
      </c>
      <c r="AH101">
        <v>0</v>
      </c>
      <c r="AI101">
        <v>1</v>
      </c>
      <c r="AJ101">
        <v>13.36</v>
      </c>
      <c r="AK101">
        <v>34.75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83.1</v>
      </c>
      <c r="AU101" t="s">
        <v>170</v>
      </c>
      <c r="AV101">
        <v>0</v>
      </c>
      <c r="AW101">
        <v>2</v>
      </c>
      <c r="AX101">
        <v>46468119</v>
      </c>
      <c r="AY101">
        <v>1</v>
      </c>
      <c r="AZ101">
        <v>0</v>
      </c>
      <c r="BA101">
        <v>96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Y101*Source!I130</f>
        <v>31.058624999999999</v>
      </c>
      <c r="CY101">
        <f t="shared" si="18"/>
        <v>108.22</v>
      </c>
      <c r="CZ101">
        <f t="shared" si="19"/>
        <v>8.1</v>
      </c>
      <c r="DA101">
        <f t="shared" si="20"/>
        <v>13.36</v>
      </c>
      <c r="DB101">
        <f t="shared" si="16"/>
        <v>967.59562500000004</v>
      </c>
      <c r="DC101">
        <f t="shared" si="17"/>
        <v>0</v>
      </c>
    </row>
    <row r="102" spans="1:107" x14ac:dyDescent="0.2">
      <c r="A102">
        <f>ROW(Source!A130)</f>
        <v>130</v>
      </c>
      <c r="B102">
        <v>46416371</v>
      </c>
      <c r="C102">
        <v>46468088</v>
      </c>
      <c r="D102">
        <v>42568333</v>
      </c>
      <c r="E102">
        <v>1</v>
      </c>
      <c r="F102">
        <v>1</v>
      </c>
      <c r="G102">
        <v>1</v>
      </c>
      <c r="H102">
        <v>2</v>
      </c>
      <c r="I102" t="s">
        <v>475</v>
      </c>
      <c r="J102" t="s">
        <v>476</v>
      </c>
      <c r="K102" t="s">
        <v>477</v>
      </c>
      <c r="L102">
        <v>1368</v>
      </c>
      <c r="N102">
        <v>1011</v>
      </c>
      <c r="O102" t="s">
        <v>393</v>
      </c>
      <c r="P102" t="s">
        <v>393</v>
      </c>
      <c r="Q102">
        <v>1</v>
      </c>
      <c r="W102">
        <v>0</v>
      </c>
      <c r="X102">
        <v>318929633</v>
      </c>
      <c r="Y102">
        <v>20.929999999999996</v>
      </c>
      <c r="AA102">
        <v>0</v>
      </c>
      <c r="AB102">
        <v>25.38</v>
      </c>
      <c r="AC102">
        <v>0</v>
      </c>
      <c r="AD102">
        <v>0</v>
      </c>
      <c r="AE102">
        <v>0</v>
      </c>
      <c r="AF102">
        <v>1.9</v>
      </c>
      <c r="AG102">
        <v>0</v>
      </c>
      <c r="AH102">
        <v>0</v>
      </c>
      <c r="AI102">
        <v>1</v>
      </c>
      <c r="AJ102">
        <v>13.36</v>
      </c>
      <c r="AK102">
        <v>34.75</v>
      </c>
      <c r="AL102">
        <v>1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14.56</v>
      </c>
      <c r="AU102" t="s">
        <v>170</v>
      </c>
      <c r="AV102">
        <v>0</v>
      </c>
      <c r="AW102">
        <v>2</v>
      </c>
      <c r="AX102">
        <v>46468120</v>
      </c>
      <c r="AY102">
        <v>1</v>
      </c>
      <c r="AZ102">
        <v>0</v>
      </c>
      <c r="BA102">
        <v>97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Y102*Source!I130</f>
        <v>5.4417999999999989</v>
      </c>
      <c r="CY102">
        <f t="shared" si="18"/>
        <v>25.38</v>
      </c>
      <c r="CZ102">
        <f t="shared" si="19"/>
        <v>1.9</v>
      </c>
      <c r="DA102">
        <f t="shared" si="20"/>
        <v>13.36</v>
      </c>
      <c r="DB102">
        <f t="shared" si="16"/>
        <v>39.761249999999997</v>
      </c>
      <c r="DC102">
        <f t="shared" si="17"/>
        <v>0</v>
      </c>
    </row>
    <row r="103" spans="1:107" x14ac:dyDescent="0.2">
      <c r="A103">
        <f>ROW(Source!A130)</f>
        <v>130</v>
      </c>
      <c r="B103">
        <v>46416371</v>
      </c>
      <c r="C103">
        <v>46468088</v>
      </c>
      <c r="D103">
        <v>42570399</v>
      </c>
      <c r="E103">
        <v>1</v>
      </c>
      <c r="F103">
        <v>1</v>
      </c>
      <c r="G103">
        <v>1</v>
      </c>
      <c r="H103">
        <v>2</v>
      </c>
      <c r="I103" t="s">
        <v>478</v>
      </c>
      <c r="J103" t="s">
        <v>479</v>
      </c>
      <c r="K103" t="s">
        <v>480</v>
      </c>
      <c r="L103">
        <v>1368</v>
      </c>
      <c r="N103">
        <v>1011</v>
      </c>
      <c r="O103" t="s">
        <v>393</v>
      </c>
      <c r="P103" t="s">
        <v>393</v>
      </c>
      <c r="Q103">
        <v>1</v>
      </c>
      <c r="W103">
        <v>0</v>
      </c>
      <c r="X103">
        <v>1431364018</v>
      </c>
      <c r="Y103">
        <v>0.74749999999999994</v>
      </c>
      <c r="AA103">
        <v>0</v>
      </c>
      <c r="AB103">
        <v>43.69</v>
      </c>
      <c r="AC103">
        <v>0</v>
      </c>
      <c r="AD103">
        <v>0</v>
      </c>
      <c r="AE103">
        <v>0</v>
      </c>
      <c r="AF103">
        <v>3.27</v>
      </c>
      <c r="AG103">
        <v>0</v>
      </c>
      <c r="AH103">
        <v>0</v>
      </c>
      <c r="AI103">
        <v>1</v>
      </c>
      <c r="AJ103">
        <v>13.36</v>
      </c>
      <c r="AK103">
        <v>34.75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0.52</v>
      </c>
      <c r="AU103" t="s">
        <v>170</v>
      </c>
      <c r="AV103">
        <v>0</v>
      </c>
      <c r="AW103">
        <v>2</v>
      </c>
      <c r="AX103">
        <v>46468121</v>
      </c>
      <c r="AY103">
        <v>1</v>
      </c>
      <c r="AZ103">
        <v>0</v>
      </c>
      <c r="BA103">
        <v>98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Y103*Source!I130</f>
        <v>0.19434999999999999</v>
      </c>
      <c r="CY103">
        <f t="shared" si="18"/>
        <v>43.69</v>
      </c>
      <c r="CZ103">
        <f t="shared" si="19"/>
        <v>3.27</v>
      </c>
      <c r="DA103">
        <f t="shared" si="20"/>
        <v>13.36</v>
      </c>
      <c r="DB103">
        <f t="shared" si="16"/>
        <v>2.4437500000000001</v>
      </c>
      <c r="DC103">
        <f t="shared" si="17"/>
        <v>0</v>
      </c>
    </row>
    <row r="104" spans="1:107" x14ac:dyDescent="0.2">
      <c r="A104">
        <f>ROW(Source!A130)</f>
        <v>130</v>
      </c>
      <c r="B104">
        <v>46416371</v>
      </c>
      <c r="C104">
        <v>46468088</v>
      </c>
      <c r="D104">
        <v>42570797</v>
      </c>
      <c r="E104">
        <v>1</v>
      </c>
      <c r="F104">
        <v>1</v>
      </c>
      <c r="G104">
        <v>1</v>
      </c>
      <c r="H104">
        <v>2</v>
      </c>
      <c r="I104" t="s">
        <v>442</v>
      </c>
      <c r="J104" t="s">
        <v>443</v>
      </c>
      <c r="K104" t="s">
        <v>444</v>
      </c>
      <c r="L104">
        <v>1368</v>
      </c>
      <c r="N104">
        <v>1011</v>
      </c>
      <c r="O104" t="s">
        <v>393</v>
      </c>
      <c r="P104" t="s">
        <v>393</v>
      </c>
      <c r="Q104">
        <v>1</v>
      </c>
      <c r="W104">
        <v>0</v>
      </c>
      <c r="X104">
        <v>1334273015</v>
      </c>
      <c r="Y104">
        <v>1.8831250000000002</v>
      </c>
      <c r="AA104">
        <v>0</v>
      </c>
      <c r="AB104">
        <v>803.47</v>
      </c>
      <c r="AC104">
        <v>376.69</v>
      </c>
      <c r="AD104">
        <v>0</v>
      </c>
      <c r="AE104">
        <v>0</v>
      </c>
      <c r="AF104">
        <v>60.14</v>
      </c>
      <c r="AG104">
        <v>10.84</v>
      </c>
      <c r="AH104">
        <v>0</v>
      </c>
      <c r="AI104">
        <v>1</v>
      </c>
      <c r="AJ104">
        <v>13.36</v>
      </c>
      <c r="AK104">
        <v>34.75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1.31</v>
      </c>
      <c r="AU104" t="s">
        <v>170</v>
      </c>
      <c r="AV104">
        <v>0</v>
      </c>
      <c r="AW104">
        <v>2</v>
      </c>
      <c r="AX104">
        <v>46468122</v>
      </c>
      <c r="AY104">
        <v>1</v>
      </c>
      <c r="AZ104">
        <v>0</v>
      </c>
      <c r="BA104">
        <v>99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Y104*Source!I130</f>
        <v>0.48961250000000006</v>
      </c>
      <c r="CY104">
        <f t="shared" si="18"/>
        <v>803.47</v>
      </c>
      <c r="CZ104">
        <f t="shared" si="19"/>
        <v>60.14</v>
      </c>
      <c r="DA104">
        <f t="shared" si="20"/>
        <v>13.36</v>
      </c>
      <c r="DB104">
        <f t="shared" si="16"/>
        <v>113.24625</v>
      </c>
      <c r="DC104">
        <f t="shared" si="17"/>
        <v>20.412500000000001</v>
      </c>
    </row>
    <row r="105" spans="1:107" x14ac:dyDescent="0.2">
      <c r="A105">
        <f>ROW(Source!A130)</f>
        <v>130</v>
      </c>
      <c r="B105">
        <v>46416371</v>
      </c>
      <c r="C105">
        <v>46468088</v>
      </c>
      <c r="D105">
        <v>42598779</v>
      </c>
      <c r="E105">
        <v>1</v>
      </c>
      <c r="F105">
        <v>1</v>
      </c>
      <c r="G105">
        <v>1</v>
      </c>
      <c r="H105">
        <v>3</v>
      </c>
      <c r="I105" t="s">
        <v>481</v>
      </c>
      <c r="J105" t="s">
        <v>482</v>
      </c>
      <c r="K105" t="s">
        <v>483</v>
      </c>
      <c r="L105">
        <v>1348</v>
      </c>
      <c r="N105">
        <v>1009</v>
      </c>
      <c r="O105" t="s">
        <v>184</v>
      </c>
      <c r="P105" t="s">
        <v>184</v>
      </c>
      <c r="Q105">
        <v>1000</v>
      </c>
      <c r="W105">
        <v>0</v>
      </c>
      <c r="X105">
        <v>-372132089</v>
      </c>
      <c r="Y105">
        <v>1.4999999999999999E-2</v>
      </c>
      <c r="AA105">
        <v>35404.769999999997</v>
      </c>
      <c r="AB105">
        <v>0</v>
      </c>
      <c r="AC105">
        <v>0</v>
      </c>
      <c r="AD105">
        <v>0</v>
      </c>
      <c r="AE105">
        <v>4270.78</v>
      </c>
      <c r="AF105">
        <v>0</v>
      </c>
      <c r="AG105">
        <v>0</v>
      </c>
      <c r="AH105">
        <v>0</v>
      </c>
      <c r="AI105">
        <v>8.2899999999999991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3</v>
      </c>
      <c r="AT105">
        <v>1.4999999999999999E-2</v>
      </c>
      <c r="AU105" t="s">
        <v>3</v>
      </c>
      <c r="AV105">
        <v>0</v>
      </c>
      <c r="AW105">
        <v>2</v>
      </c>
      <c r="AX105">
        <v>46468123</v>
      </c>
      <c r="AY105">
        <v>1</v>
      </c>
      <c r="AZ105">
        <v>0</v>
      </c>
      <c r="BA105">
        <v>100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Y105*Source!I130</f>
        <v>3.8999999999999998E-3</v>
      </c>
      <c r="CY105">
        <f t="shared" ref="CY105:CY120" si="21">AA105</f>
        <v>35404.769999999997</v>
      </c>
      <c r="CZ105">
        <f t="shared" ref="CZ105:CZ120" si="22">AE105</f>
        <v>4270.78</v>
      </c>
      <c r="DA105">
        <f t="shared" ref="DA105:DA120" si="23">AI105</f>
        <v>8.2899999999999991</v>
      </c>
      <c r="DB105">
        <f t="shared" ref="DB105:DB120" si="24">ROUND(ROUND(AT105*CZ105,2),6)</f>
        <v>64.06</v>
      </c>
      <c r="DC105">
        <f t="shared" ref="DC105:DC120" si="25">ROUND(ROUND(AT105*AG105,2),6)</f>
        <v>0</v>
      </c>
    </row>
    <row r="106" spans="1:107" x14ac:dyDescent="0.2">
      <c r="A106">
        <f>ROW(Source!A130)</f>
        <v>130</v>
      </c>
      <c r="B106">
        <v>46416371</v>
      </c>
      <c r="C106">
        <v>46468088</v>
      </c>
      <c r="D106">
        <v>42599326</v>
      </c>
      <c r="E106">
        <v>1</v>
      </c>
      <c r="F106">
        <v>1</v>
      </c>
      <c r="G106">
        <v>1</v>
      </c>
      <c r="H106">
        <v>3</v>
      </c>
      <c r="I106" t="s">
        <v>484</v>
      </c>
      <c r="J106" t="s">
        <v>485</v>
      </c>
      <c r="K106" t="s">
        <v>486</v>
      </c>
      <c r="L106">
        <v>1348</v>
      </c>
      <c r="N106">
        <v>1009</v>
      </c>
      <c r="O106" t="s">
        <v>184</v>
      </c>
      <c r="P106" t="s">
        <v>184</v>
      </c>
      <c r="Q106">
        <v>1000</v>
      </c>
      <c r="W106">
        <v>0</v>
      </c>
      <c r="X106">
        <v>-85774657</v>
      </c>
      <c r="Y106">
        <v>0.106</v>
      </c>
      <c r="AA106">
        <v>81239.679999999993</v>
      </c>
      <c r="AB106">
        <v>0</v>
      </c>
      <c r="AC106">
        <v>0</v>
      </c>
      <c r="AD106">
        <v>0</v>
      </c>
      <c r="AE106">
        <v>9799.7199999999993</v>
      </c>
      <c r="AF106">
        <v>0</v>
      </c>
      <c r="AG106">
        <v>0</v>
      </c>
      <c r="AH106">
        <v>0</v>
      </c>
      <c r="AI106">
        <v>8.2899999999999991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3</v>
      </c>
      <c r="AT106">
        <v>0.106</v>
      </c>
      <c r="AU106" t="s">
        <v>3</v>
      </c>
      <c r="AV106">
        <v>0</v>
      </c>
      <c r="AW106">
        <v>2</v>
      </c>
      <c r="AX106">
        <v>46468124</v>
      </c>
      <c r="AY106">
        <v>1</v>
      </c>
      <c r="AZ106">
        <v>0</v>
      </c>
      <c r="BA106">
        <v>101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Y106*Source!I130</f>
        <v>2.7560000000000001E-2</v>
      </c>
      <c r="CY106">
        <f t="shared" si="21"/>
        <v>81239.679999999993</v>
      </c>
      <c r="CZ106">
        <f t="shared" si="22"/>
        <v>9799.7199999999993</v>
      </c>
      <c r="DA106">
        <f t="shared" si="23"/>
        <v>8.2899999999999991</v>
      </c>
      <c r="DB106">
        <f t="shared" si="24"/>
        <v>1038.77</v>
      </c>
      <c r="DC106">
        <f t="shared" si="25"/>
        <v>0</v>
      </c>
    </row>
    <row r="107" spans="1:107" x14ac:dyDescent="0.2">
      <c r="A107">
        <f>ROW(Source!A130)</f>
        <v>130</v>
      </c>
      <c r="B107">
        <v>46416371</v>
      </c>
      <c r="C107">
        <v>46468088</v>
      </c>
      <c r="D107">
        <v>42593928</v>
      </c>
      <c r="E107">
        <v>1</v>
      </c>
      <c r="F107">
        <v>1</v>
      </c>
      <c r="G107">
        <v>1</v>
      </c>
      <c r="H107">
        <v>3</v>
      </c>
      <c r="I107" t="s">
        <v>487</v>
      </c>
      <c r="J107" t="s">
        <v>488</v>
      </c>
      <c r="K107" t="s">
        <v>489</v>
      </c>
      <c r="L107">
        <v>1327</v>
      </c>
      <c r="N107">
        <v>1005</v>
      </c>
      <c r="O107" t="s">
        <v>452</v>
      </c>
      <c r="P107" t="s">
        <v>452</v>
      </c>
      <c r="Q107">
        <v>1</v>
      </c>
      <c r="W107">
        <v>0</v>
      </c>
      <c r="X107">
        <v>-264731698</v>
      </c>
      <c r="Y107">
        <v>8.9</v>
      </c>
      <c r="AA107">
        <v>87.96</v>
      </c>
      <c r="AB107">
        <v>0</v>
      </c>
      <c r="AC107">
        <v>0</v>
      </c>
      <c r="AD107">
        <v>0</v>
      </c>
      <c r="AE107">
        <v>10.61</v>
      </c>
      <c r="AF107">
        <v>0</v>
      </c>
      <c r="AG107">
        <v>0</v>
      </c>
      <c r="AH107">
        <v>0</v>
      </c>
      <c r="AI107">
        <v>8.2899999999999991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3</v>
      </c>
      <c r="AT107">
        <v>8.9</v>
      </c>
      <c r="AU107" t="s">
        <v>3</v>
      </c>
      <c r="AV107">
        <v>0</v>
      </c>
      <c r="AW107">
        <v>2</v>
      </c>
      <c r="AX107">
        <v>46468125</v>
      </c>
      <c r="AY107">
        <v>1</v>
      </c>
      <c r="AZ107">
        <v>0</v>
      </c>
      <c r="BA107">
        <v>102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Y107*Source!I130</f>
        <v>2.3140000000000001</v>
      </c>
      <c r="CY107">
        <f t="shared" si="21"/>
        <v>87.96</v>
      </c>
      <c r="CZ107">
        <f t="shared" si="22"/>
        <v>10.61</v>
      </c>
      <c r="DA107">
        <f t="shared" si="23"/>
        <v>8.2899999999999991</v>
      </c>
      <c r="DB107">
        <f t="shared" si="24"/>
        <v>94.43</v>
      </c>
      <c r="DC107">
        <f t="shared" si="25"/>
        <v>0</v>
      </c>
    </row>
    <row r="108" spans="1:107" x14ac:dyDescent="0.2">
      <c r="A108">
        <f>ROW(Source!A130)</f>
        <v>130</v>
      </c>
      <c r="B108">
        <v>46416371</v>
      </c>
      <c r="C108">
        <v>46468088</v>
      </c>
      <c r="D108">
        <v>42599638</v>
      </c>
      <c r="E108">
        <v>1</v>
      </c>
      <c r="F108">
        <v>1</v>
      </c>
      <c r="G108">
        <v>1</v>
      </c>
      <c r="H108">
        <v>3</v>
      </c>
      <c r="I108" t="s">
        <v>490</v>
      </c>
      <c r="J108" t="s">
        <v>491</v>
      </c>
      <c r="K108" t="s">
        <v>492</v>
      </c>
      <c r="L108">
        <v>1348</v>
      </c>
      <c r="N108">
        <v>1009</v>
      </c>
      <c r="O108" t="s">
        <v>184</v>
      </c>
      <c r="P108" t="s">
        <v>184</v>
      </c>
      <c r="Q108">
        <v>1000</v>
      </c>
      <c r="W108">
        <v>0</v>
      </c>
      <c r="X108">
        <v>511917161</v>
      </c>
      <c r="Y108">
        <v>8.0000000000000002E-3</v>
      </c>
      <c r="AA108">
        <v>94977.54</v>
      </c>
      <c r="AB108">
        <v>0</v>
      </c>
      <c r="AC108">
        <v>0</v>
      </c>
      <c r="AD108">
        <v>0</v>
      </c>
      <c r="AE108">
        <v>11456.88</v>
      </c>
      <c r="AF108">
        <v>0</v>
      </c>
      <c r="AG108">
        <v>0</v>
      </c>
      <c r="AH108">
        <v>0</v>
      </c>
      <c r="AI108">
        <v>8.2899999999999991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3</v>
      </c>
      <c r="AT108">
        <v>8.0000000000000002E-3</v>
      </c>
      <c r="AU108" t="s">
        <v>3</v>
      </c>
      <c r="AV108">
        <v>0</v>
      </c>
      <c r="AW108">
        <v>2</v>
      </c>
      <c r="AX108">
        <v>46468126</v>
      </c>
      <c r="AY108">
        <v>1</v>
      </c>
      <c r="AZ108">
        <v>0</v>
      </c>
      <c r="BA108">
        <v>103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Y108*Source!I130</f>
        <v>2.0800000000000003E-3</v>
      </c>
      <c r="CY108">
        <f t="shared" si="21"/>
        <v>94977.54</v>
      </c>
      <c r="CZ108">
        <f t="shared" si="22"/>
        <v>11456.88</v>
      </c>
      <c r="DA108">
        <f t="shared" si="23"/>
        <v>8.2899999999999991</v>
      </c>
      <c r="DB108">
        <f t="shared" si="24"/>
        <v>91.66</v>
      </c>
      <c r="DC108">
        <f t="shared" si="25"/>
        <v>0</v>
      </c>
    </row>
    <row r="109" spans="1:107" x14ac:dyDescent="0.2">
      <c r="A109">
        <f>ROW(Source!A130)</f>
        <v>130</v>
      </c>
      <c r="B109">
        <v>46416371</v>
      </c>
      <c r="C109">
        <v>46468088</v>
      </c>
      <c r="D109">
        <v>42601169</v>
      </c>
      <c r="E109">
        <v>1</v>
      </c>
      <c r="F109">
        <v>1</v>
      </c>
      <c r="G109">
        <v>1</v>
      </c>
      <c r="H109">
        <v>3</v>
      </c>
      <c r="I109" t="s">
        <v>493</v>
      </c>
      <c r="J109" t="s">
        <v>494</v>
      </c>
      <c r="K109" t="s">
        <v>495</v>
      </c>
      <c r="L109">
        <v>1339</v>
      </c>
      <c r="N109">
        <v>1007</v>
      </c>
      <c r="O109" t="s">
        <v>139</v>
      </c>
      <c r="P109" t="s">
        <v>139</v>
      </c>
      <c r="Q109">
        <v>1</v>
      </c>
      <c r="W109">
        <v>0</v>
      </c>
      <c r="X109">
        <v>-1168381685</v>
      </c>
      <c r="Y109">
        <v>0.22</v>
      </c>
      <c r="AA109">
        <v>5026.1400000000003</v>
      </c>
      <c r="AB109">
        <v>0</v>
      </c>
      <c r="AC109">
        <v>0</v>
      </c>
      <c r="AD109">
        <v>0</v>
      </c>
      <c r="AE109">
        <v>606.29</v>
      </c>
      <c r="AF109">
        <v>0</v>
      </c>
      <c r="AG109">
        <v>0</v>
      </c>
      <c r="AH109">
        <v>0</v>
      </c>
      <c r="AI109">
        <v>8.2899999999999991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0.22</v>
      </c>
      <c r="AU109" t="s">
        <v>3</v>
      </c>
      <c r="AV109">
        <v>0</v>
      </c>
      <c r="AW109">
        <v>2</v>
      </c>
      <c r="AX109">
        <v>46468127</v>
      </c>
      <c r="AY109">
        <v>1</v>
      </c>
      <c r="AZ109">
        <v>0</v>
      </c>
      <c r="BA109">
        <v>104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Y109*Source!I130</f>
        <v>5.7200000000000001E-2</v>
      </c>
      <c r="CY109">
        <f t="shared" si="21"/>
        <v>5026.1400000000003</v>
      </c>
      <c r="CZ109">
        <f t="shared" si="22"/>
        <v>606.29</v>
      </c>
      <c r="DA109">
        <f t="shared" si="23"/>
        <v>8.2899999999999991</v>
      </c>
      <c r="DB109">
        <f t="shared" si="24"/>
        <v>133.38</v>
      </c>
      <c r="DC109">
        <f t="shared" si="25"/>
        <v>0</v>
      </c>
    </row>
    <row r="110" spans="1:107" x14ac:dyDescent="0.2">
      <c r="A110">
        <f>ROW(Source!A130)</f>
        <v>130</v>
      </c>
      <c r="B110">
        <v>46416371</v>
      </c>
      <c r="C110">
        <v>46468088</v>
      </c>
      <c r="D110">
        <v>42600692</v>
      </c>
      <c r="E110">
        <v>1</v>
      </c>
      <c r="F110">
        <v>1</v>
      </c>
      <c r="G110">
        <v>1</v>
      </c>
      <c r="H110">
        <v>3</v>
      </c>
      <c r="I110" t="s">
        <v>496</v>
      </c>
      <c r="J110" t="s">
        <v>497</v>
      </c>
      <c r="K110" t="s">
        <v>498</v>
      </c>
      <c r="L110">
        <v>1339</v>
      </c>
      <c r="N110">
        <v>1007</v>
      </c>
      <c r="O110" t="s">
        <v>139</v>
      </c>
      <c r="P110" t="s">
        <v>139</v>
      </c>
      <c r="Q110">
        <v>1</v>
      </c>
      <c r="W110">
        <v>0</v>
      </c>
      <c r="X110">
        <v>1765362625</v>
      </c>
      <c r="Y110">
        <v>0.02</v>
      </c>
      <c r="AA110">
        <v>11585.28</v>
      </c>
      <c r="AB110">
        <v>0</v>
      </c>
      <c r="AC110">
        <v>0</v>
      </c>
      <c r="AD110">
        <v>0</v>
      </c>
      <c r="AE110">
        <v>1397.5</v>
      </c>
      <c r="AF110">
        <v>0</v>
      </c>
      <c r="AG110">
        <v>0</v>
      </c>
      <c r="AH110">
        <v>0</v>
      </c>
      <c r="AI110">
        <v>8.2899999999999991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0.02</v>
      </c>
      <c r="AU110" t="s">
        <v>3</v>
      </c>
      <c r="AV110">
        <v>0</v>
      </c>
      <c r="AW110">
        <v>2</v>
      </c>
      <c r="AX110">
        <v>46468128</v>
      </c>
      <c r="AY110">
        <v>1</v>
      </c>
      <c r="AZ110">
        <v>0</v>
      </c>
      <c r="BA110">
        <v>105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Y110*Source!I130</f>
        <v>5.2000000000000006E-3</v>
      </c>
      <c r="CY110">
        <f t="shared" si="21"/>
        <v>11585.28</v>
      </c>
      <c r="CZ110">
        <f t="shared" si="22"/>
        <v>1397.5</v>
      </c>
      <c r="DA110">
        <f t="shared" si="23"/>
        <v>8.2899999999999991</v>
      </c>
      <c r="DB110">
        <f t="shared" si="24"/>
        <v>27.95</v>
      </c>
      <c r="DC110">
        <f t="shared" si="25"/>
        <v>0</v>
      </c>
    </row>
    <row r="111" spans="1:107" x14ac:dyDescent="0.2">
      <c r="A111">
        <f>ROW(Source!A130)</f>
        <v>130</v>
      </c>
      <c r="B111">
        <v>46416371</v>
      </c>
      <c r="C111">
        <v>46468088</v>
      </c>
      <c r="D111">
        <v>42600981</v>
      </c>
      <c r="E111">
        <v>1</v>
      </c>
      <c r="F111">
        <v>1</v>
      </c>
      <c r="G111">
        <v>1</v>
      </c>
      <c r="H111">
        <v>3</v>
      </c>
      <c r="I111" t="s">
        <v>499</v>
      </c>
      <c r="J111" t="s">
        <v>500</v>
      </c>
      <c r="K111" t="s">
        <v>501</v>
      </c>
      <c r="L111">
        <v>1339</v>
      </c>
      <c r="N111">
        <v>1007</v>
      </c>
      <c r="O111" t="s">
        <v>139</v>
      </c>
      <c r="P111" t="s">
        <v>139</v>
      </c>
      <c r="Q111">
        <v>1</v>
      </c>
      <c r="W111">
        <v>0</v>
      </c>
      <c r="X111">
        <v>795155789</v>
      </c>
      <c r="Y111">
        <v>0.02</v>
      </c>
      <c r="AA111">
        <v>9902.74</v>
      </c>
      <c r="AB111">
        <v>0</v>
      </c>
      <c r="AC111">
        <v>0</v>
      </c>
      <c r="AD111">
        <v>0</v>
      </c>
      <c r="AE111">
        <v>1194.54</v>
      </c>
      <c r="AF111">
        <v>0</v>
      </c>
      <c r="AG111">
        <v>0</v>
      </c>
      <c r="AH111">
        <v>0</v>
      </c>
      <c r="AI111">
        <v>8.2899999999999991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0.02</v>
      </c>
      <c r="AU111" t="s">
        <v>3</v>
      </c>
      <c r="AV111">
        <v>0</v>
      </c>
      <c r="AW111">
        <v>2</v>
      </c>
      <c r="AX111">
        <v>46468129</v>
      </c>
      <c r="AY111">
        <v>1</v>
      </c>
      <c r="AZ111">
        <v>0</v>
      </c>
      <c r="BA111">
        <v>106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Y111*Source!I130</f>
        <v>5.2000000000000006E-3</v>
      </c>
      <c r="CY111">
        <f t="shared" si="21"/>
        <v>9902.74</v>
      </c>
      <c r="CZ111">
        <f t="shared" si="22"/>
        <v>1194.54</v>
      </c>
      <c r="DA111">
        <f t="shared" si="23"/>
        <v>8.2899999999999991</v>
      </c>
      <c r="DB111">
        <f t="shared" si="24"/>
        <v>23.89</v>
      </c>
      <c r="DC111">
        <f t="shared" si="25"/>
        <v>0</v>
      </c>
    </row>
    <row r="112" spans="1:107" x14ac:dyDescent="0.2">
      <c r="A112">
        <f>ROW(Source!A130)</f>
        <v>130</v>
      </c>
      <c r="B112">
        <v>46416371</v>
      </c>
      <c r="C112">
        <v>46468088</v>
      </c>
      <c r="D112">
        <v>42600997</v>
      </c>
      <c r="E112">
        <v>1</v>
      </c>
      <c r="F112">
        <v>1</v>
      </c>
      <c r="G112">
        <v>1</v>
      </c>
      <c r="H112">
        <v>3</v>
      </c>
      <c r="I112" t="s">
        <v>502</v>
      </c>
      <c r="J112" t="s">
        <v>503</v>
      </c>
      <c r="K112" t="s">
        <v>504</v>
      </c>
      <c r="L112">
        <v>1339</v>
      </c>
      <c r="N112">
        <v>1007</v>
      </c>
      <c r="O112" t="s">
        <v>139</v>
      </c>
      <c r="P112" t="s">
        <v>139</v>
      </c>
      <c r="Q112">
        <v>1</v>
      </c>
      <c r="W112">
        <v>0</v>
      </c>
      <c r="X112">
        <v>1676929263</v>
      </c>
      <c r="Y112">
        <v>0.28000000000000003</v>
      </c>
      <c r="AA112">
        <v>9506.06</v>
      </c>
      <c r="AB112">
        <v>0</v>
      </c>
      <c r="AC112">
        <v>0</v>
      </c>
      <c r="AD112">
        <v>0</v>
      </c>
      <c r="AE112">
        <v>1146.69</v>
      </c>
      <c r="AF112">
        <v>0</v>
      </c>
      <c r="AG112">
        <v>0</v>
      </c>
      <c r="AH112">
        <v>0</v>
      </c>
      <c r="AI112">
        <v>8.2899999999999991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0.28000000000000003</v>
      </c>
      <c r="AU112" t="s">
        <v>3</v>
      </c>
      <c r="AV112">
        <v>0</v>
      </c>
      <c r="AW112">
        <v>2</v>
      </c>
      <c r="AX112">
        <v>46468130</v>
      </c>
      <c r="AY112">
        <v>1</v>
      </c>
      <c r="AZ112">
        <v>0</v>
      </c>
      <c r="BA112">
        <v>107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Y112*Source!I130</f>
        <v>7.2800000000000004E-2</v>
      </c>
      <c r="CY112">
        <f t="shared" si="21"/>
        <v>9506.06</v>
      </c>
      <c r="CZ112">
        <f t="shared" si="22"/>
        <v>1146.69</v>
      </c>
      <c r="DA112">
        <f t="shared" si="23"/>
        <v>8.2899999999999991</v>
      </c>
      <c r="DB112">
        <f t="shared" si="24"/>
        <v>321.07</v>
      </c>
      <c r="DC112">
        <f t="shared" si="25"/>
        <v>0</v>
      </c>
    </row>
    <row r="113" spans="1:107" x14ac:dyDescent="0.2">
      <c r="A113">
        <f>ROW(Source!A130)</f>
        <v>130</v>
      </c>
      <c r="B113">
        <v>46416371</v>
      </c>
      <c r="C113">
        <v>46468088</v>
      </c>
      <c r="D113">
        <v>42589192</v>
      </c>
      <c r="E113">
        <v>1</v>
      </c>
      <c r="F113">
        <v>1</v>
      </c>
      <c r="G113">
        <v>1</v>
      </c>
      <c r="H113">
        <v>3</v>
      </c>
      <c r="I113" t="s">
        <v>505</v>
      </c>
      <c r="J113" t="s">
        <v>506</v>
      </c>
      <c r="K113" t="s">
        <v>507</v>
      </c>
      <c r="L113">
        <v>1327</v>
      </c>
      <c r="N113">
        <v>1005</v>
      </c>
      <c r="O113" t="s">
        <v>452</v>
      </c>
      <c r="P113" t="s">
        <v>452</v>
      </c>
      <c r="Q113">
        <v>1</v>
      </c>
      <c r="W113">
        <v>0</v>
      </c>
      <c r="X113">
        <v>-1343717979</v>
      </c>
      <c r="Y113">
        <v>20.7</v>
      </c>
      <c r="AA113">
        <v>455.87</v>
      </c>
      <c r="AB113">
        <v>0</v>
      </c>
      <c r="AC113">
        <v>0</v>
      </c>
      <c r="AD113">
        <v>0</v>
      </c>
      <c r="AE113">
        <v>54.99</v>
      </c>
      <c r="AF113">
        <v>0</v>
      </c>
      <c r="AG113">
        <v>0</v>
      </c>
      <c r="AH113">
        <v>0</v>
      </c>
      <c r="AI113">
        <v>8.2899999999999991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20.7</v>
      </c>
      <c r="AU113" t="s">
        <v>3</v>
      </c>
      <c r="AV113">
        <v>0</v>
      </c>
      <c r="AW113">
        <v>2</v>
      </c>
      <c r="AX113">
        <v>46468131</v>
      </c>
      <c r="AY113">
        <v>1</v>
      </c>
      <c r="AZ113">
        <v>0</v>
      </c>
      <c r="BA113">
        <v>108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Y113*Source!I130</f>
        <v>5.3819999999999997</v>
      </c>
      <c r="CY113">
        <f t="shared" si="21"/>
        <v>455.87</v>
      </c>
      <c r="CZ113">
        <f t="shared" si="22"/>
        <v>54.99</v>
      </c>
      <c r="DA113">
        <f t="shared" si="23"/>
        <v>8.2899999999999991</v>
      </c>
      <c r="DB113">
        <f t="shared" si="24"/>
        <v>1138.29</v>
      </c>
      <c r="DC113">
        <f t="shared" si="25"/>
        <v>0</v>
      </c>
    </row>
    <row r="114" spans="1:107" x14ac:dyDescent="0.2">
      <c r="A114">
        <f>ROW(Source!A130)</f>
        <v>130</v>
      </c>
      <c r="B114">
        <v>46416371</v>
      </c>
      <c r="C114">
        <v>46468088</v>
      </c>
      <c r="D114">
        <v>42589353</v>
      </c>
      <c r="E114">
        <v>1</v>
      </c>
      <c r="F114">
        <v>1</v>
      </c>
      <c r="G114">
        <v>1</v>
      </c>
      <c r="H114">
        <v>3</v>
      </c>
      <c r="I114" t="s">
        <v>196</v>
      </c>
      <c r="J114" t="s">
        <v>198</v>
      </c>
      <c r="K114" t="s">
        <v>197</v>
      </c>
      <c r="L114">
        <v>1348</v>
      </c>
      <c r="N114">
        <v>1009</v>
      </c>
      <c r="O114" t="s">
        <v>184</v>
      </c>
      <c r="P114" t="s">
        <v>184</v>
      </c>
      <c r="Q114">
        <v>1000</v>
      </c>
      <c r="W114">
        <v>0</v>
      </c>
      <c r="X114">
        <v>-922995156</v>
      </c>
      <c r="Y114">
        <v>1.1961539999999999</v>
      </c>
      <c r="AA114">
        <v>11277.14</v>
      </c>
      <c r="AB114">
        <v>0</v>
      </c>
      <c r="AC114">
        <v>0</v>
      </c>
      <c r="AD114">
        <v>0</v>
      </c>
      <c r="AE114">
        <v>1360.33</v>
      </c>
      <c r="AF114">
        <v>0</v>
      </c>
      <c r="AG114">
        <v>0</v>
      </c>
      <c r="AH114">
        <v>0</v>
      </c>
      <c r="AI114">
        <v>8.2899999999999991</v>
      </c>
      <c r="AJ114">
        <v>1</v>
      </c>
      <c r="AK114">
        <v>1</v>
      </c>
      <c r="AL114">
        <v>1</v>
      </c>
      <c r="AN114">
        <v>0</v>
      </c>
      <c r="AO114">
        <v>0</v>
      </c>
      <c r="AP114">
        <v>0</v>
      </c>
      <c r="AQ114">
        <v>0</v>
      </c>
      <c r="AR114">
        <v>0</v>
      </c>
      <c r="AS114" t="s">
        <v>3</v>
      </c>
      <c r="AT114">
        <v>1.1961539999999999</v>
      </c>
      <c r="AU114" t="s">
        <v>3</v>
      </c>
      <c r="AV114">
        <v>0</v>
      </c>
      <c r="AW114">
        <v>1</v>
      </c>
      <c r="AX114">
        <v>-1</v>
      </c>
      <c r="AY114">
        <v>0</v>
      </c>
      <c r="AZ114">
        <v>0</v>
      </c>
      <c r="BA114" t="s">
        <v>3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Y114*Source!I130</f>
        <v>0.31100003999999998</v>
      </c>
      <c r="CY114">
        <f t="shared" si="21"/>
        <v>11277.14</v>
      </c>
      <c r="CZ114">
        <f t="shared" si="22"/>
        <v>1360.33</v>
      </c>
      <c r="DA114">
        <f t="shared" si="23"/>
        <v>8.2899999999999991</v>
      </c>
      <c r="DB114">
        <f t="shared" si="24"/>
        <v>1627.16</v>
      </c>
      <c r="DC114">
        <f t="shared" si="25"/>
        <v>0</v>
      </c>
    </row>
    <row r="115" spans="1:107" x14ac:dyDescent="0.2">
      <c r="A115">
        <f>ROW(Source!A130)</f>
        <v>130</v>
      </c>
      <c r="B115">
        <v>46416371</v>
      </c>
      <c r="C115">
        <v>46468088</v>
      </c>
      <c r="D115">
        <v>42589206</v>
      </c>
      <c r="E115">
        <v>1</v>
      </c>
      <c r="F115">
        <v>1</v>
      </c>
      <c r="G115">
        <v>1</v>
      </c>
      <c r="H115">
        <v>3</v>
      </c>
      <c r="I115" t="s">
        <v>182</v>
      </c>
      <c r="J115" t="s">
        <v>185</v>
      </c>
      <c r="K115" t="s">
        <v>183</v>
      </c>
      <c r="L115">
        <v>1348</v>
      </c>
      <c r="N115">
        <v>1009</v>
      </c>
      <c r="O115" t="s">
        <v>184</v>
      </c>
      <c r="P115" t="s">
        <v>184</v>
      </c>
      <c r="Q115">
        <v>1000</v>
      </c>
      <c r="W115">
        <v>1</v>
      </c>
      <c r="X115">
        <v>98865574</v>
      </c>
      <c r="Y115">
        <v>-3.2</v>
      </c>
      <c r="AA115">
        <v>44900.3</v>
      </c>
      <c r="AB115">
        <v>0</v>
      </c>
      <c r="AC115">
        <v>0</v>
      </c>
      <c r="AD115">
        <v>0</v>
      </c>
      <c r="AE115">
        <v>5416.2</v>
      </c>
      <c r="AF115">
        <v>0</v>
      </c>
      <c r="AG115">
        <v>0</v>
      </c>
      <c r="AH115">
        <v>0</v>
      </c>
      <c r="AI115">
        <v>8.2899999999999991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-3.2</v>
      </c>
      <c r="AU115" t="s">
        <v>3</v>
      </c>
      <c r="AV115">
        <v>0</v>
      </c>
      <c r="AW115">
        <v>2</v>
      </c>
      <c r="AX115">
        <v>46468132</v>
      </c>
      <c r="AY115">
        <v>1</v>
      </c>
      <c r="AZ115">
        <v>6144</v>
      </c>
      <c r="BA115">
        <v>109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Y115*Source!I130</f>
        <v>-0.83200000000000007</v>
      </c>
      <c r="CY115">
        <f t="shared" si="21"/>
        <v>44900.3</v>
      </c>
      <c r="CZ115">
        <f t="shared" si="22"/>
        <v>5416.2</v>
      </c>
      <c r="DA115">
        <f t="shared" si="23"/>
        <v>8.2899999999999991</v>
      </c>
      <c r="DB115">
        <f t="shared" si="24"/>
        <v>-17331.84</v>
      </c>
      <c r="DC115">
        <f t="shared" si="25"/>
        <v>0</v>
      </c>
    </row>
    <row r="116" spans="1:107" x14ac:dyDescent="0.2">
      <c r="A116">
        <f>ROW(Source!A130)</f>
        <v>130</v>
      </c>
      <c r="B116">
        <v>46416371</v>
      </c>
      <c r="C116">
        <v>46468088</v>
      </c>
      <c r="D116">
        <v>42571927</v>
      </c>
      <c r="E116">
        <v>1</v>
      </c>
      <c r="F116">
        <v>1</v>
      </c>
      <c r="G116">
        <v>1</v>
      </c>
      <c r="H116">
        <v>3</v>
      </c>
      <c r="I116" t="s">
        <v>187</v>
      </c>
      <c r="J116" t="s">
        <v>189</v>
      </c>
      <c r="K116" t="s">
        <v>188</v>
      </c>
      <c r="L116">
        <v>1339</v>
      </c>
      <c r="N116">
        <v>1007</v>
      </c>
      <c r="O116" t="s">
        <v>139</v>
      </c>
      <c r="P116" t="s">
        <v>139</v>
      </c>
      <c r="Q116">
        <v>1</v>
      </c>
      <c r="W116">
        <v>1</v>
      </c>
      <c r="X116">
        <v>220986734</v>
      </c>
      <c r="Y116">
        <v>-101.5</v>
      </c>
      <c r="AA116">
        <v>6198.76</v>
      </c>
      <c r="AB116">
        <v>0</v>
      </c>
      <c r="AC116">
        <v>0</v>
      </c>
      <c r="AD116">
        <v>0</v>
      </c>
      <c r="AE116">
        <v>747.74</v>
      </c>
      <c r="AF116">
        <v>0</v>
      </c>
      <c r="AG116">
        <v>0</v>
      </c>
      <c r="AH116">
        <v>0</v>
      </c>
      <c r="AI116">
        <v>8.2899999999999991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-101.5</v>
      </c>
      <c r="AU116" t="s">
        <v>3</v>
      </c>
      <c r="AV116">
        <v>0</v>
      </c>
      <c r="AW116">
        <v>2</v>
      </c>
      <c r="AX116">
        <v>46468133</v>
      </c>
      <c r="AY116">
        <v>1</v>
      </c>
      <c r="AZ116">
        <v>6144</v>
      </c>
      <c r="BA116">
        <v>110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Y116*Source!I130</f>
        <v>-26.39</v>
      </c>
      <c r="CY116">
        <f t="shared" si="21"/>
        <v>6198.76</v>
      </c>
      <c r="CZ116">
        <f t="shared" si="22"/>
        <v>747.74</v>
      </c>
      <c r="DA116">
        <f t="shared" si="23"/>
        <v>8.2899999999999991</v>
      </c>
      <c r="DB116">
        <f t="shared" si="24"/>
        <v>-75895.61</v>
      </c>
      <c r="DC116">
        <f t="shared" si="25"/>
        <v>0</v>
      </c>
    </row>
    <row r="117" spans="1:107" x14ac:dyDescent="0.2">
      <c r="A117">
        <f>ROW(Source!A130)</f>
        <v>130</v>
      </c>
      <c r="B117">
        <v>46416371</v>
      </c>
      <c r="C117">
        <v>46468088</v>
      </c>
      <c r="D117">
        <v>42580849</v>
      </c>
      <c r="E117">
        <v>1</v>
      </c>
      <c r="F117">
        <v>1</v>
      </c>
      <c r="G117">
        <v>1</v>
      </c>
      <c r="H117">
        <v>3</v>
      </c>
      <c r="I117" t="s">
        <v>508</v>
      </c>
      <c r="J117" t="s">
        <v>509</v>
      </c>
      <c r="K117" t="s">
        <v>510</v>
      </c>
      <c r="L117">
        <v>1348</v>
      </c>
      <c r="N117">
        <v>1009</v>
      </c>
      <c r="O117" t="s">
        <v>184</v>
      </c>
      <c r="P117" t="s">
        <v>184</v>
      </c>
      <c r="Q117">
        <v>1000</v>
      </c>
      <c r="W117">
        <v>0</v>
      </c>
      <c r="X117">
        <v>-1182839843</v>
      </c>
      <c r="Y117">
        <v>0.03</v>
      </c>
      <c r="AA117">
        <v>6935</v>
      </c>
      <c r="AB117">
        <v>0</v>
      </c>
      <c r="AC117">
        <v>0</v>
      </c>
      <c r="AD117">
        <v>0</v>
      </c>
      <c r="AE117">
        <v>836.55</v>
      </c>
      <c r="AF117">
        <v>0</v>
      </c>
      <c r="AG117">
        <v>0</v>
      </c>
      <c r="AH117">
        <v>0</v>
      </c>
      <c r="AI117">
        <v>8.2899999999999991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0.03</v>
      </c>
      <c r="AU117" t="s">
        <v>3</v>
      </c>
      <c r="AV117">
        <v>0</v>
      </c>
      <c r="AW117">
        <v>2</v>
      </c>
      <c r="AX117">
        <v>46468134</v>
      </c>
      <c r="AY117">
        <v>1</v>
      </c>
      <c r="AZ117">
        <v>0</v>
      </c>
      <c r="BA117">
        <v>111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Y117*Source!I130</f>
        <v>7.7999999999999996E-3</v>
      </c>
      <c r="CY117">
        <f t="shared" si="21"/>
        <v>6935</v>
      </c>
      <c r="CZ117">
        <f t="shared" si="22"/>
        <v>836.55</v>
      </c>
      <c r="DA117">
        <f t="shared" si="23"/>
        <v>8.2899999999999991</v>
      </c>
      <c r="DB117">
        <f t="shared" si="24"/>
        <v>25.1</v>
      </c>
      <c r="DC117">
        <f t="shared" si="25"/>
        <v>0</v>
      </c>
    </row>
    <row r="118" spans="1:107" x14ac:dyDescent="0.2">
      <c r="A118">
        <f>ROW(Source!A130)</f>
        <v>130</v>
      </c>
      <c r="B118">
        <v>46416371</v>
      </c>
      <c r="C118">
        <v>46468088</v>
      </c>
      <c r="D118">
        <v>42582070</v>
      </c>
      <c r="E118">
        <v>1</v>
      </c>
      <c r="F118">
        <v>1</v>
      </c>
      <c r="G118">
        <v>1</v>
      </c>
      <c r="H118">
        <v>3</v>
      </c>
      <c r="I118" t="s">
        <v>435</v>
      </c>
      <c r="J118" t="s">
        <v>436</v>
      </c>
      <c r="K118" t="s">
        <v>437</v>
      </c>
      <c r="L118">
        <v>1339</v>
      </c>
      <c r="N118">
        <v>1007</v>
      </c>
      <c r="O118" t="s">
        <v>139</v>
      </c>
      <c r="P118" t="s">
        <v>139</v>
      </c>
      <c r="Q118">
        <v>1</v>
      </c>
      <c r="W118">
        <v>0</v>
      </c>
      <c r="X118">
        <v>327932598</v>
      </c>
      <c r="Y118">
        <v>7.4880000000000004</v>
      </c>
      <c r="AA118">
        <v>10.78</v>
      </c>
      <c r="AB118">
        <v>0</v>
      </c>
      <c r="AC118">
        <v>0</v>
      </c>
      <c r="AD118">
        <v>0</v>
      </c>
      <c r="AE118">
        <v>1.3</v>
      </c>
      <c r="AF118">
        <v>0</v>
      </c>
      <c r="AG118">
        <v>0</v>
      </c>
      <c r="AH118">
        <v>0</v>
      </c>
      <c r="AI118">
        <v>8.2899999999999991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7.4880000000000004</v>
      </c>
      <c r="AU118" t="s">
        <v>3</v>
      </c>
      <c r="AV118">
        <v>0</v>
      </c>
      <c r="AW118">
        <v>2</v>
      </c>
      <c r="AX118">
        <v>46468135</v>
      </c>
      <c r="AY118">
        <v>1</v>
      </c>
      <c r="AZ118">
        <v>0</v>
      </c>
      <c r="BA118">
        <v>112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Y118*Source!I130</f>
        <v>1.9468800000000002</v>
      </c>
      <c r="CY118">
        <f t="shared" si="21"/>
        <v>10.78</v>
      </c>
      <c r="CZ118">
        <f t="shared" si="22"/>
        <v>1.3</v>
      </c>
      <c r="DA118">
        <f t="shared" si="23"/>
        <v>8.2899999999999991</v>
      </c>
      <c r="DB118">
        <f t="shared" si="24"/>
        <v>9.73</v>
      </c>
      <c r="DC118">
        <f t="shared" si="25"/>
        <v>0</v>
      </c>
    </row>
    <row r="119" spans="1:107" x14ac:dyDescent="0.2">
      <c r="A119">
        <f>ROW(Source!A130)</f>
        <v>130</v>
      </c>
      <c r="B119">
        <v>46416371</v>
      </c>
      <c r="C119">
        <v>46468088</v>
      </c>
      <c r="D119">
        <v>0</v>
      </c>
      <c r="E119">
        <v>1</v>
      </c>
      <c r="F119">
        <v>1</v>
      </c>
      <c r="G119">
        <v>1</v>
      </c>
      <c r="H119">
        <v>3</v>
      </c>
      <c r="I119" t="s">
        <v>145</v>
      </c>
      <c r="J119" t="s">
        <v>3</v>
      </c>
      <c r="K119" t="s">
        <v>191</v>
      </c>
      <c r="L119">
        <v>1339</v>
      </c>
      <c r="N119">
        <v>1007</v>
      </c>
      <c r="O119" t="s">
        <v>139</v>
      </c>
      <c r="P119" t="s">
        <v>139</v>
      </c>
      <c r="Q119">
        <v>1</v>
      </c>
      <c r="W119">
        <v>0</v>
      </c>
      <c r="X119">
        <v>1314498646</v>
      </c>
      <c r="Y119">
        <v>101.5</v>
      </c>
      <c r="AA119">
        <v>8916.67</v>
      </c>
      <c r="AB119">
        <v>0</v>
      </c>
      <c r="AC119">
        <v>0</v>
      </c>
      <c r="AD119">
        <v>0</v>
      </c>
      <c r="AE119">
        <v>8916.67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0</v>
      </c>
      <c r="AP119">
        <v>0</v>
      </c>
      <c r="AQ119">
        <v>0</v>
      </c>
      <c r="AR119">
        <v>0</v>
      </c>
      <c r="AS119" t="s">
        <v>3</v>
      </c>
      <c r="AT119">
        <v>101.5</v>
      </c>
      <c r="AU119" t="s">
        <v>3</v>
      </c>
      <c r="AV119">
        <v>0</v>
      </c>
      <c r="AW119">
        <v>1</v>
      </c>
      <c r="AX119">
        <v>-1</v>
      </c>
      <c r="AY119">
        <v>0</v>
      </c>
      <c r="AZ119">
        <v>0</v>
      </c>
      <c r="BA119" t="s">
        <v>3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Y119*Source!I130</f>
        <v>26.39</v>
      </c>
      <c r="CY119">
        <f t="shared" si="21"/>
        <v>8916.67</v>
      </c>
      <c r="CZ119">
        <f t="shared" si="22"/>
        <v>8916.67</v>
      </c>
      <c r="DA119">
        <f t="shared" si="23"/>
        <v>1</v>
      </c>
      <c r="DB119">
        <f t="shared" si="24"/>
        <v>905042.01</v>
      </c>
      <c r="DC119">
        <f t="shared" si="25"/>
        <v>0</v>
      </c>
    </row>
    <row r="120" spans="1:107" x14ac:dyDescent="0.2">
      <c r="A120">
        <f>ROW(Source!A130)</f>
        <v>130</v>
      </c>
      <c r="B120">
        <v>46416371</v>
      </c>
      <c r="C120">
        <v>46468088</v>
      </c>
      <c r="D120">
        <v>0</v>
      </c>
      <c r="E120">
        <v>1</v>
      </c>
      <c r="F120">
        <v>1</v>
      </c>
      <c r="G120">
        <v>1</v>
      </c>
      <c r="H120">
        <v>3</v>
      </c>
      <c r="I120" t="s">
        <v>145</v>
      </c>
      <c r="J120" t="s">
        <v>3</v>
      </c>
      <c r="K120" t="s">
        <v>183</v>
      </c>
      <c r="L120">
        <v>1348</v>
      </c>
      <c r="N120">
        <v>1009</v>
      </c>
      <c r="O120" t="s">
        <v>184</v>
      </c>
      <c r="P120" t="s">
        <v>184</v>
      </c>
      <c r="Q120">
        <v>1000</v>
      </c>
      <c r="W120">
        <v>0</v>
      </c>
      <c r="X120">
        <v>511527928</v>
      </c>
      <c r="Y120">
        <v>1.1961539999999999</v>
      </c>
      <c r="AA120">
        <v>61285</v>
      </c>
      <c r="AB120">
        <v>0</v>
      </c>
      <c r="AC120">
        <v>0</v>
      </c>
      <c r="AD120">
        <v>0</v>
      </c>
      <c r="AE120">
        <v>61285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0</v>
      </c>
      <c r="AP120">
        <v>0</v>
      </c>
      <c r="AQ120">
        <v>0</v>
      </c>
      <c r="AR120">
        <v>0</v>
      </c>
      <c r="AS120" t="s">
        <v>3</v>
      </c>
      <c r="AT120">
        <v>1.1961539999999999</v>
      </c>
      <c r="AU120" t="s">
        <v>3</v>
      </c>
      <c r="AV120">
        <v>0</v>
      </c>
      <c r="AW120">
        <v>1</v>
      </c>
      <c r="AX120">
        <v>-1</v>
      </c>
      <c r="AY120">
        <v>0</v>
      </c>
      <c r="AZ120">
        <v>0</v>
      </c>
      <c r="BA120" t="s">
        <v>3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Y120*Source!I130</f>
        <v>0.31100003999999998</v>
      </c>
      <c r="CY120">
        <f t="shared" si="21"/>
        <v>61285</v>
      </c>
      <c r="CZ120">
        <f t="shared" si="22"/>
        <v>61285</v>
      </c>
      <c r="DA120">
        <f t="shared" si="23"/>
        <v>1</v>
      </c>
      <c r="DB120">
        <f t="shared" si="24"/>
        <v>73306.3</v>
      </c>
      <c r="DC120">
        <f t="shared" si="25"/>
        <v>0</v>
      </c>
    </row>
    <row r="121" spans="1:107" x14ac:dyDescent="0.2">
      <c r="A121">
        <f>ROW(Source!A171)</f>
        <v>171</v>
      </c>
      <c r="B121">
        <v>46416371</v>
      </c>
      <c r="C121">
        <v>46468141</v>
      </c>
      <c r="D121">
        <v>42640871</v>
      </c>
      <c r="E121">
        <v>1</v>
      </c>
      <c r="F121">
        <v>1</v>
      </c>
      <c r="G121">
        <v>1</v>
      </c>
      <c r="H121">
        <v>1</v>
      </c>
      <c r="I121" t="s">
        <v>385</v>
      </c>
      <c r="J121" t="s">
        <v>3</v>
      </c>
      <c r="K121" t="s">
        <v>386</v>
      </c>
      <c r="L121">
        <v>1369</v>
      </c>
      <c r="N121">
        <v>1013</v>
      </c>
      <c r="O121" t="s">
        <v>387</v>
      </c>
      <c r="P121" t="s">
        <v>387</v>
      </c>
      <c r="Q121">
        <v>1</v>
      </c>
      <c r="W121">
        <v>0</v>
      </c>
      <c r="X121">
        <v>110868128</v>
      </c>
      <c r="Y121">
        <v>14.409499999999998</v>
      </c>
      <c r="AA121">
        <v>0</v>
      </c>
      <c r="AB121">
        <v>0</v>
      </c>
      <c r="AC121">
        <v>0</v>
      </c>
      <c r="AD121">
        <v>276.95999999999998</v>
      </c>
      <c r="AE121">
        <v>0</v>
      </c>
      <c r="AF121">
        <v>0</v>
      </c>
      <c r="AG121">
        <v>0</v>
      </c>
      <c r="AH121">
        <v>7.97</v>
      </c>
      <c r="AI121">
        <v>1</v>
      </c>
      <c r="AJ121">
        <v>1</v>
      </c>
      <c r="AK121">
        <v>1</v>
      </c>
      <c r="AL121">
        <v>34.75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12.53</v>
      </c>
      <c r="AU121" t="s">
        <v>31</v>
      </c>
      <c r="AV121">
        <v>1</v>
      </c>
      <c r="AW121">
        <v>2</v>
      </c>
      <c r="AX121">
        <v>46468146</v>
      </c>
      <c r="AY121">
        <v>1</v>
      </c>
      <c r="AZ121">
        <v>0</v>
      </c>
      <c r="BA121">
        <v>113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Y121*Source!I171</f>
        <v>0.86456999999999984</v>
      </c>
      <c r="CY121">
        <f>AD121</f>
        <v>276.95999999999998</v>
      </c>
      <c r="CZ121">
        <f>AH121</f>
        <v>7.97</v>
      </c>
      <c r="DA121">
        <f>AL121</f>
        <v>34.75</v>
      </c>
      <c r="DB121">
        <f t="shared" ref="DB121:DB129" si="26">ROUND((ROUND(AT121*CZ121,2)*1.15),6)</f>
        <v>114.839</v>
      </c>
      <c r="DC121">
        <f t="shared" ref="DC121:DC129" si="27">ROUND((ROUND(AT121*AG121,2)*1.15),6)</f>
        <v>0</v>
      </c>
    </row>
    <row r="122" spans="1:107" x14ac:dyDescent="0.2">
      <c r="A122">
        <f>ROW(Source!A171)</f>
        <v>171</v>
      </c>
      <c r="B122">
        <v>46416371</v>
      </c>
      <c r="C122">
        <v>46468141</v>
      </c>
      <c r="D122">
        <v>121548</v>
      </c>
      <c r="E122">
        <v>1</v>
      </c>
      <c r="F122">
        <v>1</v>
      </c>
      <c r="G122">
        <v>1</v>
      </c>
      <c r="H122">
        <v>1</v>
      </c>
      <c r="I122" t="s">
        <v>26</v>
      </c>
      <c r="J122" t="s">
        <v>3</v>
      </c>
      <c r="K122" t="s">
        <v>388</v>
      </c>
      <c r="L122">
        <v>608254</v>
      </c>
      <c r="N122">
        <v>1013</v>
      </c>
      <c r="O122" t="s">
        <v>389</v>
      </c>
      <c r="P122" t="s">
        <v>389</v>
      </c>
      <c r="Q122">
        <v>1</v>
      </c>
      <c r="W122">
        <v>0</v>
      </c>
      <c r="X122">
        <v>-185737400</v>
      </c>
      <c r="Y122">
        <v>3.4959999999999996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34.75</v>
      </c>
      <c r="AL122">
        <v>1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3</v>
      </c>
      <c r="AT122">
        <v>3.04</v>
      </c>
      <c r="AU122" t="s">
        <v>31</v>
      </c>
      <c r="AV122">
        <v>2</v>
      </c>
      <c r="AW122">
        <v>2</v>
      </c>
      <c r="AX122">
        <v>46468147</v>
      </c>
      <c r="AY122">
        <v>1</v>
      </c>
      <c r="AZ122">
        <v>0</v>
      </c>
      <c r="BA122">
        <v>114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Y122*Source!I171</f>
        <v>0.20975999999999997</v>
      </c>
      <c r="CY122">
        <f>AD122</f>
        <v>0</v>
      </c>
      <c r="CZ122">
        <f>AH122</f>
        <v>0</v>
      </c>
      <c r="DA122">
        <f>AL122</f>
        <v>1</v>
      </c>
      <c r="DB122">
        <f t="shared" si="26"/>
        <v>0</v>
      </c>
      <c r="DC122">
        <f t="shared" si="27"/>
        <v>0</v>
      </c>
    </row>
    <row r="123" spans="1:107" x14ac:dyDescent="0.2">
      <c r="A123">
        <f>ROW(Source!A171)</f>
        <v>171</v>
      </c>
      <c r="B123">
        <v>46416371</v>
      </c>
      <c r="C123">
        <v>46468141</v>
      </c>
      <c r="D123">
        <v>42567659</v>
      </c>
      <c r="E123">
        <v>1</v>
      </c>
      <c r="F123">
        <v>1</v>
      </c>
      <c r="G123">
        <v>1</v>
      </c>
      <c r="H123">
        <v>2</v>
      </c>
      <c r="I123" t="s">
        <v>394</v>
      </c>
      <c r="J123" t="s">
        <v>395</v>
      </c>
      <c r="K123" t="s">
        <v>396</v>
      </c>
      <c r="L123">
        <v>1368</v>
      </c>
      <c r="N123">
        <v>1011</v>
      </c>
      <c r="O123" t="s">
        <v>393</v>
      </c>
      <c r="P123" t="s">
        <v>393</v>
      </c>
      <c r="Q123">
        <v>1</v>
      </c>
      <c r="W123">
        <v>0</v>
      </c>
      <c r="X123">
        <v>-1300877745</v>
      </c>
      <c r="Y123">
        <v>3.4959999999999996</v>
      </c>
      <c r="AA123">
        <v>0</v>
      </c>
      <c r="AB123">
        <v>1320.9</v>
      </c>
      <c r="AC123">
        <v>326.64999999999998</v>
      </c>
      <c r="AD123">
        <v>0</v>
      </c>
      <c r="AE123">
        <v>0</v>
      </c>
      <c r="AF123">
        <v>98.87</v>
      </c>
      <c r="AG123">
        <v>9.4</v>
      </c>
      <c r="AH123">
        <v>0</v>
      </c>
      <c r="AI123">
        <v>1</v>
      </c>
      <c r="AJ123">
        <v>13.36</v>
      </c>
      <c r="AK123">
        <v>34.75</v>
      </c>
      <c r="AL123">
        <v>1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3</v>
      </c>
      <c r="AT123">
        <v>3.04</v>
      </c>
      <c r="AU123" t="s">
        <v>31</v>
      </c>
      <c r="AV123">
        <v>0</v>
      </c>
      <c r="AW123">
        <v>2</v>
      </c>
      <c r="AX123">
        <v>46468148</v>
      </c>
      <c r="AY123">
        <v>1</v>
      </c>
      <c r="AZ123">
        <v>0</v>
      </c>
      <c r="BA123">
        <v>115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Y123*Source!I171</f>
        <v>0.20975999999999997</v>
      </c>
      <c r="CY123">
        <f>AB123</f>
        <v>1320.9</v>
      </c>
      <c r="CZ123">
        <f>AF123</f>
        <v>98.87</v>
      </c>
      <c r="DA123">
        <f>AJ123</f>
        <v>13.36</v>
      </c>
      <c r="DB123">
        <f t="shared" si="26"/>
        <v>345.64400000000001</v>
      </c>
      <c r="DC123">
        <f t="shared" si="27"/>
        <v>32.866999999999997</v>
      </c>
    </row>
    <row r="124" spans="1:107" x14ac:dyDescent="0.2">
      <c r="A124">
        <f>ROW(Source!A171)</f>
        <v>171</v>
      </c>
      <c r="B124">
        <v>46416371</v>
      </c>
      <c r="C124">
        <v>46468141</v>
      </c>
      <c r="D124">
        <v>42570360</v>
      </c>
      <c r="E124">
        <v>1</v>
      </c>
      <c r="F124">
        <v>1</v>
      </c>
      <c r="G124">
        <v>1</v>
      </c>
      <c r="H124">
        <v>2</v>
      </c>
      <c r="I124" t="s">
        <v>427</v>
      </c>
      <c r="J124" t="s">
        <v>428</v>
      </c>
      <c r="K124" t="s">
        <v>429</v>
      </c>
      <c r="L124">
        <v>1368</v>
      </c>
      <c r="N124">
        <v>1011</v>
      </c>
      <c r="O124" t="s">
        <v>393</v>
      </c>
      <c r="P124" t="s">
        <v>393</v>
      </c>
      <c r="Q124">
        <v>1</v>
      </c>
      <c r="W124">
        <v>0</v>
      </c>
      <c r="X124">
        <v>1534850152</v>
      </c>
      <c r="Y124">
        <v>14.006999999999998</v>
      </c>
      <c r="AA124">
        <v>0</v>
      </c>
      <c r="AB124">
        <v>7.35</v>
      </c>
      <c r="AC124">
        <v>0</v>
      </c>
      <c r="AD124">
        <v>0</v>
      </c>
      <c r="AE124">
        <v>0</v>
      </c>
      <c r="AF124">
        <v>0.55000000000000004</v>
      </c>
      <c r="AG124">
        <v>0</v>
      </c>
      <c r="AH124">
        <v>0</v>
      </c>
      <c r="AI124">
        <v>1</v>
      </c>
      <c r="AJ124">
        <v>13.36</v>
      </c>
      <c r="AK124">
        <v>34.75</v>
      </c>
      <c r="AL124">
        <v>1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12.18</v>
      </c>
      <c r="AU124" t="s">
        <v>31</v>
      </c>
      <c r="AV124">
        <v>0</v>
      </c>
      <c r="AW124">
        <v>2</v>
      </c>
      <c r="AX124">
        <v>46468149</v>
      </c>
      <c r="AY124">
        <v>1</v>
      </c>
      <c r="AZ124">
        <v>0</v>
      </c>
      <c r="BA124">
        <v>116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Y124*Source!I171</f>
        <v>0.84041999999999983</v>
      </c>
      <c r="CY124">
        <f>AB124</f>
        <v>7.35</v>
      </c>
      <c r="CZ124">
        <f>AF124</f>
        <v>0.55000000000000004</v>
      </c>
      <c r="DA124">
        <f>AJ124</f>
        <v>13.36</v>
      </c>
      <c r="DB124">
        <f t="shared" si="26"/>
        <v>7.7050000000000001</v>
      </c>
      <c r="DC124">
        <f t="shared" si="27"/>
        <v>0</v>
      </c>
    </row>
    <row r="125" spans="1:107" x14ac:dyDescent="0.2">
      <c r="A125">
        <f>ROW(Source!A172)</f>
        <v>172</v>
      </c>
      <c r="B125">
        <v>46416371</v>
      </c>
      <c r="C125">
        <v>46417188</v>
      </c>
      <c r="D125">
        <v>42645178</v>
      </c>
      <c r="E125">
        <v>1</v>
      </c>
      <c r="F125">
        <v>1</v>
      </c>
      <c r="G125">
        <v>1</v>
      </c>
      <c r="H125">
        <v>1</v>
      </c>
      <c r="I125" t="s">
        <v>430</v>
      </c>
      <c r="J125" t="s">
        <v>3</v>
      </c>
      <c r="K125" t="s">
        <v>431</v>
      </c>
      <c r="L125">
        <v>1369</v>
      </c>
      <c r="N125">
        <v>1013</v>
      </c>
      <c r="O125" t="s">
        <v>387</v>
      </c>
      <c r="P125" t="s">
        <v>387</v>
      </c>
      <c r="Q125">
        <v>1</v>
      </c>
      <c r="W125">
        <v>0</v>
      </c>
      <c r="X125">
        <v>230122419</v>
      </c>
      <c r="Y125">
        <v>3.9215</v>
      </c>
      <c r="AA125">
        <v>0</v>
      </c>
      <c r="AB125">
        <v>0</v>
      </c>
      <c r="AC125">
        <v>0</v>
      </c>
      <c r="AD125">
        <v>280.43</v>
      </c>
      <c r="AE125">
        <v>0</v>
      </c>
      <c r="AF125">
        <v>0</v>
      </c>
      <c r="AG125">
        <v>0</v>
      </c>
      <c r="AH125">
        <v>8.07</v>
      </c>
      <c r="AI125">
        <v>1</v>
      </c>
      <c r="AJ125">
        <v>1</v>
      </c>
      <c r="AK125">
        <v>1</v>
      </c>
      <c r="AL125">
        <v>34.75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3.41</v>
      </c>
      <c r="AU125" t="s">
        <v>31</v>
      </c>
      <c r="AV125">
        <v>1</v>
      </c>
      <c r="AW125">
        <v>2</v>
      </c>
      <c r="AX125">
        <v>46417197</v>
      </c>
      <c r="AY125">
        <v>1</v>
      </c>
      <c r="AZ125">
        <v>0</v>
      </c>
      <c r="BA125">
        <v>117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Y125*Source!I172</f>
        <v>9.4116</v>
      </c>
      <c r="CY125">
        <f>AD125</f>
        <v>280.43</v>
      </c>
      <c r="CZ125">
        <f>AH125</f>
        <v>8.07</v>
      </c>
      <c r="DA125">
        <f>AL125</f>
        <v>34.75</v>
      </c>
      <c r="DB125">
        <f t="shared" si="26"/>
        <v>31.648</v>
      </c>
      <c r="DC125">
        <f t="shared" si="27"/>
        <v>0</v>
      </c>
    </row>
    <row r="126" spans="1:107" x14ac:dyDescent="0.2">
      <c r="A126">
        <f>ROW(Source!A172)</f>
        <v>172</v>
      </c>
      <c r="B126">
        <v>46416371</v>
      </c>
      <c r="C126">
        <v>46417188</v>
      </c>
      <c r="D126">
        <v>121548</v>
      </c>
      <c r="E126">
        <v>1</v>
      </c>
      <c r="F126">
        <v>1</v>
      </c>
      <c r="G126">
        <v>1</v>
      </c>
      <c r="H126">
        <v>1</v>
      </c>
      <c r="I126" t="s">
        <v>26</v>
      </c>
      <c r="J126" t="s">
        <v>3</v>
      </c>
      <c r="K126" t="s">
        <v>388</v>
      </c>
      <c r="L126">
        <v>608254</v>
      </c>
      <c r="N126">
        <v>1013</v>
      </c>
      <c r="O126" t="s">
        <v>389</v>
      </c>
      <c r="P126" t="s">
        <v>389</v>
      </c>
      <c r="Q126">
        <v>1</v>
      </c>
      <c r="W126">
        <v>0</v>
      </c>
      <c r="X126">
        <v>-185737400</v>
      </c>
      <c r="Y126">
        <v>0.34499999999999997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34.75</v>
      </c>
      <c r="AL126">
        <v>1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0.3</v>
      </c>
      <c r="AU126" t="s">
        <v>31</v>
      </c>
      <c r="AV126">
        <v>2</v>
      </c>
      <c r="AW126">
        <v>2</v>
      </c>
      <c r="AX126">
        <v>46417198</v>
      </c>
      <c r="AY126">
        <v>1</v>
      </c>
      <c r="AZ126">
        <v>0</v>
      </c>
      <c r="BA126">
        <v>118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Y126*Source!I172</f>
        <v>0.82799999999999996</v>
      </c>
      <c r="CY126">
        <f>AD126</f>
        <v>0</v>
      </c>
      <c r="CZ126">
        <f>AH126</f>
        <v>0</v>
      </c>
      <c r="DA126">
        <f>AL126</f>
        <v>1</v>
      </c>
      <c r="DB126">
        <f t="shared" si="26"/>
        <v>0</v>
      </c>
      <c r="DC126">
        <f t="shared" si="27"/>
        <v>0</v>
      </c>
    </row>
    <row r="127" spans="1:107" x14ac:dyDescent="0.2">
      <c r="A127">
        <f>ROW(Source!A172)</f>
        <v>172</v>
      </c>
      <c r="B127">
        <v>46416371</v>
      </c>
      <c r="C127">
        <v>46417188</v>
      </c>
      <c r="D127">
        <v>42567318</v>
      </c>
      <c r="E127">
        <v>1</v>
      </c>
      <c r="F127">
        <v>1</v>
      </c>
      <c r="G127">
        <v>1</v>
      </c>
      <c r="H127">
        <v>2</v>
      </c>
      <c r="I127" t="s">
        <v>432</v>
      </c>
      <c r="J127" t="s">
        <v>433</v>
      </c>
      <c r="K127" t="s">
        <v>434</v>
      </c>
      <c r="L127">
        <v>1368</v>
      </c>
      <c r="N127">
        <v>1011</v>
      </c>
      <c r="O127" t="s">
        <v>393</v>
      </c>
      <c r="P127" t="s">
        <v>393</v>
      </c>
      <c r="Q127">
        <v>1</v>
      </c>
      <c r="W127">
        <v>0</v>
      </c>
      <c r="X127">
        <v>-197763218</v>
      </c>
      <c r="Y127">
        <v>9.1999999999999998E-2</v>
      </c>
      <c r="AA127">
        <v>0</v>
      </c>
      <c r="AB127">
        <v>1187.3</v>
      </c>
      <c r="AC127">
        <v>326.64999999999998</v>
      </c>
      <c r="AD127">
        <v>0</v>
      </c>
      <c r="AE127">
        <v>0</v>
      </c>
      <c r="AF127">
        <v>88.87</v>
      </c>
      <c r="AG127">
        <v>9.4</v>
      </c>
      <c r="AH127">
        <v>0</v>
      </c>
      <c r="AI127">
        <v>1</v>
      </c>
      <c r="AJ127">
        <v>13.36</v>
      </c>
      <c r="AK127">
        <v>34.75</v>
      </c>
      <c r="AL127">
        <v>1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</v>
      </c>
      <c r="AT127">
        <v>0.08</v>
      </c>
      <c r="AU127" t="s">
        <v>31</v>
      </c>
      <c r="AV127">
        <v>0</v>
      </c>
      <c r="AW127">
        <v>2</v>
      </c>
      <c r="AX127">
        <v>46417199</v>
      </c>
      <c r="AY127">
        <v>1</v>
      </c>
      <c r="AZ127">
        <v>0</v>
      </c>
      <c r="BA127">
        <v>119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Y127*Source!I172</f>
        <v>0.2208</v>
      </c>
      <c r="CY127">
        <f>AB127</f>
        <v>1187.3</v>
      </c>
      <c r="CZ127">
        <f>AF127</f>
        <v>88.87</v>
      </c>
      <c r="DA127">
        <f>AJ127</f>
        <v>13.36</v>
      </c>
      <c r="DB127">
        <f t="shared" si="26"/>
        <v>8.1765000000000008</v>
      </c>
      <c r="DC127">
        <f t="shared" si="27"/>
        <v>0.86250000000000004</v>
      </c>
    </row>
    <row r="128" spans="1:107" x14ac:dyDescent="0.2">
      <c r="A128">
        <f>ROW(Source!A172)</f>
        <v>172</v>
      </c>
      <c r="B128">
        <v>46416371</v>
      </c>
      <c r="C128">
        <v>46417188</v>
      </c>
      <c r="D128">
        <v>42567659</v>
      </c>
      <c r="E128">
        <v>1</v>
      </c>
      <c r="F128">
        <v>1</v>
      </c>
      <c r="G128">
        <v>1</v>
      </c>
      <c r="H128">
        <v>2</v>
      </c>
      <c r="I128" t="s">
        <v>394</v>
      </c>
      <c r="J128" t="s">
        <v>395</v>
      </c>
      <c r="K128" t="s">
        <v>396</v>
      </c>
      <c r="L128">
        <v>1368</v>
      </c>
      <c r="N128">
        <v>1011</v>
      </c>
      <c r="O128" t="s">
        <v>393</v>
      </c>
      <c r="P128" t="s">
        <v>393</v>
      </c>
      <c r="Q128">
        <v>1</v>
      </c>
      <c r="W128">
        <v>0</v>
      </c>
      <c r="X128">
        <v>-1300877745</v>
      </c>
      <c r="Y128">
        <v>0.253</v>
      </c>
      <c r="AA128">
        <v>0</v>
      </c>
      <c r="AB128">
        <v>1320.9</v>
      </c>
      <c r="AC128">
        <v>326.64999999999998</v>
      </c>
      <c r="AD128">
        <v>0</v>
      </c>
      <c r="AE128">
        <v>0</v>
      </c>
      <c r="AF128">
        <v>98.87</v>
      </c>
      <c r="AG128">
        <v>9.4</v>
      </c>
      <c r="AH128">
        <v>0</v>
      </c>
      <c r="AI128">
        <v>1</v>
      </c>
      <c r="AJ128">
        <v>13.36</v>
      </c>
      <c r="AK128">
        <v>34.75</v>
      </c>
      <c r="AL128">
        <v>1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0.22</v>
      </c>
      <c r="AU128" t="s">
        <v>31</v>
      </c>
      <c r="AV128">
        <v>0</v>
      </c>
      <c r="AW128">
        <v>2</v>
      </c>
      <c r="AX128">
        <v>46417200</v>
      </c>
      <c r="AY128">
        <v>1</v>
      </c>
      <c r="AZ128">
        <v>0</v>
      </c>
      <c r="BA128">
        <v>120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Y128*Source!I172</f>
        <v>0.60719999999999996</v>
      </c>
      <c r="CY128">
        <f>AB128</f>
        <v>1320.9</v>
      </c>
      <c r="CZ128">
        <f>AF128</f>
        <v>98.87</v>
      </c>
      <c r="DA128">
        <f>AJ128</f>
        <v>13.36</v>
      </c>
      <c r="DB128">
        <f t="shared" si="26"/>
        <v>25.012499999999999</v>
      </c>
      <c r="DC128">
        <f t="shared" si="27"/>
        <v>2.3805000000000001</v>
      </c>
    </row>
    <row r="129" spans="1:107" x14ac:dyDescent="0.2">
      <c r="A129">
        <f>ROW(Source!A172)</f>
        <v>172</v>
      </c>
      <c r="B129">
        <v>46416371</v>
      </c>
      <c r="C129">
        <v>46417188</v>
      </c>
      <c r="D129">
        <v>42570360</v>
      </c>
      <c r="E129">
        <v>1</v>
      </c>
      <c r="F129">
        <v>1</v>
      </c>
      <c r="G129">
        <v>1</v>
      </c>
      <c r="H129">
        <v>2</v>
      </c>
      <c r="I129" t="s">
        <v>427</v>
      </c>
      <c r="J129" t="s">
        <v>428</v>
      </c>
      <c r="K129" t="s">
        <v>429</v>
      </c>
      <c r="L129">
        <v>1368</v>
      </c>
      <c r="N129">
        <v>1011</v>
      </c>
      <c r="O129" t="s">
        <v>393</v>
      </c>
      <c r="P129" t="s">
        <v>393</v>
      </c>
      <c r="Q129">
        <v>1</v>
      </c>
      <c r="W129">
        <v>0</v>
      </c>
      <c r="X129">
        <v>1534850152</v>
      </c>
      <c r="Y129">
        <v>0.50600000000000001</v>
      </c>
      <c r="AA129">
        <v>0</v>
      </c>
      <c r="AB129">
        <v>7.35</v>
      </c>
      <c r="AC129">
        <v>0</v>
      </c>
      <c r="AD129">
        <v>0</v>
      </c>
      <c r="AE129">
        <v>0</v>
      </c>
      <c r="AF129">
        <v>0.55000000000000004</v>
      </c>
      <c r="AG129">
        <v>0</v>
      </c>
      <c r="AH129">
        <v>0</v>
      </c>
      <c r="AI129">
        <v>1</v>
      </c>
      <c r="AJ129">
        <v>13.36</v>
      </c>
      <c r="AK129">
        <v>34.75</v>
      </c>
      <c r="AL129">
        <v>1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0.44</v>
      </c>
      <c r="AU129" t="s">
        <v>31</v>
      </c>
      <c r="AV129">
        <v>0</v>
      </c>
      <c r="AW129">
        <v>2</v>
      </c>
      <c r="AX129">
        <v>46417201</v>
      </c>
      <c r="AY129">
        <v>1</v>
      </c>
      <c r="AZ129">
        <v>0</v>
      </c>
      <c r="BA129">
        <v>121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Y129*Source!I172</f>
        <v>1.2143999999999999</v>
      </c>
      <c r="CY129">
        <f>AB129</f>
        <v>7.35</v>
      </c>
      <c r="CZ129">
        <f>AF129</f>
        <v>0.55000000000000004</v>
      </c>
      <c r="DA129">
        <f>AJ129</f>
        <v>13.36</v>
      </c>
      <c r="DB129">
        <f t="shared" si="26"/>
        <v>0.27600000000000002</v>
      </c>
      <c r="DC129">
        <f t="shared" si="27"/>
        <v>0</v>
      </c>
    </row>
    <row r="130" spans="1:107" x14ac:dyDescent="0.2">
      <c r="A130">
        <f>ROW(Source!A172)</f>
        <v>172</v>
      </c>
      <c r="B130">
        <v>46416371</v>
      </c>
      <c r="C130">
        <v>46417188</v>
      </c>
      <c r="D130">
        <v>42581395</v>
      </c>
      <c r="E130">
        <v>1</v>
      </c>
      <c r="F130">
        <v>1</v>
      </c>
      <c r="G130">
        <v>1</v>
      </c>
      <c r="H130">
        <v>3</v>
      </c>
      <c r="I130" t="s">
        <v>137</v>
      </c>
      <c r="J130" t="s">
        <v>140</v>
      </c>
      <c r="K130" t="s">
        <v>138</v>
      </c>
      <c r="L130">
        <v>1339</v>
      </c>
      <c r="N130">
        <v>1007</v>
      </c>
      <c r="O130" t="s">
        <v>139</v>
      </c>
      <c r="P130" t="s">
        <v>139</v>
      </c>
      <c r="Q130">
        <v>1</v>
      </c>
      <c r="W130">
        <v>1</v>
      </c>
      <c r="X130">
        <v>894824937</v>
      </c>
      <c r="Y130">
        <v>-1.2</v>
      </c>
      <c r="AA130">
        <v>578.89</v>
      </c>
      <c r="AB130">
        <v>0</v>
      </c>
      <c r="AC130">
        <v>0</v>
      </c>
      <c r="AD130">
        <v>0</v>
      </c>
      <c r="AE130">
        <v>69.83</v>
      </c>
      <c r="AF130">
        <v>0</v>
      </c>
      <c r="AG130">
        <v>0</v>
      </c>
      <c r="AH130">
        <v>0</v>
      </c>
      <c r="AI130">
        <v>8.2899999999999991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</v>
      </c>
      <c r="AT130">
        <v>-1.2</v>
      </c>
      <c r="AU130" t="s">
        <v>3</v>
      </c>
      <c r="AV130">
        <v>0</v>
      </c>
      <c r="AW130">
        <v>2</v>
      </c>
      <c r="AX130">
        <v>46417202</v>
      </c>
      <c r="AY130">
        <v>1</v>
      </c>
      <c r="AZ130">
        <v>6144</v>
      </c>
      <c r="BA130">
        <v>122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Y130*Source!I172</f>
        <v>-2.88</v>
      </c>
      <c r="CY130">
        <f>AA130</f>
        <v>578.89</v>
      </c>
      <c r="CZ130">
        <f>AE130</f>
        <v>69.83</v>
      </c>
      <c r="DA130">
        <f>AI130</f>
        <v>8.2899999999999991</v>
      </c>
      <c r="DB130">
        <f>ROUND(ROUND(AT130*CZ130,2),6)</f>
        <v>-83.8</v>
      </c>
      <c r="DC130">
        <f>ROUND(ROUND(AT130*AG130,2),6)</f>
        <v>0</v>
      </c>
    </row>
    <row r="131" spans="1:107" x14ac:dyDescent="0.2">
      <c r="A131">
        <f>ROW(Source!A172)</f>
        <v>172</v>
      </c>
      <c r="B131">
        <v>46416371</v>
      </c>
      <c r="C131">
        <v>46417188</v>
      </c>
      <c r="D131">
        <v>42582070</v>
      </c>
      <c r="E131">
        <v>1</v>
      </c>
      <c r="F131">
        <v>1</v>
      </c>
      <c r="G131">
        <v>1</v>
      </c>
      <c r="H131">
        <v>3</v>
      </c>
      <c r="I131" t="s">
        <v>435</v>
      </c>
      <c r="J131" t="s">
        <v>436</v>
      </c>
      <c r="K131" t="s">
        <v>437</v>
      </c>
      <c r="L131">
        <v>1339</v>
      </c>
      <c r="N131">
        <v>1007</v>
      </c>
      <c r="O131" t="s">
        <v>139</v>
      </c>
      <c r="P131" t="s">
        <v>139</v>
      </c>
      <c r="Q131">
        <v>1</v>
      </c>
      <c r="W131">
        <v>0</v>
      </c>
      <c r="X131">
        <v>327932598</v>
      </c>
      <c r="Y131">
        <v>0.15</v>
      </c>
      <c r="AA131">
        <v>10.78</v>
      </c>
      <c r="AB131">
        <v>0</v>
      </c>
      <c r="AC131">
        <v>0</v>
      </c>
      <c r="AD131">
        <v>0</v>
      </c>
      <c r="AE131">
        <v>1.3</v>
      </c>
      <c r="AF131">
        <v>0</v>
      </c>
      <c r="AG131">
        <v>0</v>
      </c>
      <c r="AH131">
        <v>0</v>
      </c>
      <c r="AI131">
        <v>8.2899999999999991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0.15</v>
      </c>
      <c r="AU131" t="s">
        <v>3</v>
      </c>
      <c r="AV131">
        <v>0</v>
      </c>
      <c r="AW131">
        <v>2</v>
      </c>
      <c r="AX131">
        <v>46417203</v>
      </c>
      <c r="AY131">
        <v>1</v>
      </c>
      <c r="AZ131">
        <v>0</v>
      </c>
      <c r="BA131">
        <v>123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Y131*Source!I172</f>
        <v>0.36</v>
      </c>
      <c r="CY131">
        <f>AA131</f>
        <v>10.78</v>
      </c>
      <c r="CZ131">
        <f>AE131</f>
        <v>1.3</v>
      </c>
      <c r="DA131">
        <f>AI131</f>
        <v>8.2899999999999991</v>
      </c>
      <c r="DB131">
        <f>ROUND(ROUND(AT131*CZ131,2),6)</f>
        <v>0.2</v>
      </c>
      <c r="DC131">
        <f>ROUND(ROUND(AT131*AG131,2),6)</f>
        <v>0</v>
      </c>
    </row>
    <row r="132" spans="1:107" x14ac:dyDescent="0.2">
      <c r="A132">
        <f>ROW(Source!A172)</f>
        <v>172</v>
      </c>
      <c r="B132">
        <v>46416371</v>
      </c>
      <c r="C132">
        <v>46417188</v>
      </c>
      <c r="D132">
        <v>0</v>
      </c>
      <c r="E132">
        <v>1</v>
      </c>
      <c r="F132">
        <v>1</v>
      </c>
      <c r="G132">
        <v>1</v>
      </c>
      <c r="H132">
        <v>3</v>
      </c>
      <c r="I132" t="s">
        <v>145</v>
      </c>
      <c r="J132" t="s">
        <v>3</v>
      </c>
      <c r="K132" t="s">
        <v>146</v>
      </c>
      <c r="L132">
        <v>1339</v>
      </c>
      <c r="N132">
        <v>1007</v>
      </c>
      <c r="O132" t="s">
        <v>139</v>
      </c>
      <c r="P132" t="s">
        <v>139</v>
      </c>
      <c r="Q132">
        <v>1</v>
      </c>
      <c r="W132">
        <v>0</v>
      </c>
      <c r="X132">
        <v>-1718654303</v>
      </c>
      <c r="Y132">
        <v>1.2</v>
      </c>
      <c r="AA132">
        <v>833.33</v>
      </c>
      <c r="AB132">
        <v>0</v>
      </c>
      <c r="AC132">
        <v>0</v>
      </c>
      <c r="AD132">
        <v>0</v>
      </c>
      <c r="AE132">
        <v>833.33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0</v>
      </c>
      <c r="AP132">
        <v>0</v>
      </c>
      <c r="AQ132">
        <v>0</v>
      </c>
      <c r="AR132">
        <v>0</v>
      </c>
      <c r="AS132" t="s">
        <v>3</v>
      </c>
      <c r="AT132">
        <v>1.2</v>
      </c>
      <c r="AU132" t="s">
        <v>3</v>
      </c>
      <c r="AV132">
        <v>0</v>
      </c>
      <c r="AW132">
        <v>1</v>
      </c>
      <c r="AX132">
        <v>-1</v>
      </c>
      <c r="AY132">
        <v>0</v>
      </c>
      <c r="AZ132">
        <v>0</v>
      </c>
      <c r="BA132" t="s">
        <v>3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Y132*Source!I172</f>
        <v>2.88</v>
      </c>
      <c r="CY132">
        <f>AA132</f>
        <v>833.33</v>
      </c>
      <c r="CZ132">
        <f>AE132</f>
        <v>833.33</v>
      </c>
      <c r="DA132">
        <f>AI132</f>
        <v>1</v>
      </c>
      <c r="DB132">
        <f>ROUND(ROUND(AT132*CZ132,2),6)</f>
        <v>1000</v>
      </c>
      <c r="DC132">
        <f>ROUND(ROUND(AT132*AG132,2),6)</f>
        <v>0</v>
      </c>
    </row>
    <row r="133" spans="1:107" x14ac:dyDescent="0.2">
      <c r="A133">
        <f>ROW(Source!A175)</f>
        <v>175</v>
      </c>
      <c r="B133">
        <v>46416371</v>
      </c>
      <c r="C133">
        <v>46468203</v>
      </c>
      <c r="D133">
        <v>42640871</v>
      </c>
      <c r="E133">
        <v>1</v>
      </c>
      <c r="F133">
        <v>1</v>
      </c>
      <c r="G133">
        <v>1</v>
      </c>
      <c r="H133">
        <v>1</v>
      </c>
      <c r="I133" t="s">
        <v>385</v>
      </c>
      <c r="J133" t="s">
        <v>3</v>
      </c>
      <c r="K133" t="s">
        <v>386</v>
      </c>
      <c r="L133">
        <v>1369</v>
      </c>
      <c r="N133">
        <v>1013</v>
      </c>
      <c r="O133" t="s">
        <v>387</v>
      </c>
      <c r="P133" t="s">
        <v>387</v>
      </c>
      <c r="Q133">
        <v>1</v>
      </c>
      <c r="W133">
        <v>0</v>
      </c>
      <c r="X133">
        <v>110868128</v>
      </c>
      <c r="Y133">
        <v>26.582249999999995</v>
      </c>
      <c r="AA133">
        <v>0</v>
      </c>
      <c r="AB133">
        <v>0</v>
      </c>
      <c r="AC133">
        <v>0</v>
      </c>
      <c r="AD133">
        <v>276.95999999999998</v>
      </c>
      <c r="AE133">
        <v>0</v>
      </c>
      <c r="AF133">
        <v>0</v>
      </c>
      <c r="AG133">
        <v>0</v>
      </c>
      <c r="AH133">
        <v>7.97</v>
      </c>
      <c r="AI133">
        <v>1</v>
      </c>
      <c r="AJ133">
        <v>1</v>
      </c>
      <c r="AK133">
        <v>1</v>
      </c>
      <c r="AL133">
        <v>34.75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</v>
      </c>
      <c r="AT133">
        <v>20.100000000000001</v>
      </c>
      <c r="AU133" t="s">
        <v>161</v>
      </c>
      <c r="AV133">
        <v>1</v>
      </c>
      <c r="AW133">
        <v>2</v>
      </c>
      <c r="AX133">
        <v>46468212</v>
      </c>
      <c r="AY133">
        <v>1</v>
      </c>
      <c r="AZ133">
        <v>0</v>
      </c>
      <c r="BA133">
        <v>124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Y133*Source!I175</f>
        <v>6.3797399999999982</v>
      </c>
      <c r="CY133">
        <f>AD133</f>
        <v>276.95999999999998</v>
      </c>
      <c r="CZ133">
        <f>AH133</f>
        <v>7.97</v>
      </c>
      <c r="DA133">
        <f>AL133</f>
        <v>34.75</v>
      </c>
      <c r="DB133">
        <f>ROUND(((ROUND(AT133*CZ133,2)*1.15)*1.15),6)</f>
        <v>211.86449999999999</v>
      </c>
      <c r="DC133">
        <f>ROUND(((ROUND(AT133*AG133,2)*1.15)*1.15),6)</f>
        <v>0</v>
      </c>
    </row>
    <row r="134" spans="1:107" x14ac:dyDescent="0.2">
      <c r="A134">
        <f>ROW(Source!A175)</f>
        <v>175</v>
      </c>
      <c r="B134">
        <v>46416371</v>
      </c>
      <c r="C134">
        <v>46468203</v>
      </c>
      <c r="D134">
        <v>42568472</v>
      </c>
      <c r="E134">
        <v>1</v>
      </c>
      <c r="F134">
        <v>1</v>
      </c>
      <c r="G134">
        <v>1</v>
      </c>
      <c r="H134">
        <v>2</v>
      </c>
      <c r="I134" t="s">
        <v>511</v>
      </c>
      <c r="J134" t="s">
        <v>512</v>
      </c>
      <c r="K134" t="s">
        <v>513</v>
      </c>
      <c r="L134">
        <v>1368</v>
      </c>
      <c r="N134">
        <v>1011</v>
      </c>
      <c r="O134" t="s">
        <v>393</v>
      </c>
      <c r="P134" t="s">
        <v>393</v>
      </c>
      <c r="Q134">
        <v>1</v>
      </c>
      <c r="W134">
        <v>0</v>
      </c>
      <c r="X134">
        <v>214565903</v>
      </c>
      <c r="Y134">
        <v>4.9018750000000004</v>
      </c>
      <c r="AA134">
        <v>0</v>
      </c>
      <c r="AB134">
        <v>400.8</v>
      </c>
      <c r="AC134">
        <v>0</v>
      </c>
      <c r="AD134">
        <v>0</v>
      </c>
      <c r="AE134">
        <v>0</v>
      </c>
      <c r="AF134">
        <v>30</v>
      </c>
      <c r="AG134">
        <v>0</v>
      </c>
      <c r="AH134">
        <v>0</v>
      </c>
      <c r="AI134">
        <v>1</v>
      </c>
      <c r="AJ134">
        <v>13.36</v>
      </c>
      <c r="AK134">
        <v>34.75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</v>
      </c>
      <c r="AT134">
        <v>3.41</v>
      </c>
      <c r="AU134" t="s">
        <v>160</v>
      </c>
      <c r="AV134">
        <v>0</v>
      </c>
      <c r="AW134">
        <v>2</v>
      </c>
      <c r="AX134">
        <v>46468213</v>
      </c>
      <c r="AY134">
        <v>1</v>
      </c>
      <c r="AZ134">
        <v>0</v>
      </c>
      <c r="BA134">
        <v>125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Y134*Source!I175</f>
        <v>1.17645</v>
      </c>
      <c r="CY134">
        <f>AB134</f>
        <v>400.8</v>
      </c>
      <c r="CZ134">
        <f>AF134</f>
        <v>30</v>
      </c>
      <c r="DA134">
        <f>AJ134</f>
        <v>13.36</v>
      </c>
      <c r="DB134">
        <f>ROUND(((ROUND(AT134*CZ134,2)*1.15)*1.25),6)</f>
        <v>147.05625000000001</v>
      </c>
      <c r="DC134">
        <f>ROUND(((ROUND(AT134*AG134,2)*1.15)*1.25),6)</f>
        <v>0</v>
      </c>
    </row>
    <row r="135" spans="1:107" x14ac:dyDescent="0.2">
      <c r="A135">
        <f>ROW(Source!A175)</f>
        <v>175</v>
      </c>
      <c r="B135">
        <v>46416371</v>
      </c>
      <c r="C135">
        <v>46468203</v>
      </c>
      <c r="D135">
        <v>42570797</v>
      </c>
      <c r="E135">
        <v>1</v>
      </c>
      <c r="F135">
        <v>1</v>
      </c>
      <c r="G135">
        <v>1</v>
      </c>
      <c r="H135">
        <v>2</v>
      </c>
      <c r="I135" t="s">
        <v>442</v>
      </c>
      <c r="J135" t="s">
        <v>443</v>
      </c>
      <c r="K135" t="s">
        <v>444</v>
      </c>
      <c r="L135">
        <v>1368</v>
      </c>
      <c r="N135">
        <v>1011</v>
      </c>
      <c r="O135" t="s">
        <v>393</v>
      </c>
      <c r="P135" t="s">
        <v>393</v>
      </c>
      <c r="Q135">
        <v>1</v>
      </c>
      <c r="W135">
        <v>0</v>
      </c>
      <c r="X135">
        <v>1334273015</v>
      </c>
      <c r="Y135">
        <v>1.0062499999999999</v>
      </c>
      <c r="AA135">
        <v>0</v>
      </c>
      <c r="AB135">
        <v>803.47</v>
      </c>
      <c r="AC135">
        <v>376.69</v>
      </c>
      <c r="AD135">
        <v>0</v>
      </c>
      <c r="AE135">
        <v>0</v>
      </c>
      <c r="AF135">
        <v>60.14</v>
      </c>
      <c r="AG135">
        <v>10.84</v>
      </c>
      <c r="AH135">
        <v>0</v>
      </c>
      <c r="AI135">
        <v>1</v>
      </c>
      <c r="AJ135">
        <v>13.36</v>
      </c>
      <c r="AK135">
        <v>34.75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3</v>
      </c>
      <c r="AT135">
        <v>0.7</v>
      </c>
      <c r="AU135" t="s">
        <v>160</v>
      </c>
      <c r="AV135">
        <v>0</v>
      </c>
      <c r="AW135">
        <v>2</v>
      </c>
      <c r="AX135">
        <v>46468214</v>
      </c>
      <c r="AY135">
        <v>1</v>
      </c>
      <c r="AZ135">
        <v>0</v>
      </c>
      <c r="BA135">
        <v>126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Y135*Source!I175</f>
        <v>0.24149999999999996</v>
      </c>
      <c r="CY135">
        <f>AB135</f>
        <v>803.47</v>
      </c>
      <c r="CZ135">
        <f>AF135</f>
        <v>60.14</v>
      </c>
      <c r="DA135">
        <f>AJ135</f>
        <v>13.36</v>
      </c>
      <c r="DB135">
        <f>ROUND(((ROUND(AT135*CZ135,2)*1.15)*1.25),6)</f>
        <v>60.518749999999997</v>
      </c>
      <c r="DC135">
        <f>ROUND(((ROUND(AT135*AG135,2)*1.15)*1.25),6)</f>
        <v>10.910625</v>
      </c>
    </row>
    <row r="136" spans="1:107" x14ac:dyDescent="0.2">
      <c r="A136">
        <f>ROW(Source!A175)</f>
        <v>175</v>
      </c>
      <c r="B136">
        <v>46416371</v>
      </c>
      <c r="C136">
        <v>46468203</v>
      </c>
      <c r="D136">
        <v>42594059</v>
      </c>
      <c r="E136">
        <v>1</v>
      </c>
      <c r="F136">
        <v>1</v>
      </c>
      <c r="G136">
        <v>1</v>
      </c>
      <c r="H136">
        <v>3</v>
      </c>
      <c r="I136" t="s">
        <v>514</v>
      </c>
      <c r="J136" t="s">
        <v>515</v>
      </c>
      <c r="K136" t="s">
        <v>516</v>
      </c>
      <c r="L136">
        <v>1348</v>
      </c>
      <c r="N136">
        <v>1009</v>
      </c>
      <c r="O136" t="s">
        <v>184</v>
      </c>
      <c r="P136" t="s">
        <v>184</v>
      </c>
      <c r="Q136">
        <v>1000</v>
      </c>
      <c r="W136">
        <v>0</v>
      </c>
      <c r="X136">
        <v>2053990285</v>
      </c>
      <c r="Y136">
        <v>1.6E-2</v>
      </c>
      <c r="AA136">
        <v>17859.310000000001</v>
      </c>
      <c r="AB136">
        <v>0</v>
      </c>
      <c r="AC136">
        <v>0</v>
      </c>
      <c r="AD136">
        <v>0</v>
      </c>
      <c r="AE136">
        <v>2154.3200000000002</v>
      </c>
      <c r="AF136">
        <v>0</v>
      </c>
      <c r="AG136">
        <v>0</v>
      </c>
      <c r="AH136">
        <v>0</v>
      </c>
      <c r="AI136">
        <v>8.2899999999999991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1.6E-2</v>
      </c>
      <c r="AU136" t="s">
        <v>3</v>
      </c>
      <c r="AV136">
        <v>0</v>
      </c>
      <c r="AW136">
        <v>2</v>
      </c>
      <c r="AX136">
        <v>46468215</v>
      </c>
      <c r="AY136">
        <v>1</v>
      </c>
      <c r="AZ136">
        <v>0</v>
      </c>
      <c r="BA136">
        <v>127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Y136*Source!I175</f>
        <v>3.8400000000000001E-3</v>
      </c>
      <c r="CY136">
        <f>AA136</f>
        <v>17859.310000000001</v>
      </c>
      <c r="CZ136">
        <f>AE136</f>
        <v>2154.3200000000002</v>
      </c>
      <c r="DA136">
        <f>AI136</f>
        <v>8.2899999999999991</v>
      </c>
      <c r="DB136">
        <f>ROUND(ROUND(AT136*CZ136,2),6)</f>
        <v>34.47</v>
      </c>
      <c r="DC136">
        <f>ROUND(ROUND(AT136*AG136,2),6)</f>
        <v>0</v>
      </c>
    </row>
    <row r="137" spans="1:107" x14ac:dyDescent="0.2">
      <c r="A137">
        <f>ROW(Source!A175)</f>
        <v>175</v>
      </c>
      <c r="B137">
        <v>46416371</v>
      </c>
      <c r="C137">
        <v>46468203</v>
      </c>
      <c r="D137">
        <v>42593348</v>
      </c>
      <c r="E137">
        <v>1</v>
      </c>
      <c r="F137">
        <v>1</v>
      </c>
      <c r="G137">
        <v>1</v>
      </c>
      <c r="H137">
        <v>3</v>
      </c>
      <c r="I137" t="s">
        <v>517</v>
      </c>
      <c r="J137" t="s">
        <v>518</v>
      </c>
      <c r="K137" t="s">
        <v>519</v>
      </c>
      <c r="L137">
        <v>1348</v>
      </c>
      <c r="N137">
        <v>1009</v>
      </c>
      <c r="O137" t="s">
        <v>184</v>
      </c>
      <c r="P137" t="s">
        <v>184</v>
      </c>
      <c r="Q137">
        <v>1000</v>
      </c>
      <c r="W137">
        <v>0</v>
      </c>
      <c r="X137">
        <v>829336339</v>
      </c>
      <c r="Y137">
        <v>2.4E-2</v>
      </c>
      <c r="AA137">
        <v>22472.7</v>
      </c>
      <c r="AB137">
        <v>0</v>
      </c>
      <c r="AC137">
        <v>0</v>
      </c>
      <c r="AD137">
        <v>0</v>
      </c>
      <c r="AE137">
        <v>2710.82</v>
      </c>
      <c r="AF137">
        <v>0</v>
      </c>
      <c r="AG137">
        <v>0</v>
      </c>
      <c r="AH137">
        <v>0</v>
      </c>
      <c r="AI137">
        <v>8.2899999999999991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2.4E-2</v>
      </c>
      <c r="AU137" t="s">
        <v>3</v>
      </c>
      <c r="AV137">
        <v>0</v>
      </c>
      <c r="AW137">
        <v>2</v>
      </c>
      <c r="AX137">
        <v>46468216</v>
      </c>
      <c r="AY137">
        <v>1</v>
      </c>
      <c r="AZ137">
        <v>0</v>
      </c>
      <c r="BA137">
        <v>128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Y137*Source!I175</f>
        <v>5.7599999999999995E-3</v>
      </c>
      <c r="CY137">
        <f>AA137</f>
        <v>22472.7</v>
      </c>
      <c r="CZ137">
        <f>AE137</f>
        <v>2710.82</v>
      </c>
      <c r="DA137">
        <f>AI137</f>
        <v>8.2899999999999991</v>
      </c>
      <c r="DB137">
        <f>ROUND(ROUND(AT137*CZ137,2),6)</f>
        <v>65.06</v>
      </c>
      <c r="DC137">
        <f>ROUND(ROUND(AT137*AG137,2),6)</f>
        <v>0</v>
      </c>
    </row>
    <row r="138" spans="1:107" x14ac:dyDescent="0.2">
      <c r="A138">
        <f>ROW(Source!A175)</f>
        <v>175</v>
      </c>
      <c r="B138">
        <v>46416371</v>
      </c>
      <c r="C138">
        <v>46468203</v>
      </c>
      <c r="D138">
        <v>42594083</v>
      </c>
      <c r="E138">
        <v>1</v>
      </c>
      <c r="F138">
        <v>1</v>
      </c>
      <c r="G138">
        <v>1</v>
      </c>
      <c r="H138">
        <v>3</v>
      </c>
      <c r="I138" t="s">
        <v>520</v>
      </c>
      <c r="J138" t="s">
        <v>521</v>
      </c>
      <c r="K138" t="s">
        <v>522</v>
      </c>
      <c r="L138">
        <v>1348</v>
      </c>
      <c r="N138">
        <v>1009</v>
      </c>
      <c r="O138" t="s">
        <v>184</v>
      </c>
      <c r="P138" t="s">
        <v>184</v>
      </c>
      <c r="Q138">
        <v>1000</v>
      </c>
      <c r="W138">
        <v>0</v>
      </c>
      <c r="X138">
        <v>-803626099</v>
      </c>
      <c r="Y138">
        <v>0.42</v>
      </c>
      <c r="AA138">
        <v>30519.8</v>
      </c>
      <c r="AB138">
        <v>0</v>
      </c>
      <c r="AC138">
        <v>0</v>
      </c>
      <c r="AD138">
        <v>0</v>
      </c>
      <c r="AE138">
        <v>3681.52</v>
      </c>
      <c r="AF138">
        <v>0</v>
      </c>
      <c r="AG138">
        <v>0</v>
      </c>
      <c r="AH138">
        <v>0</v>
      </c>
      <c r="AI138">
        <v>8.2899999999999991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3</v>
      </c>
      <c r="AT138">
        <v>0.42</v>
      </c>
      <c r="AU138" t="s">
        <v>3</v>
      </c>
      <c r="AV138">
        <v>0</v>
      </c>
      <c r="AW138">
        <v>2</v>
      </c>
      <c r="AX138">
        <v>46468217</v>
      </c>
      <c r="AY138">
        <v>1</v>
      </c>
      <c r="AZ138">
        <v>0</v>
      </c>
      <c r="BA138">
        <v>129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Y138*Source!I175</f>
        <v>0.10079999999999999</v>
      </c>
      <c r="CY138">
        <f>AA138</f>
        <v>30519.8</v>
      </c>
      <c r="CZ138">
        <f>AE138</f>
        <v>3681.52</v>
      </c>
      <c r="DA138">
        <f>AI138</f>
        <v>8.2899999999999991</v>
      </c>
      <c r="DB138">
        <f>ROUND(ROUND(AT138*CZ138,2),6)</f>
        <v>1546.24</v>
      </c>
      <c r="DC138">
        <f>ROUND(ROUND(AT138*AG138,2),6)</f>
        <v>0</v>
      </c>
    </row>
    <row r="139" spans="1:107" x14ac:dyDescent="0.2">
      <c r="A139">
        <f>ROW(Source!A175)</f>
        <v>175</v>
      </c>
      <c r="B139">
        <v>46416371</v>
      </c>
      <c r="C139">
        <v>46468203</v>
      </c>
      <c r="D139">
        <v>42594604</v>
      </c>
      <c r="E139">
        <v>1</v>
      </c>
      <c r="F139">
        <v>1</v>
      </c>
      <c r="G139">
        <v>1</v>
      </c>
      <c r="H139">
        <v>3</v>
      </c>
      <c r="I139" t="s">
        <v>523</v>
      </c>
      <c r="J139" t="s">
        <v>524</v>
      </c>
      <c r="K139" t="s">
        <v>525</v>
      </c>
      <c r="L139">
        <v>1327</v>
      </c>
      <c r="N139">
        <v>1005</v>
      </c>
      <c r="O139" t="s">
        <v>452</v>
      </c>
      <c r="P139" t="s">
        <v>452</v>
      </c>
      <c r="Q139">
        <v>1</v>
      </c>
      <c r="W139">
        <v>0</v>
      </c>
      <c r="X139">
        <v>-160536604</v>
      </c>
      <c r="Y139">
        <v>220</v>
      </c>
      <c r="AA139">
        <v>49.16</v>
      </c>
      <c r="AB139">
        <v>0</v>
      </c>
      <c r="AC139">
        <v>0</v>
      </c>
      <c r="AD139">
        <v>0</v>
      </c>
      <c r="AE139">
        <v>5.93</v>
      </c>
      <c r="AF139">
        <v>0</v>
      </c>
      <c r="AG139">
        <v>0</v>
      </c>
      <c r="AH139">
        <v>0</v>
      </c>
      <c r="AI139">
        <v>8.2899999999999991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3</v>
      </c>
      <c r="AT139">
        <v>220</v>
      </c>
      <c r="AU139" t="s">
        <v>3</v>
      </c>
      <c r="AV139">
        <v>0</v>
      </c>
      <c r="AW139">
        <v>2</v>
      </c>
      <c r="AX139">
        <v>46468218</v>
      </c>
      <c r="AY139">
        <v>1</v>
      </c>
      <c r="AZ139">
        <v>0</v>
      </c>
      <c r="BA139">
        <v>130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Y139*Source!I175</f>
        <v>52.8</v>
      </c>
      <c r="CY139">
        <f>AA139</f>
        <v>49.16</v>
      </c>
      <c r="CZ139">
        <f>AE139</f>
        <v>5.93</v>
      </c>
      <c r="DA139">
        <f>AI139</f>
        <v>8.2899999999999991</v>
      </c>
      <c r="DB139">
        <f>ROUND(ROUND(AT139*CZ139,2),6)</f>
        <v>1304.5999999999999</v>
      </c>
      <c r="DC139">
        <f>ROUND(ROUND(AT139*AG139,2),6)</f>
        <v>0</v>
      </c>
    </row>
    <row r="140" spans="1:107" x14ac:dyDescent="0.2">
      <c r="A140">
        <f>ROW(Source!A175)</f>
        <v>175</v>
      </c>
      <c r="B140">
        <v>46416371</v>
      </c>
      <c r="C140">
        <v>46468203</v>
      </c>
      <c r="D140">
        <v>42572012</v>
      </c>
      <c r="E140">
        <v>1</v>
      </c>
      <c r="F140">
        <v>1</v>
      </c>
      <c r="G140">
        <v>1</v>
      </c>
      <c r="H140">
        <v>3</v>
      </c>
      <c r="I140" t="s">
        <v>526</v>
      </c>
      <c r="J140" t="s">
        <v>527</v>
      </c>
      <c r="K140" t="s">
        <v>528</v>
      </c>
      <c r="L140">
        <v>1339</v>
      </c>
      <c r="N140">
        <v>1007</v>
      </c>
      <c r="O140" t="s">
        <v>139</v>
      </c>
      <c r="P140" t="s">
        <v>139</v>
      </c>
      <c r="Q140">
        <v>1</v>
      </c>
      <c r="W140">
        <v>0</v>
      </c>
      <c r="X140">
        <v>1191145901</v>
      </c>
      <c r="Y140">
        <v>2.5</v>
      </c>
      <c r="AA140">
        <v>4295.46</v>
      </c>
      <c r="AB140">
        <v>0</v>
      </c>
      <c r="AC140">
        <v>0</v>
      </c>
      <c r="AD140">
        <v>0</v>
      </c>
      <c r="AE140">
        <v>518.15</v>
      </c>
      <c r="AF140">
        <v>0</v>
      </c>
      <c r="AG140">
        <v>0</v>
      </c>
      <c r="AH140">
        <v>0</v>
      </c>
      <c r="AI140">
        <v>8.2899999999999991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3</v>
      </c>
      <c r="AT140">
        <v>2.5</v>
      </c>
      <c r="AU140" t="s">
        <v>3</v>
      </c>
      <c r="AV140">
        <v>0</v>
      </c>
      <c r="AW140">
        <v>2</v>
      </c>
      <c r="AX140">
        <v>46468219</v>
      </c>
      <c r="AY140">
        <v>1</v>
      </c>
      <c r="AZ140">
        <v>0</v>
      </c>
      <c r="BA140">
        <v>131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Y140*Source!I175</f>
        <v>0.6</v>
      </c>
      <c r="CY140">
        <f>AA140</f>
        <v>4295.46</v>
      </c>
      <c r="CZ140">
        <f>AE140</f>
        <v>518.15</v>
      </c>
      <c r="DA140">
        <f>AI140</f>
        <v>8.2899999999999991</v>
      </c>
      <c r="DB140">
        <f>ROUND(ROUND(AT140*CZ140,2),6)</f>
        <v>1295.3800000000001</v>
      </c>
      <c r="DC140">
        <f>ROUND(ROUND(AT140*AG140,2),6)</f>
        <v>0</v>
      </c>
    </row>
    <row r="141" spans="1:107" x14ac:dyDescent="0.2">
      <c r="A141">
        <f>ROW(Source!A176)</f>
        <v>176</v>
      </c>
      <c r="B141">
        <v>46416371</v>
      </c>
      <c r="C141">
        <v>46468150</v>
      </c>
      <c r="D141">
        <v>42645565</v>
      </c>
      <c r="E141">
        <v>1</v>
      </c>
      <c r="F141">
        <v>1</v>
      </c>
      <c r="G141">
        <v>1</v>
      </c>
      <c r="H141">
        <v>1</v>
      </c>
      <c r="I141" t="s">
        <v>464</v>
      </c>
      <c r="J141" t="s">
        <v>3</v>
      </c>
      <c r="K141" t="s">
        <v>465</v>
      </c>
      <c r="L141">
        <v>1369</v>
      </c>
      <c r="N141">
        <v>1013</v>
      </c>
      <c r="O141" t="s">
        <v>387</v>
      </c>
      <c r="P141" t="s">
        <v>387</v>
      </c>
      <c r="Q141">
        <v>1</v>
      </c>
      <c r="W141">
        <v>0</v>
      </c>
      <c r="X141">
        <v>-1290178105</v>
      </c>
      <c r="Y141">
        <v>1844.0939999999998</v>
      </c>
      <c r="AA141">
        <v>0</v>
      </c>
      <c r="AB141">
        <v>0</v>
      </c>
      <c r="AC141">
        <v>0</v>
      </c>
      <c r="AD141">
        <v>272.44</v>
      </c>
      <c r="AE141">
        <v>0</v>
      </c>
      <c r="AF141">
        <v>0</v>
      </c>
      <c r="AG141">
        <v>0</v>
      </c>
      <c r="AH141">
        <v>7.84</v>
      </c>
      <c r="AI141">
        <v>1</v>
      </c>
      <c r="AJ141">
        <v>1</v>
      </c>
      <c r="AK141">
        <v>1</v>
      </c>
      <c r="AL141">
        <v>34.75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278.88</v>
      </c>
      <c r="AU141" t="s">
        <v>218</v>
      </c>
      <c r="AV141">
        <v>1</v>
      </c>
      <c r="AW141">
        <v>2</v>
      </c>
      <c r="AX141">
        <v>46468176</v>
      </c>
      <c r="AY141">
        <v>1</v>
      </c>
      <c r="AZ141">
        <v>0</v>
      </c>
      <c r="BA141">
        <v>132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Y141*Source!I176</f>
        <v>44.258255999999996</v>
      </c>
      <c r="CY141">
        <f>AD141</f>
        <v>272.44</v>
      </c>
      <c r="CZ141">
        <f>AH141</f>
        <v>7.84</v>
      </c>
      <c r="DA141">
        <f>AL141</f>
        <v>34.75</v>
      </c>
      <c r="DB141">
        <f>ROUND(((ROUND(AT141*CZ141,2)*1.15)*1.15*5),6)</f>
        <v>14457.70225</v>
      </c>
      <c r="DC141">
        <f>ROUND(((ROUND(AT141*AG141,2)*1.15)*1.15*5),6)</f>
        <v>0</v>
      </c>
    </row>
    <row r="142" spans="1:107" x14ac:dyDescent="0.2">
      <c r="A142">
        <f>ROW(Source!A176)</f>
        <v>176</v>
      </c>
      <c r="B142">
        <v>46416371</v>
      </c>
      <c r="C142">
        <v>46468150</v>
      </c>
      <c r="D142">
        <v>121548</v>
      </c>
      <c r="E142">
        <v>1</v>
      </c>
      <c r="F142">
        <v>1</v>
      </c>
      <c r="G142">
        <v>1</v>
      </c>
      <c r="H142">
        <v>1</v>
      </c>
      <c r="I142" t="s">
        <v>26</v>
      </c>
      <c r="J142" t="s">
        <v>3</v>
      </c>
      <c r="K142" t="s">
        <v>388</v>
      </c>
      <c r="L142">
        <v>608254</v>
      </c>
      <c r="N142">
        <v>1013</v>
      </c>
      <c r="O142" t="s">
        <v>389</v>
      </c>
      <c r="P142" t="s">
        <v>389</v>
      </c>
      <c r="Q142">
        <v>1</v>
      </c>
      <c r="W142">
        <v>0</v>
      </c>
      <c r="X142">
        <v>-185737400</v>
      </c>
      <c r="Y142">
        <v>25.630624999999995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34.75</v>
      </c>
      <c r="AL142">
        <v>1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3</v>
      </c>
      <c r="AT142">
        <v>17.829999999999998</v>
      </c>
      <c r="AU142" t="s">
        <v>170</v>
      </c>
      <c r="AV142">
        <v>2</v>
      </c>
      <c r="AW142">
        <v>2</v>
      </c>
      <c r="AX142">
        <v>46468177</v>
      </c>
      <c r="AY142">
        <v>1</v>
      </c>
      <c r="AZ142">
        <v>0</v>
      </c>
      <c r="BA142">
        <v>133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Y142*Source!I176</f>
        <v>0.61513499999999988</v>
      </c>
      <c r="CY142">
        <f>AD142</f>
        <v>0</v>
      </c>
      <c r="CZ142">
        <f>AH142</f>
        <v>0</v>
      </c>
      <c r="DA142">
        <f>AL142</f>
        <v>1</v>
      </c>
      <c r="DB142">
        <f t="shared" ref="DB142:DB149" si="28">ROUND(((ROUND(AT142*CZ142,2)*1.25)*1.15),6)</f>
        <v>0</v>
      </c>
      <c r="DC142">
        <f t="shared" ref="DC142:DC149" si="29">ROUND(((ROUND(AT142*AG142,2)*1.25)*1.15),6)</f>
        <v>0</v>
      </c>
    </row>
    <row r="143" spans="1:107" x14ac:dyDescent="0.2">
      <c r="A143">
        <f>ROW(Source!A176)</f>
        <v>176</v>
      </c>
      <c r="B143">
        <v>46416371</v>
      </c>
      <c r="C143">
        <v>46468150</v>
      </c>
      <c r="D143">
        <v>42567157</v>
      </c>
      <c r="E143">
        <v>1</v>
      </c>
      <c r="F143">
        <v>1</v>
      </c>
      <c r="G143">
        <v>1</v>
      </c>
      <c r="H143">
        <v>2</v>
      </c>
      <c r="I143" t="s">
        <v>466</v>
      </c>
      <c r="J143" t="s">
        <v>467</v>
      </c>
      <c r="K143" t="s">
        <v>468</v>
      </c>
      <c r="L143">
        <v>1368</v>
      </c>
      <c r="N143">
        <v>1011</v>
      </c>
      <c r="O143" t="s">
        <v>393</v>
      </c>
      <c r="P143" t="s">
        <v>393</v>
      </c>
      <c r="Q143">
        <v>1</v>
      </c>
      <c r="W143">
        <v>0</v>
      </c>
      <c r="X143">
        <v>845452885</v>
      </c>
      <c r="Y143">
        <v>1.2506249999999999</v>
      </c>
      <c r="AA143">
        <v>0</v>
      </c>
      <c r="AB143">
        <v>1187.3</v>
      </c>
      <c r="AC143">
        <v>438.55</v>
      </c>
      <c r="AD143">
        <v>0</v>
      </c>
      <c r="AE143">
        <v>0</v>
      </c>
      <c r="AF143">
        <v>88.87</v>
      </c>
      <c r="AG143">
        <v>12.62</v>
      </c>
      <c r="AH143">
        <v>0</v>
      </c>
      <c r="AI143">
        <v>1</v>
      </c>
      <c r="AJ143">
        <v>13.36</v>
      </c>
      <c r="AK143">
        <v>34.75</v>
      </c>
      <c r="AL143">
        <v>1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3</v>
      </c>
      <c r="AT143">
        <v>0.87</v>
      </c>
      <c r="AU143" t="s">
        <v>170</v>
      </c>
      <c r="AV143">
        <v>0</v>
      </c>
      <c r="AW143">
        <v>2</v>
      </c>
      <c r="AX143">
        <v>46468178</v>
      </c>
      <c r="AY143">
        <v>1</v>
      </c>
      <c r="AZ143">
        <v>0</v>
      </c>
      <c r="BA143">
        <v>134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Y143*Source!I176</f>
        <v>3.0014999999999997E-2</v>
      </c>
      <c r="CY143">
        <f t="shared" ref="CY143:CY149" si="30">AB143</f>
        <v>1187.3</v>
      </c>
      <c r="CZ143">
        <f t="shared" ref="CZ143:CZ149" si="31">AF143</f>
        <v>88.87</v>
      </c>
      <c r="DA143">
        <f t="shared" ref="DA143:DA149" si="32">AJ143</f>
        <v>13.36</v>
      </c>
      <c r="DB143">
        <f t="shared" si="28"/>
        <v>111.14749999999999</v>
      </c>
      <c r="DC143">
        <f t="shared" si="29"/>
        <v>15.78375</v>
      </c>
    </row>
    <row r="144" spans="1:107" x14ac:dyDescent="0.2">
      <c r="A144">
        <f>ROW(Source!A176)</f>
        <v>176</v>
      </c>
      <c r="B144">
        <v>46416371</v>
      </c>
      <c r="C144">
        <v>46468150</v>
      </c>
      <c r="D144">
        <v>42567205</v>
      </c>
      <c r="E144">
        <v>1</v>
      </c>
      <c r="F144">
        <v>1</v>
      </c>
      <c r="G144">
        <v>1</v>
      </c>
      <c r="H144">
        <v>2</v>
      </c>
      <c r="I144" t="s">
        <v>469</v>
      </c>
      <c r="J144" t="s">
        <v>470</v>
      </c>
      <c r="K144" t="s">
        <v>471</v>
      </c>
      <c r="L144">
        <v>1368</v>
      </c>
      <c r="N144">
        <v>1011</v>
      </c>
      <c r="O144" t="s">
        <v>393</v>
      </c>
      <c r="P144" t="s">
        <v>393</v>
      </c>
      <c r="Q144">
        <v>1</v>
      </c>
      <c r="W144">
        <v>0</v>
      </c>
      <c r="X144">
        <v>-166738881</v>
      </c>
      <c r="Y144">
        <v>23.991875</v>
      </c>
      <c r="AA144">
        <v>0</v>
      </c>
      <c r="AB144">
        <v>1348.02</v>
      </c>
      <c r="AC144">
        <v>438.55</v>
      </c>
      <c r="AD144">
        <v>0</v>
      </c>
      <c r="AE144">
        <v>0</v>
      </c>
      <c r="AF144">
        <v>100.9</v>
      </c>
      <c r="AG144">
        <v>12.62</v>
      </c>
      <c r="AH144">
        <v>0</v>
      </c>
      <c r="AI144">
        <v>1</v>
      </c>
      <c r="AJ144">
        <v>13.36</v>
      </c>
      <c r="AK144">
        <v>34.75</v>
      </c>
      <c r="AL144">
        <v>1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</v>
      </c>
      <c r="AT144">
        <v>16.690000000000001</v>
      </c>
      <c r="AU144" t="s">
        <v>170</v>
      </c>
      <c r="AV144">
        <v>0</v>
      </c>
      <c r="AW144">
        <v>2</v>
      </c>
      <c r="AX144">
        <v>46468179</v>
      </c>
      <c r="AY144">
        <v>1</v>
      </c>
      <c r="AZ144">
        <v>0</v>
      </c>
      <c r="BA144">
        <v>135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Y144*Source!I176</f>
        <v>0.57580500000000001</v>
      </c>
      <c r="CY144">
        <f t="shared" si="30"/>
        <v>1348.02</v>
      </c>
      <c r="CZ144">
        <f t="shared" si="31"/>
        <v>100.9</v>
      </c>
      <c r="DA144">
        <f t="shared" si="32"/>
        <v>13.36</v>
      </c>
      <c r="DB144">
        <f t="shared" si="28"/>
        <v>2420.7787499999999</v>
      </c>
      <c r="DC144">
        <f t="shared" si="29"/>
        <v>302.78062499999999</v>
      </c>
    </row>
    <row r="145" spans="1:107" x14ac:dyDescent="0.2">
      <c r="A145">
        <f>ROW(Source!A176)</f>
        <v>176</v>
      </c>
      <c r="B145">
        <v>46416371</v>
      </c>
      <c r="C145">
        <v>46468150</v>
      </c>
      <c r="D145">
        <v>42567318</v>
      </c>
      <c r="E145">
        <v>1</v>
      </c>
      <c r="F145">
        <v>1</v>
      </c>
      <c r="G145">
        <v>1</v>
      </c>
      <c r="H145">
        <v>2</v>
      </c>
      <c r="I145" t="s">
        <v>432</v>
      </c>
      <c r="J145" t="s">
        <v>433</v>
      </c>
      <c r="K145" t="s">
        <v>434</v>
      </c>
      <c r="L145">
        <v>1368</v>
      </c>
      <c r="N145">
        <v>1011</v>
      </c>
      <c r="O145" t="s">
        <v>393</v>
      </c>
      <c r="P145" t="s">
        <v>393</v>
      </c>
      <c r="Q145">
        <v>1</v>
      </c>
      <c r="W145">
        <v>0</v>
      </c>
      <c r="X145">
        <v>-197763218</v>
      </c>
      <c r="Y145">
        <v>0.388125</v>
      </c>
      <c r="AA145">
        <v>0</v>
      </c>
      <c r="AB145">
        <v>1187.3</v>
      </c>
      <c r="AC145">
        <v>326.64999999999998</v>
      </c>
      <c r="AD145">
        <v>0</v>
      </c>
      <c r="AE145">
        <v>0</v>
      </c>
      <c r="AF145">
        <v>88.87</v>
      </c>
      <c r="AG145">
        <v>9.4</v>
      </c>
      <c r="AH145">
        <v>0</v>
      </c>
      <c r="AI145">
        <v>1</v>
      </c>
      <c r="AJ145">
        <v>13.36</v>
      </c>
      <c r="AK145">
        <v>34.75</v>
      </c>
      <c r="AL145">
        <v>1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</v>
      </c>
      <c r="AT145">
        <v>0.27</v>
      </c>
      <c r="AU145" t="s">
        <v>170</v>
      </c>
      <c r="AV145">
        <v>0</v>
      </c>
      <c r="AW145">
        <v>2</v>
      </c>
      <c r="AX145">
        <v>46468180</v>
      </c>
      <c r="AY145">
        <v>1</v>
      </c>
      <c r="AZ145">
        <v>0</v>
      </c>
      <c r="BA145">
        <v>136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Y145*Source!I176</f>
        <v>9.3150000000000004E-3</v>
      </c>
      <c r="CY145">
        <f t="shared" si="30"/>
        <v>1187.3</v>
      </c>
      <c r="CZ145">
        <f t="shared" si="31"/>
        <v>88.87</v>
      </c>
      <c r="DA145">
        <f t="shared" si="32"/>
        <v>13.36</v>
      </c>
      <c r="DB145">
        <f t="shared" si="28"/>
        <v>34.485624999999999</v>
      </c>
      <c r="DC145">
        <f t="shared" si="29"/>
        <v>3.6512500000000001</v>
      </c>
    </row>
    <row r="146" spans="1:107" x14ac:dyDescent="0.2">
      <c r="A146">
        <f>ROW(Source!A176)</f>
        <v>176</v>
      </c>
      <c r="B146">
        <v>46416371</v>
      </c>
      <c r="C146">
        <v>46468150</v>
      </c>
      <c r="D146">
        <v>42567594</v>
      </c>
      <c r="E146">
        <v>1</v>
      </c>
      <c r="F146">
        <v>1</v>
      </c>
      <c r="G146">
        <v>1</v>
      </c>
      <c r="H146">
        <v>2</v>
      </c>
      <c r="I146" t="s">
        <v>472</v>
      </c>
      <c r="J146" t="s">
        <v>473</v>
      </c>
      <c r="K146" t="s">
        <v>474</v>
      </c>
      <c r="L146">
        <v>1368</v>
      </c>
      <c r="N146">
        <v>1011</v>
      </c>
      <c r="O146" t="s">
        <v>393</v>
      </c>
      <c r="P146" t="s">
        <v>393</v>
      </c>
      <c r="Q146">
        <v>1</v>
      </c>
      <c r="W146">
        <v>0</v>
      </c>
      <c r="X146">
        <v>-435130156</v>
      </c>
      <c r="Y146">
        <v>119.45625</v>
      </c>
      <c r="AA146">
        <v>0</v>
      </c>
      <c r="AB146">
        <v>108.22</v>
      </c>
      <c r="AC146">
        <v>0</v>
      </c>
      <c r="AD146">
        <v>0</v>
      </c>
      <c r="AE146">
        <v>0</v>
      </c>
      <c r="AF146">
        <v>8.1</v>
      </c>
      <c r="AG146">
        <v>0</v>
      </c>
      <c r="AH146">
        <v>0</v>
      </c>
      <c r="AI146">
        <v>1</v>
      </c>
      <c r="AJ146">
        <v>13.36</v>
      </c>
      <c r="AK146">
        <v>34.75</v>
      </c>
      <c r="AL146">
        <v>1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3</v>
      </c>
      <c r="AT146">
        <v>83.1</v>
      </c>
      <c r="AU146" t="s">
        <v>170</v>
      </c>
      <c r="AV146">
        <v>0</v>
      </c>
      <c r="AW146">
        <v>2</v>
      </c>
      <c r="AX146">
        <v>46468181</v>
      </c>
      <c r="AY146">
        <v>1</v>
      </c>
      <c r="AZ146">
        <v>0</v>
      </c>
      <c r="BA146">
        <v>137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Y146*Source!I176</f>
        <v>2.8669500000000001</v>
      </c>
      <c r="CY146">
        <f t="shared" si="30"/>
        <v>108.22</v>
      </c>
      <c r="CZ146">
        <f t="shared" si="31"/>
        <v>8.1</v>
      </c>
      <c r="DA146">
        <f t="shared" si="32"/>
        <v>13.36</v>
      </c>
      <c r="DB146">
        <f t="shared" si="28"/>
        <v>967.59562500000004</v>
      </c>
      <c r="DC146">
        <f t="shared" si="29"/>
        <v>0</v>
      </c>
    </row>
    <row r="147" spans="1:107" x14ac:dyDescent="0.2">
      <c r="A147">
        <f>ROW(Source!A176)</f>
        <v>176</v>
      </c>
      <c r="B147">
        <v>46416371</v>
      </c>
      <c r="C147">
        <v>46468150</v>
      </c>
      <c r="D147">
        <v>42568333</v>
      </c>
      <c r="E147">
        <v>1</v>
      </c>
      <c r="F147">
        <v>1</v>
      </c>
      <c r="G147">
        <v>1</v>
      </c>
      <c r="H147">
        <v>2</v>
      </c>
      <c r="I147" t="s">
        <v>475</v>
      </c>
      <c r="J147" t="s">
        <v>476</v>
      </c>
      <c r="K147" t="s">
        <v>477</v>
      </c>
      <c r="L147">
        <v>1368</v>
      </c>
      <c r="N147">
        <v>1011</v>
      </c>
      <c r="O147" t="s">
        <v>393</v>
      </c>
      <c r="P147" t="s">
        <v>393</v>
      </c>
      <c r="Q147">
        <v>1</v>
      </c>
      <c r="W147">
        <v>0</v>
      </c>
      <c r="X147">
        <v>318929633</v>
      </c>
      <c r="Y147">
        <v>20.929999999999996</v>
      </c>
      <c r="AA147">
        <v>0</v>
      </c>
      <c r="AB147">
        <v>25.38</v>
      </c>
      <c r="AC147">
        <v>0</v>
      </c>
      <c r="AD147">
        <v>0</v>
      </c>
      <c r="AE147">
        <v>0</v>
      </c>
      <c r="AF147">
        <v>1.9</v>
      </c>
      <c r="AG147">
        <v>0</v>
      </c>
      <c r="AH147">
        <v>0</v>
      </c>
      <c r="AI147">
        <v>1</v>
      </c>
      <c r="AJ147">
        <v>13.36</v>
      </c>
      <c r="AK147">
        <v>34.75</v>
      </c>
      <c r="AL147">
        <v>1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14.56</v>
      </c>
      <c r="AU147" t="s">
        <v>170</v>
      </c>
      <c r="AV147">
        <v>0</v>
      </c>
      <c r="AW147">
        <v>2</v>
      </c>
      <c r="AX147">
        <v>46468182</v>
      </c>
      <c r="AY147">
        <v>1</v>
      </c>
      <c r="AZ147">
        <v>0</v>
      </c>
      <c r="BA147">
        <v>138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Y147*Source!I176</f>
        <v>0.50231999999999988</v>
      </c>
      <c r="CY147">
        <f t="shared" si="30"/>
        <v>25.38</v>
      </c>
      <c r="CZ147">
        <f t="shared" si="31"/>
        <v>1.9</v>
      </c>
      <c r="DA147">
        <f t="shared" si="32"/>
        <v>13.36</v>
      </c>
      <c r="DB147">
        <f t="shared" si="28"/>
        <v>39.761249999999997</v>
      </c>
      <c r="DC147">
        <f t="shared" si="29"/>
        <v>0</v>
      </c>
    </row>
    <row r="148" spans="1:107" x14ac:dyDescent="0.2">
      <c r="A148">
        <f>ROW(Source!A176)</f>
        <v>176</v>
      </c>
      <c r="B148">
        <v>46416371</v>
      </c>
      <c r="C148">
        <v>46468150</v>
      </c>
      <c r="D148">
        <v>42570399</v>
      </c>
      <c r="E148">
        <v>1</v>
      </c>
      <c r="F148">
        <v>1</v>
      </c>
      <c r="G148">
        <v>1</v>
      </c>
      <c r="H148">
        <v>2</v>
      </c>
      <c r="I148" t="s">
        <v>478</v>
      </c>
      <c r="J148" t="s">
        <v>479</v>
      </c>
      <c r="K148" t="s">
        <v>480</v>
      </c>
      <c r="L148">
        <v>1368</v>
      </c>
      <c r="N148">
        <v>1011</v>
      </c>
      <c r="O148" t="s">
        <v>393</v>
      </c>
      <c r="P148" t="s">
        <v>393</v>
      </c>
      <c r="Q148">
        <v>1</v>
      </c>
      <c r="W148">
        <v>0</v>
      </c>
      <c r="X148">
        <v>1431364018</v>
      </c>
      <c r="Y148">
        <v>0.74749999999999994</v>
      </c>
      <c r="AA148">
        <v>0</v>
      </c>
      <c r="AB148">
        <v>43.69</v>
      </c>
      <c r="AC148">
        <v>0</v>
      </c>
      <c r="AD148">
        <v>0</v>
      </c>
      <c r="AE148">
        <v>0</v>
      </c>
      <c r="AF148">
        <v>3.27</v>
      </c>
      <c r="AG148">
        <v>0</v>
      </c>
      <c r="AH148">
        <v>0</v>
      </c>
      <c r="AI148">
        <v>1</v>
      </c>
      <c r="AJ148">
        <v>13.36</v>
      </c>
      <c r="AK148">
        <v>34.75</v>
      </c>
      <c r="AL148">
        <v>1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</v>
      </c>
      <c r="AT148">
        <v>0.52</v>
      </c>
      <c r="AU148" t="s">
        <v>170</v>
      </c>
      <c r="AV148">
        <v>0</v>
      </c>
      <c r="AW148">
        <v>2</v>
      </c>
      <c r="AX148">
        <v>46468183</v>
      </c>
      <c r="AY148">
        <v>1</v>
      </c>
      <c r="AZ148">
        <v>0</v>
      </c>
      <c r="BA148">
        <v>139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Y148*Source!I176</f>
        <v>1.7939999999999998E-2</v>
      </c>
      <c r="CY148">
        <f t="shared" si="30"/>
        <v>43.69</v>
      </c>
      <c r="CZ148">
        <f t="shared" si="31"/>
        <v>3.27</v>
      </c>
      <c r="DA148">
        <f t="shared" si="32"/>
        <v>13.36</v>
      </c>
      <c r="DB148">
        <f t="shared" si="28"/>
        <v>2.4437500000000001</v>
      </c>
      <c r="DC148">
        <f t="shared" si="29"/>
        <v>0</v>
      </c>
    </row>
    <row r="149" spans="1:107" x14ac:dyDescent="0.2">
      <c r="A149">
        <f>ROW(Source!A176)</f>
        <v>176</v>
      </c>
      <c r="B149">
        <v>46416371</v>
      </c>
      <c r="C149">
        <v>46468150</v>
      </c>
      <c r="D149">
        <v>42570797</v>
      </c>
      <c r="E149">
        <v>1</v>
      </c>
      <c r="F149">
        <v>1</v>
      </c>
      <c r="G149">
        <v>1</v>
      </c>
      <c r="H149">
        <v>2</v>
      </c>
      <c r="I149" t="s">
        <v>442</v>
      </c>
      <c r="J149" t="s">
        <v>443</v>
      </c>
      <c r="K149" t="s">
        <v>444</v>
      </c>
      <c r="L149">
        <v>1368</v>
      </c>
      <c r="N149">
        <v>1011</v>
      </c>
      <c r="O149" t="s">
        <v>393</v>
      </c>
      <c r="P149" t="s">
        <v>393</v>
      </c>
      <c r="Q149">
        <v>1</v>
      </c>
      <c r="W149">
        <v>0</v>
      </c>
      <c r="X149">
        <v>1334273015</v>
      </c>
      <c r="Y149">
        <v>1.8831250000000002</v>
      </c>
      <c r="AA149">
        <v>0</v>
      </c>
      <c r="AB149">
        <v>803.47</v>
      </c>
      <c r="AC149">
        <v>376.69</v>
      </c>
      <c r="AD149">
        <v>0</v>
      </c>
      <c r="AE149">
        <v>0</v>
      </c>
      <c r="AF149">
        <v>60.14</v>
      </c>
      <c r="AG149">
        <v>10.84</v>
      </c>
      <c r="AH149">
        <v>0</v>
      </c>
      <c r="AI149">
        <v>1</v>
      </c>
      <c r="AJ149">
        <v>13.36</v>
      </c>
      <c r="AK149">
        <v>34.75</v>
      </c>
      <c r="AL149">
        <v>1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1.31</v>
      </c>
      <c r="AU149" t="s">
        <v>170</v>
      </c>
      <c r="AV149">
        <v>0</v>
      </c>
      <c r="AW149">
        <v>2</v>
      </c>
      <c r="AX149">
        <v>46468184</v>
      </c>
      <c r="AY149">
        <v>1</v>
      </c>
      <c r="AZ149">
        <v>0</v>
      </c>
      <c r="BA149">
        <v>140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Y149*Source!I176</f>
        <v>4.5195000000000006E-2</v>
      </c>
      <c r="CY149">
        <f t="shared" si="30"/>
        <v>803.47</v>
      </c>
      <c r="CZ149">
        <f t="shared" si="31"/>
        <v>60.14</v>
      </c>
      <c r="DA149">
        <f t="shared" si="32"/>
        <v>13.36</v>
      </c>
      <c r="DB149">
        <f t="shared" si="28"/>
        <v>113.24625</v>
      </c>
      <c r="DC149">
        <f t="shared" si="29"/>
        <v>20.412500000000001</v>
      </c>
    </row>
    <row r="150" spans="1:107" x14ac:dyDescent="0.2">
      <c r="A150">
        <f>ROW(Source!A176)</f>
        <v>176</v>
      </c>
      <c r="B150">
        <v>46416371</v>
      </c>
      <c r="C150">
        <v>46468150</v>
      </c>
      <c r="D150">
        <v>42598779</v>
      </c>
      <c r="E150">
        <v>1</v>
      </c>
      <c r="F150">
        <v>1</v>
      </c>
      <c r="G150">
        <v>1</v>
      </c>
      <c r="H150">
        <v>3</v>
      </c>
      <c r="I150" t="s">
        <v>481</v>
      </c>
      <c r="J150" t="s">
        <v>482</v>
      </c>
      <c r="K150" t="s">
        <v>483</v>
      </c>
      <c r="L150">
        <v>1348</v>
      </c>
      <c r="N150">
        <v>1009</v>
      </c>
      <c r="O150" t="s">
        <v>184</v>
      </c>
      <c r="P150" t="s">
        <v>184</v>
      </c>
      <c r="Q150">
        <v>1000</v>
      </c>
      <c r="W150">
        <v>0</v>
      </c>
      <c r="X150">
        <v>-372132089</v>
      </c>
      <c r="Y150">
        <v>1.4999999999999999E-2</v>
      </c>
      <c r="AA150">
        <v>35404.769999999997</v>
      </c>
      <c r="AB150">
        <v>0</v>
      </c>
      <c r="AC150">
        <v>0</v>
      </c>
      <c r="AD150">
        <v>0</v>
      </c>
      <c r="AE150">
        <v>4270.78</v>
      </c>
      <c r="AF150">
        <v>0</v>
      </c>
      <c r="AG150">
        <v>0</v>
      </c>
      <c r="AH150">
        <v>0</v>
      </c>
      <c r="AI150">
        <v>8.2899999999999991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1.4999999999999999E-2</v>
      </c>
      <c r="AU150" t="s">
        <v>3</v>
      </c>
      <c r="AV150">
        <v>0</v>
      </c>
      <c r="AW150">
        <v>2</v>
      </c>
      <c r="AX150">
        <v>46468185</v>
      </c>
      <c r="AY150">
        <v>1</v>
      </c>
      <c r="AZ150">
        <v>0</v>
      </c>
      <c r="BA150">
        <v>141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Y150*Source!I176</f>
        <v>3.5999999999999997E-4</v>
      </c>
      <c r="CY150">
        <f t="shared" ref="CY150:CY165" si="33">AA150</f>
        <v>35404.769999999997</v>
      </c>
      <c r="CZ150">
        <f t="shared" ref="CZ150:CZ165" si="34">AE150</f>
        <v>4270.78</v>
      </c>
      <c r="DA150">
        <f t="shared" ref="DA150:DA165" si="35">AI150</f>
        <v>8.2899999999999991</v>
      </c>
      <c r="DB150">
        <f t="shared" ref="DB150:DB165" si="36">ROUND(ROUND(AT150*CZ150,2),6)</f>
        <v>64.06</v>
      </c>
      <c r="DC150">
        <f t="shared" ref="DC150:DC165" si="37">ROUND(ROUND(AT150*AG150,2),6)</f>
        <v>0</v>
      </c>
    </row>
    <row r="151" spans="1:107" x14ac:dyDescent="0.2">
      <c r="A151">
        <f>ROW(Source!A176)</f>
        <v>176</v>
      </c>
      <c r="B151">
        <v>46416371</v>
      </c>
      <c r="C151">
        <v>46468150</v>
      </c>
      <c r="D151">
        <v>42599326</v>
      </c>
      <c r="E151">
        <v>1</v>
      </c>
      <c r="F151">
        <v>1</v>
      </c>
      <c r="G151">
        <v>1</v>
      </c>
      <c r="H151">
        <v>3</v>
      </c>
      <c r="I151" t="s">
        <v>484</v>
      </c>
      <c r="J151" t="s">
        <v>485</v>
      </c>
      <c r="K151" t="s">
        <v>486</v>
      </c>
      <c r="L151">
        <v>1348</v>
      </c>
      <c r="N151">
        <v>1009</v>
      </c>
      <c r="O151" t="s">
        <v>184</v>
      </c>
      <c r="P151" t="s">
        <v>184</v>
      </c>
      <c r="Q151">
        <v>1000</v>
      </c>
      <c r="W151">
        <v>0</v>
      </c>
      <c r="X151">
        <v>-85774657</v>
      </c>
      <c r="Y151">
        <v>0.106</v>
      </c>
      <c r="AA151">
        <v>81239.679999999993</v>
      </c>
      <c r="AB151">
        <v>0</v>
      </c>
      <c r="AC151">
        <v>0</v>
      </c>
      <c r="AD151">
        <v>0</v>
      </c>
      <c r="AE151">
        <v>9799.7199999999993</v>
      </c>
      <c r="AF151">
        <v>0</v>
      </c>
      <c r="AG151">
        <v>0</v>
      </c>
      <c r="AH151">
        <v>0</v>
      </c>
      <c r="AI151">
        <v>8.2899999999999991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0.106</v>
      </c>
      <c r="AU151" t="s">
        <v>3</v>
      </c>
      <c r="AV151">
        <v>0</v>
      </c>
      <c r="AW151">
        <v>2</v>
      </c>
      <c r="AX151">
        <v>46468186</v>
      </c>
      <c r="AY151">
        <v>1</v>
      </c>
      <c r="AZ151">
        <v>0</v>
      </c>
      <c r="BA151">
        <v>142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Y151*Source!I176</f>
        <v>2.5439999999999998E-3</v>
      </c>
      <c r="CY151">
        <f t="shared" si="33"/>
        <v>81239.679999999993</v>
      </c>
      <c r="CZ151">
        <f t="shared" si="34"/>
        <v>9799.7199999999993</v>
      </c>
      <c r="DA151">
        <f t="shared" si="35"/>
        <v>8.2899999999999991</v>
      </c>
      <c r="DB151">
        <f t="shared" si="36"/>
        <v>1038.77</v>
      </c>
      <c r="DC151">
        <f t="shared" si="37"/>
        <v>0</v>
      </c>
    </row>
    <row r="152" spans="1:107" x14ac:dyDescent="0.2">
      <c r="A152">
        <f>ROW(Source!A176)</f>
        <v>176</v>
      </c>
      <c r="B152">
        <v>46416371</v>
      </c>
      <c r="C152">
        <v>46468150</v>
      </c>
      <c r="D152">
        <v>42593928</v>
      </c>
      <c r="E152">
        <v>1</v>
      </c>
      <c r="F152">
        <v>1</v>
      </c>
      <c r="G152">
        <v>1</v>
      </c>
      <c r="H152">
        <v>3</v>
      </c>
      <c r="I152" t="s">
        <v>487</v>
      </c>
      <c r="J152" t="s">
        <v>488</v>
      </c>
      <c r="K152" t="s">
        <v>489</v>
      </c>
      <c r="L152">
        <v>1327</v>
      </c>
      <c r="N152">
        <v>1005</v>
      </c>
      <c r="O152" t="s">
        <v>452</v>
      </c>
      <c r="P152" t="s">
        <v>452</v>
      </c>
      <c r="Q152">
        <v>1</v>
      </c>
      <c r="W152">
        <v>0</v>
      </c>
      <c r="X152">
        <v>-264731698</v>
      </c>
      <c r="Y152">
        <v>8.9</v>
      </c>
      <c r="AA152">
        <v>87.96</v>
      </c>
      <c r="AB152">
        <v>0</v>
      </c>
      <c r="AC152">
        <v>0</v>
      </c>
      <c r="AD152">
        <v>0</v>
      </c>
      <c r="AE152">
        <v>10.61</v>
      </c>
      <c r="AF152">
        <v>0</v>
      </c>
      <c r="AG152">
        <v>0</v>
      </c>
      <c r="AH152">
        <v>0</v>
      </c>
      <c r="AI152">
        <v>8.2899999999999991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8.9</v>
      </c>
      <c r="AU152" t="s">
        <v>3</v>
      </c>
      <c r="AV152">
        <v>0</v>
      </c>
      <c r="AW152">
        <v>2</v>
      </c>
      <c r="AX152">
        <v>46468187</v>
      </c>
      <c r="AY152">
        <v>1</v>
      </c>
      <c r="AZ152">
        <v>0</v>
      </c>
      <c r="BA152">
        <v>143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Y152*Source!I176</f>
        <v>0.21360000000000001</v>
      </c>
      <c r="CY152">
        <f t="shared" si="33"/>
        <v>87.96</v>
      </c>
      <c r="CZ152">
        <f t="shared" si="34"/>
        <v>10.61</v>
      </c>
      <c r="DA152">
        <f t="shared" si="35"/>
        <v>8.2899999999999991</v>
      </c>
      <c r="DB152">
        <f t="shared" si="36"/>
        <v>94.43</v>
      </c>
      <c r="DC152">
        <f t="shared" si="37"/>
        <v>0</v>
      </c>
    </row>
    <row r="153" spans="1:107" x14ac:dyDescent="0.2">
      <c r="A153">
        <f>ROW(Source!A176)</f>
        <v>176</v>
      </c>
      <c r="B153">
        <v>46416371</v>
      </c>
      <c r="C153">
        <v>46468150</v>
      </c>
      <c r="D153">
        <v>42599638</v>
      </c>
      <c r="E153">
        <v>1</v>
      </c>
      <c r="F153">
        <v>1</v>
      </c>
      <c r="G153">
        <v>1</v>
      </c>
      <c r="H153">
        <v>3</v>
      </c>
      <c r="I153" t="s">
        <v>490</v>
      </c>
      <c r="J153" t="s">
        <v>491</v>
      </c>
      <c r="K153" t="s">
        <v>492</v>
      </c>
      <c r="L153">
        <v>1348</v>
      </c>
      <c r="N153">
        <v>1009</v>
      </c>
      <c r="O153" t="s">
        <v>184</v>
      </c>
      <c r="P153" t="s">
        <v>184</v>
      </c>
      <c r="Q153">
        <v>1000</v>
      </c>
      <c r="W153">
        <v>0</v>
      </c>
      <c r="X153">
        <v>511917161</v>
      </c>
      <c r="Y153">
        <v>8.0000000000000002E-3</v>
      </c>
      <c r="AA153">
        <v>94977.54</v>
      </c>
      <c r="AB153">
        <v>0</v>
      </c>
      <c r="AC153">
        <v>0</v>
      </c>
      <c r="AD153">
        <v>0</v>
      </c>
      <c r="AE153">
        <v>11456.88</v>
      </c>
      <c r="AF153">
        <v>0</v>
      </c>
      <c r="AG153">
        <v>0</v>
      </c>
      <c r="AH153">
        <v>0</v>
      </c>
      <c r="AI153">
        <v>8.2899999999999991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8.0000000000000002E-3</v>
      </c>
      <c r="AU153" t="s">
        <v>3</v>
      </c>
      <c r="AV153">
        <v>0</v>
      </c>
      <c r="AW153">
        <v>2</v>
      </c>
      <c r="AX153">
        <v>46468188</v>
      </c>
      <c r="AY153">
        <v>1</v>
      </c>
      <c r="AZ153">
        <v>0</v>
      </c>
      <c r="BA153">
        <v>144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Y153*Source!I176</f>
        <v>1.92E-4</v>
      </c>
      <c r="CY153">
        <f t="shared" si="33"/>
        <v>94977.54</v>
      </c>
      <c r="CZ153">
        <f t="shared" si="34"/>
        <v>11456.88</v>
      </c>
      <c r="DA153">
        <f t="shared" si="35"/>
        <v>8.2899999999999991</v>
      </c>
      <c r="DB153">
        <f t="shared" si="36"/>
        <v>91.66</v>
      </c>
      <c r="DC153">
        <f t="shared" si="37"/>
        <v>0</v>
      </c>
    </row>
    <row r="154" spans="1:107" x14ac:dyDescent="0.2">
      <c r="A154">
        <f>ROW(Source!A176)</f>
        <v>176</v>
      </c>
      <c r="B154">
        <v>46416371</v>
      </c>
      <c r="C154">
        <v>46468150</v>
      </c>
      <c r="D154">
        <v>42601169</v>
      </c>
      <c r="E154">
        <v>1</v>
      </c>
      <c r="F154">
        <v>1</v>
      </c>
      <c r="G154">
        <v>1</v>
      </c>
      <c r="H154">
        <v>3</v>
      </c>
      <c r="I154" t="s">
        <v>493</v>
      </c>
      <c r="J154" t="s">
        <v>494</v>
      </c>
      <c r="K154" t="s">
        <v>495</v>
      </c>
      <c r="L154">
        <v>1339</v>
      </c>
      <c r="N154">
        <v>1007</v>
      </c>
      <c r="O154" t="s">
        <v>139</v>
      </c>
      <c r="P154" t="s">
        <v>139</v>
      </c>
      <c r="Q154">
        <v>1</v>
      </c>
      <c r="W154">
        <v>0</v>
      </c>
      <c r="X154">
        <v>-1168381685</v>
      </c>
      <c r="Y154">
        <v>0.22</v>
      </c>
      <c r="AA154">
        <v>5026.1400000000003</v>
      </c>
      <c r="AB154">
        <v>0</v>
      </c>
      <c r="AC154">
        <v>0</v>
      </c>
      <c r="AD154">
        <v>0</v>
      </c>
      <c r="AE154">
        <v>606.29</v>
      </c>
      <c r="AF154">
        <v>0</v>
      </c>
      <c r="AG154">
        <v>0</v>
      </c>
      <c r="AH154">
        <v>0</v>
      </c>
      <c r="AI154">
        <v>8.2899999999999991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3</v>
      </c>
      <c r="AT154">
        <v>0.22</v>
      </c>
      <c r="AU154" t="s">
        <v>3</v>
      </c>
      <c r="AV154">
        <v>0</v>
      </c>
      <c r="AW154">
        <v>2</v>
      </c>
      <c r="AX154">
        <v>46468189</v>
      </c>
      <c r="AY154">
        <v>1</v>
      </c>
      <c r="AZ154">
        <v>0</v>
      </c>
      <c r="BA154">
        <v>145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Y154*Source!I176</f>
        <v>5.28E-3</v>
      </c>
      <c r="CY154">
        <f t="shared" si="33"/>
        <v>5026.1400000000003</v>
      </c>
      <c r="CZ154">
        <f t="shared" si="34"/>
        <v>606.29</v>
      </c>
      <c r="DA154">
        <f t="shared" si="35"/>
        <v>8.2899999999999991</v>
      </c>
      <c r="DB154">
        <f t="shared" si="36"/>
        <v>133.38</v>
      </c>
      <c r="DC154">
        <f t="shared" si="37"/>
        <v>0</v>
      </c>
    </row>
    <row r="155" spans="1:107" x14ac:dyDescent="0.2">
      <c r="A155">
        <f>ROW(Source!A176)</f>
        <v>176</v>
      </c>
      <c r="B155">
        <v>46416371</v>
      </c>
      <c r="C155">
        <v>46468150</v>
      </c>
      <c r="D155">
        <v>42600692</v>
      </c>
      <c r="E155">
        <v>1</v>
      </c>
      <c r="F155">
        <v>1</v>
      </c>
      <c r="G155">
        <v>1</v>
      </c>
      <c r="H155">
        <v>3</v>
      </c>
      <c r="I155" t="s">
        <v>496</v>
      </c>
      <c r="J155" t="s">
        <v>497</v>
      </c>
      <c r="K155" t="s">
        <v>498</v>
      </c>
      <c r="L155">
        <v>1339</v>
      </c>
      <c r="N155">
        <v>1007</v>
      </c>
      <c r="O155" t="s">
        <v>139</v>
      </c>
      <c r="P155" t="s">
        <v>139</v>
      </c>
      <c r="Q155">
        <v>1</v>
      </c>
      <c r="W155">
        <v>0</v>
      </c>
      <c r="X155">
        <v>1765362625</v>
      </c>
      <c r="Y155">
        <v>0.02</v>
      </c>
      <c r="AA155">
        <v>11585.28</v>
      </c>
      <c r="AB155">
        <v>0</v>
      </c>
      <c r="AC155">
        <v>0</v>
      </c>
      <c r="AD155">
        <v>0</v>
      </c>
      <c r="AE155">
        <v>1397.5</v>
      </c>
      <c r="AF155">
        <v>0</v>
      </c>
      <c r="AG155">
        <v>0</v>
      </c>
      <c r="AH155">
        <v>0</v>
      </c>
      <c r="AI155">
        <v>8.2899999999999991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0.02</v>
      </c>
      <c r="AU155" t="s">
        <v>3</v>
      </c>
      <c r="AV155">
        <v>0</v>
      </c>
      <c r="AW155">
        <v>2</v>
      </c>
      <c r="AX155">
        <v>46468190</v>
      </c>
      <c r="AY155">
        <v>1</v>
      </c>
      <c r="AZ155">
        <v>0</v>
      </c>
      <c r="BA155">
        <v>146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Y155*Source!I176</f>
        <v>4.8000000000000001E-4</v>
      </c>
      <c r="CY155">
        <f t="shared" si="33"/>
        <v>11585.28</v>
      </c>
      <c r="CZ155">
        <f t="shared" si="34"/>
        <v>1397.5</v>
      </c>
      <c r="DA155">
        <f t="shared" si="35"/>
        <v>8.2899999999999991</v>
      </c>
      <c r="DB155">
        <f t="shared" si="36"/>
        <v>27.95</v>
      </c>
      <c r="DC155">
        <f t="shared" si="37"/>
        <v>0</v>
      </c>
    </row>
    <row r="156" spans="1:107" x14ac:dyDescent="0.2">
      <c r="A156">
        <f>ROW(Source!A176)</f>
        <v>176</v>
      </c>
      <c r="B156">
        <v>46416371</v>
      </c>
      <c r="C156">
        <v>46468150</v>
      </c>
      <c r="D156">
        <v>42600981</v>
      </c>
      <c r="E156">
        <v>1</v>
      </c>
      <c r="F156">
        <v>1</v>
      </c>
      <c r="G156">
        <v>1</v>
      </c>
      <c r="H156">
        <v>3</v>
      </c>
      <c r="I156" t="s">
        <v>499</v>
      </c>
      <c r="J156" t="s">
        <v>500</v>
      </c>
      <c r="K156" t="s">
        <v>501</v>
      </c>
      <c r="L156">
        <v>1339</v>
      </c>
      <c r="N156">
        <v>1007</v>
      </c>
      <c r="O156" t="s">
        <v>139</v>
      </c>
      <c r="P156" t="s">
        <v>139</v>
      </c>
      <c r="Q156">
        <v>1</v>
      </c>
      <c r="W156">
        <v>0</v>
      </c>
      <c r="X156">
        <v>795155789</v>
      </c>
      <c r="Y156">
        <v>0.02</v>
      </c>
      <c r="AA156">
        <v>9902.74</v>
      </c>
      <c r="AB156">
        <v>0</v>
      </c>
      <c r="AC156">
        <v>0</v>
      </c>
      <c r="AD156">
        <v>0</v>
      </c>
      <c r="AE156">
        <v>1194.54</v>
      </c>
      <c r="AF156">
        <v>0</v>
      </c>
      <c r="AG156">
        <v>0</v>
      </c>
      <c r="AH156">
        <v>0</v>
      </c>
      <c r="AI156">
        <v>8.2899999999999991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0.02</v>
      </c>
      <c r="AU156" t="s">
        <v>3</v>
      </c>
      <c r="AV156">
        <v>0</v>
      </c>
      <c r="AW156">
        <v>2</v>
      </c>
      <c r="AX156">
        <v>46468191</v>
      </c>
      <c r="AY156">
        <v>1</v>
      </c>
      <c r="AZ156">
        <v>0</v>
      </c>
      <c r="BA156">
        <v>147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Y156*Source!I176</f>
        <v>4.8000000000000001E-4</v>
      </c>
      <c r="CY156">
        <f t="shared" si="33"/>
        <v>9902.74</v>
      </c>
      <c r="CZ156">
        <f t="shared" si="34"/>
        <v>1194.54</v>
      </c>
      <c r="DA156">
        <f t="shared" si="35"/>
        <v>8.2899999999999991</v>
      </c>
      <c r="DB156">
        <f t="shared" si="36"/>
        <v>23.89</v>
      </c>
      <c r="DC156">
        <f t="shared" si="37"/>
        <v>0</v>
      </c>
    </row>
    <row r="157" spans="1:107" x14ac:dyDescent="0.2">
      <c r="A157">
        <f>ROW(Source!A176)</f>
        <v>176</v>
      </c>
      <c r="B157">
        <v>46416371</v>
      </c>
      <c r="C157">
        <v>46468150</v>
      </c>
      <c r="D157">
        <v>42600997</v>
      </c>
      <c r="E157">
        <v>1</v>
      </c>
      <c r="F157">
        <v>1</v>
      </c>
      <c r="G157">
        <v>1</v>
      </c>
      <c r="H157">
        <v>3</v>
      </c>
      <c r="I157" t="s">
        <v>502</v>
      </c>
      <c r="J157" t="s">
        <v>503</v>
      </c>
      <c r="K157" t="s">
        <v>504</v>
      </c>
      <c r="L157">
        <v>1339</v>
      </c>
      <c r="N157">
        <v>1007</v>
      </c>
      <c r="O157" t="s">
        <v>139</v>
      </c>
      <c r="P157" t="s">
        <v>139</v>
      </c>
      <c r="Q157">
        <v>1</v>
      </c>
      <c r="W157">
        <v>0</v>
      </c>
      <c r="X157">
        <v>1676929263</v>
      </c>
      <c r="Y157">
        <v>0.28000000000000003</v>
      </c>
      <c r="AA157">
        <v>9506.06</v>
      </c>
      <c r="AB157">
        <v>0</v>
      </c>
      <c r="AC157">
        <v>0</v>
      </c>
      <c r="AD157">
        <v>0</v>
      </c>
      <c r="AE157">
        <v>1146.69</v>
      </c>
      <c r="AF157">
        <v>0</v>
      </c>
      <c r="AG157">
        <v>0</v>
      </c>
      <c r="AH157">
        <v>0</v>
      </c>
      <c r="AI157">
        <v>8.2899999999999991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0.28000000000000003</v>
      </c>
      <c r="AU157" t="s">
        <v>3</v>
      </c>
      <c r="AV157">
        <v>0</v>
      </c>
      <c r="AW157">
        <v>2</v>
      </c>
      <c r="AX157">
        <v>46468192</v>
      </c>
      <c r="AY157">
        <v>1</v>
      </c>
      <c r="AZ157">
        <v>0</v>
      </c>
      <c r="BA157">
        <v>148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Y157*Source!I176</f>
        <v>6.7200000000000011E-3</v>
      </c>
      <c r="CY157">
        <f t="shared" si="33"/>
        <v>9506.06</v>
      </c>
      <c r="CZ157">
        <f t="shared" si="34"/>
        <v>1146.69</v>
      </c>
      <c r="DA157">
        <f t="shared" si="35"/>
        <v>8.2899999999999991</v>
      </c>
      <c r="DB157">
        <f t="shared" si="36"/>
        <v>321.07</v>
      </c>
      <c r="DC157">
        <f t="shared" si="37"/>
        <v>0</v>
      </c>
    </row>
    <row r="158" spans="1:107" x14ac:dyDescent="0.2">
      <c r="A158">
        <f>ROW(Source!A176)</f>
        <v>176</v>
      </c>
      <c r="B158">
        <v>46416371</v>
      </c>
      <c r="C158">
        <v>46468150</v>
      </c>
      <c r="D158">
        <v>42589192</v>
      </c>
      <c r="E158">
        <v>1</v>
      </c>
      <c r="F158">
        <v>1</v>
      </c>
      <c r="G158">
        <v>1</v>
      </c>
      <c r="H158">
        <v>3</v>
      </c>
      <c r="I158" t="s">
        <v>505</v>
      </c>
      <c r="J158" t="s">
        <v>506</v>
      </c>
      <c r="K158" t="s">
        <v>507</v>
      </c>
      <c r="L158">
        <v>1327</v>
      </c>
      <c r="N158">
        <v>1005</v>
      </c>
      <c r="O158" t="s">
        <v>452</v>
      </c>
      <c r="P158" t="s">
        <v>452</v>
      </c>
      <c r="Q158">
        <v>1</v>
      </c>
      <c r="W158">
        <v>0</v>
      </c>
      <c r="X158">
        <v>-1343717979</v>
      </c>
      <c r="Y158">
        <v>20.7</v>
      </c>
      <c r="AA158">
        <v>455.87</v>
      </c>
      <c r="AB158">
        <v>0</v>
      </c>
      <c r="AC158">
        <v>0</v>
      </c>
      <c r="AD158">
        <v>0</v>
      </c>
      <c r="AE158">
        <v>54.99</v>
      </c>
      <c r="AF158">
        <v>0</v>
      </c>
      <c r="AG158">
        <v>0</v>
      </c>
      <c r="AH158">
        <v>0</v>
      </c>
      <c r="AI158">
        <v>8.2899999999999991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3</v>
      </c>
      <c r="AT158">
        <v>20.7</v>
      </c>
      <c r="AU158" t="s">
        <v>3</v>
      </c>
      <c r="AV158">
        <v>0</v>
      </c>
      <c r="AW158">
        <v>2</v>
      </c>
      <c r="AX158">
        <v>46468193</v>
      </c>
      <c r="AY158">
        <v>1</v>
      </c>
      <c r="AZ158">
        <v>0</v>
      </c>
      <c r="BA158">
        <v>149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Y158*Source!I176</f>
        <v>0.49680000000000002</v>
      </c>
      <c r="CY158">
        <f t="shared" si="33"/>
        <v>455.87</v>
      </c>
      <c r="CZ158">
        <f t="shared" si="34"/>
        <v>54.99</v>
      </c>
      <c r="DA158">
        <f t="shared" si="35"/>
        <v>8.2899999999999991</v>
      </c>
      <c r="DB158">
        <f t="shared" si="36"/>
        <v>1138.29</v>
      </c>
      <c r="DC158">
        <f t="shared" si="37"/>
        <v>0</v>
      </c>
    </row>
    <row r="159" spans="1:107" x14ac:dyDescent="0.2">
      <c r="A159">
        <f>ROW(Source!A176)</f>
        <v>176</v>
      </c>
      <c r="B159">
        <v>46416371</v>
      </c>
      <c r="C159">
        <v>46468150</v>
      </c>
      <c r="D159">
        <v>42589353</v>
      </c>
      <c r="E159">
        <v>1</v>
      </c>
      <c r="F159">
        <v>1</v>
      </c>
      <c r="G159">
        <v>1</v>
      </c>
      <c r="H159">
        <v>3</v>
      </c>
      <c r="I159" t="s">
        <v>196</v>
      </c>
      <c r="J159" t="s">
        <v>198</v>
      </c>
      <c r="K159" t="s">
        <v>197</v>
      </c>
      <c r="L159">
        <v>1348</v>
      </c>
      <c r="N159">
        <v>1009</v>
      </c>
      <c r="O159" t="s">
        <v>184</v>
      </c>
      <c r="P159" t="s">
        <v>184</v>
      </c>
      <c r="Q159">
        <v>1000</v>
      </c>
      <c r="W159">
        <v>0</v>
      </c>
      <c r="X159">
        <v>-922995156</v>
      </c>
      <c r="Y159">
        <v>0.73333300000000001</v>
      </c>
      <c r="AA159">
        <v>11277.14</v>
      </c>
      <c r="AB159">
        <v>0</v>
      </c>
      <c r="AC159">
        <v>0</v>
      </c>
      <c r="AD159">
        <v>0</v>
      </c>
      <c r="AE159">
        <v>1360.33</v>
      </c>
      <c r="AF159">
        <v>0</v>
      </c>
      <c r="AG159">
        <v>0</v>
      </c>
      <c r="AH159">
        <v>0</v>
      </c>
      <c r="AI159">
        <v>8.2899999999999991</v>
      </c>
      <c r="AJ159">
        <v>1</v>
      </c>
      <c r="AK159">
        <v>1</v>
      </c>
      <c r="AL159">
        <v>1</v>
      </c>
      <c r="AN159">
        <v>0</v>
      </c>
      <c r="AO159">
        <v>0</v>
      </c>
      <c r="AP159">
        <v>0</v>
      </c>
      <c r="AQ159">
        <v>0</v>
      </c>
      <c r="AR159">
        <v>0</v>
      </c>
      <c r="AS159" t="s">
        <v>3</v>
      </c>
      <c r="AT159">
        <v>0.73333300000000001</v>
      </c>
      <c r="AU159" t="s">
        <v>3</v>
      </c>
      <c r="AV159">
        <v>0</v>
      </c>
      <c r="AW159">
        <v>1</v>
      </c>
      <c r="AX159">
        <v>-1</v>
      </c>
      <c r="AY159">
        <v>0</v>
      </c>
      <c r="AZ159">
        <v>0</v>
      </c>
      <c r="BA159" t="s">
        <v>3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Y159*Source!I176</f>
        <v>1.7599992000000002E-2</v>
      </c>
      <c r="CY159">
        <f t="shared" si="33"/>
        <v>11277.14</v>
      </c>
      <c r="CZ159">
        <f t="shared" si="34"/>
        <v>1360.33</v>
      </c>
      <c r="DA159">
        <f t="shared" si="35"/>
        <v>8.2899999999999991</v>
      </c>
      <c r="DB159">
        <f t="shared" si="36"/>
        <v>997.57</v>
      </c>
      <c r="DC159">
        <f t="shared" si="37"/>
        <v>0</v>
      </c>
    </row>
    <row r="160" spans="1:107" x14ac:dyDescent="0.2">
      <c r="A160">
        <f>ROW(Source!A176)</f>
        <v>176</v>
      </c>
      <c r="B160">
        <v>46416371</v>
      </c>
      <c r="C160">
        <v>46468150</v>
      </c>
      <c r="D160">
        <v>42589206</v>
      </c>
      <c r="E160">
        <v>1</v>
      </c>
      <c r="F160">
        <v>1</v>
      </c>
      <c r="G160">
        <v>1</v>
      </c>
      <c r="H160">
        <v>3</v>
      </c>
      <c r="I160" t="s">
        <v>182</v>
      </c>
      <c r="J160" t="s">
        <v>185</v>
      </c>
      <c r="K160" t="s">
        <v>183</v>
      </c>
      <c r="L160">
        <v>1348</v>
      </c>
      <c r="N160">
        <v>1009</v>
      </c>
      <c r="O160" t="s">
        <v>184</v>
      </c>
      <c r="P160" t="s">
        <v>184</v>
      </c>
      <c r="Q160">
        <v>1000</v>
      </c>
      <c r="W160">
        <v>1</v>
      </c>
      <c r="X160">
        <v>98865574</v>
      </c>
      <c r="Y160">
        <v>-3.2</v>
      </c>
      <c r="AA160">
        <v>44900.3</v>
      </c>
      <c r="AB160">
        <v>0</v>
      </c>
      <c r="AC160">
        <v>0</v>
      </c>
      <c r="AD160">
        <v>0</v>
      </c>
      <c r="AE160">
        <v>5416.2</v>
      </c>
      <c r="AF160">
        <v>0</v>
      </c>
      <c r="AG160">
        <v>0</v>
      </c>
      <c r="AH160">
        <v>0</v>
      </c>
      <c r="AI160">
        <v>8.2899999999999991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-3.2</v>
      </c>
      <c r="AU160" t="s">
        <v>3</v>
      </c>
      <c r="AV160">
        <v>0</v>
      </c>
      <c r="AW160">
        <v>2</v>
      </c>
      <c r="AX160">
        <v>46468194</v>
      </c>
      <c r="AY160">
        <v>1</v>
      </c>
      <c r="AZ160">
        <v>6144</v>
      </c>
      <c r="BA160">
        <v>150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Y160*Source!I176</f>
        <v>-7.6800000000000007E-2</v>
      </c>
      <c r="CY160">
        <f t="shared" si="33"/>
        <v>44900.3</v>
      </c>
      <c r="CZ160">
        <f t="shared" si="34"/>
        <v>5416.2</v>
      </c>
      <c r="DA160">
        <f t="shared" si="35"/>
        <v>8.2899999999999991</v>
      </c>
      <c r="DB160">
        <f t="shared" si="36"/>
        <v>-17331.84</v>
      </c>
      <c r="DC160">
        <f t="shared" si="37"/>
        <v>0</v>
      </c>
    </row>
    <row r="161" spans="1:107" x14ac:dyDescent="0.2">
      <c r="A161">
        <f>ROW(Source!A176)</f>
        <v>176</v>
      </c>
      <c r="B161">
        <v>46416371</v>
      </c>
      <c r="C161">
        <v>46468150</v>
      </c>
      <c r="D161">
        <v>42571927</v>
      </c>
      <c r="E161">
        <v>1</v>
      </c>
      <c r="F161">
        <v>1</v>
      </c>
      <c r="G161">
        <v>1</v>
      </c>
      <c r="H161">
        <v>3</v>
      </c>
      <c r="I161" t="s">
        <v>187</v>
      </c>
      <c r="J161" t="s">
        <v>189</v>
      </c>
      <c r="K161" t="s">
        <v>188</v>
      </c>
      <c r="L161">
        <v>1339</v>
      </c>
      <c r="N161">
        <v>1007</v>
      </c>
      <c r="O161" t="s">
        <v>139</v>
      </c>
      <c r="P161" t="s">
        <v>139</v>
      </c>
      <c r="Q161">
        <v>1</v>
      </c>
      <c r="W161">
        <v>1</v>
      </c>
      <c r="X161">
        <v>220986734</v>
      </c>
      <c r="Y161">
        <v>-101.5</v>
      </c>
      <c r="AA161">
        <v>6198.76</v>
      </c>
      <c r="AB161">
        <v>0</v>
      </c>
      <c r="AC161">
        <v>0</v>
      </c>
      <c r="AD161">
        <v>0</v>
      </c>
      <c r="AE161">
        <v>747.74</v>
      </c>
      <c r="AF161">
        <v>0</v>
      </c>
      <c r="AG161">
        <v>0</v>
      </c>
      <c r="AH161">
        <v>0</v>
      </c>
      <c r="AI161">
        <v>8.2899999999999991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-101.5</v>
      </c>
      <c r="AU161" t="s">
        <v>3</v>
      </c>
      <c r="AV161">
        <v>0</v>
      </c>
      <c r="AW161">
        <v>2</v>
      </c>
      <c r="AX161">
        <v>46468195</v>
      </c>
      <c r="AY161">
        <v>1</v>
      </c>
      <c r="AZ161">
        <v>6144</v>
      </c>
      <c r="BA161">
        <v>151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Y161*Source!I176</f>
        <v>-2.4359999999999999</v>
      </c>
      <c r="CY161">
        <f t="shared" si="33"/>
        <v>6198.76</v>
      </c>
      <c r="CZ161">
        <f t="shared" si="34"/>
        <v>747.74</v>
      </c>
      <c r="DA161">
        <f t="shared" si="35"/>
        <v>8.2899999999999991</v>
      </c>
      <c r="DB161">
        <f t="shared" si="36"/>
        <v>-75895.61</v>
      </c>
      <c r="DC161">
        <f t="shared" si="37"/>
        <v>0</v>
      </c>
    </row>
    <row r="162" spans="1:107" x14ac:dyDescent="0.2">
      <c r="A162">
        <f>ROW(Source!A176)</f>
        <v>176</v>
      </c>
      <c r="B162">
        <v>46416371</v>
      </c>
      <c r="C162">
        <v>46468150</v>
      </c>
      <c r="D162">
        <v>42580849</v>
      </c>
      <c r="E162">
        <v>1</v>
      </c>
      <c r="F162">
        <v>1</v>
      </c>
      <c r="G162">
        <v>1</v>
      </c>
      <c r="H162">
        <v>3</v>
      </c>
      <c r="I162" t="s">
        <v>508</v>
      </c>
      <c r="J162" t="s">
        <v>509</v>
      </c>
      <c r="K162" t="s">
        <v>510</v>
      </c>
      <c r="L162">
        <v>1348</v>
      </c>
      <c r="N162">
        <v>1009</v>
      </c>
      <c r="O162" t="s">
        <v>184</v>
      </c>
      <c r="P162" t="s">
        <v>184</v>
      </c>
      <c r="Q162">
        <v>1000</v>
      </c>
      <c r="W162">
        <v>0</v>
      </c>
      <c r="X162">
        <v>-1182839843</v>
      </c>
      <c r="Y162">
        <v>0.03</v>
      </c>
      <c r="AA162">
        <v>6935</v>
      </c>
      <c r="AB162">
        <v>0</v>
      </c>
      <c r="AC162">
        <v>0</v>
      </c>
      <c r="AD162">
        <v>0</v>
      </c>
      <c r="AE162">
        <v>836.55</v>
      </c>
      <c r="AF162">
        <v>0</v>
      </c>
      <c r="AG162">
        <v>0</v>
      </c>
      <c r="AH162">
        <v>0</v>
      </c>
      <c r="AI162">
        <v>8.2899999999999991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3</v>
      </c>
      <c r="AT162">
        <v>0.03</v>
      </c>
      <c r="AU162" t="s">
        <v>3</v>
      </c>
      <c r="AV162">
        <v>0</v>
      </c>
      <c r="AW162">
        <v>2</v>
      </c>
      <c r="AX162">
        <v>46468196</v>
      </c>
      <c r="AY162">
        <v>1</v>
      </c>
      <c r="AZ162">
        <v>0</v>
      </c>
      <c r="BA162">
        <v>152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Y162*Source!I176</f>
        <v>7.1999999999999994E-4</v>
      </c>
      <c r="CY162">
        <f t="shared" si="33"/>
        <v>6935</v>
      </c>
      <c r="CZ162">
        <f t="shared" si="34"/>
        <v>836.55</v>
      </c>
      <c r="DA162">
        <f t="shared" si="35"/>
        <v>8.2899999999999991</v>
      </c>
      <c r="DB162">
        <f t="shared" si="36"/>
        <v>25.1</v>
      </c>
      <c r="DC162">
        <f t="shared" si="37"/>
        <v>0</v>
      </c>
    </row>
    <row r="163" spans="1:107" x14ac:dyDescent="0.2">
      <c r="A163">
        <f>ROW(Source!A176)</f>
        <v>176</v>
      </c>
      <c r="B163">
        <v>46416371</v>
      </c>
      <c r="C163">
        <v>46468150</v>
      </c>
      <c r="D163">
        <v>42582070</v>
      </c>
      <c r="E163">
        <v>1</v>
      </c>
      <c r="F163">
        <v>1</v>
      </c>
      <c r="G163">
        <v>1</v>
      </c>
      <c r="H163">
        <v>3</v>
      </c>
      <c r="I163" t="s">
        <v>435</v>
      </c>
      <c r="J163" t="s">
        <v>436</v>
      </c>
      <c r="K163" t="s">
        <v>437</v>
      </c>
      <c r="L163">
        <v>1339</v>
      </c>
      <c r="N163">
        <v>1007</v>
      </c>
      <c r="O163" t="s">
        <v>139</v>
      </c>
      <c r="P163" t="s">
        <v>139</v>
      </c>
      <c r="Q163">
        <v>1</v>
      </c>
      <c r="W163">
        <v>0</v>
      </c>
      <c r="X163">
        <v>327932598</v>
      </c>
      <c r="Y163">
        <v>7.4880000000000004</v>
      </c>
      <c r="AA163">
        <v>10.78</v>
      </c>
      <c r="AB163">
        <v>0</v>
      </c>
      <c r="AC163">
        <v>0</v>
      </c>
      <c r="AD163">
        <v>0</v>
      </c>
      <c r="AE163">
        <v>1.3</v>
      </c>
      <c r="AF163">
        <v>0</v>
      </c>
      <c r="AG163">
        <v>0</v>
      </c>
      <c r="AH163">
        <v>0</v>
      </c>
      <c r="AI163">
        <v>8.2899999999999991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7.4880000000000004</v>
      </c>
      <c r="AU163" t="s">
        <v>3</v>
      </c>
      <c r="AV163">
        <v>0</v>
      </c>
      <c r="AW163">
        <v>2</v>
      </c>
      <c r="AX163">
        <v>46468197</v>
      </c>
      <c r="AY163">
        <v>1</v>
      </c>
      <c r="AZ163">
        <v>0</v>
      </c>
      <c r="BA163">
        <v>153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Y163*Source!I176</f>
        <v>0.17971200000000001</v>
      </c>
      <c r="CY163">
        <f t="shared" si="33"/>
        <v>10.78</v>
      </c>
      <c r="CZ163">
        <f t="shared" si="34"/>
        <v>1.3</v>
      </c>
      <c r="DA163">
        <f t="shared" si="35"/>
        <v>8.2899999999999991</v>
      </c>
      <c r="DB163">
        <f t="shared" si="36"/>
        <v>9.73</v>
      </c>
      <c r="DC163">
        <f t="shared" si="37"/>
        <v>0</v>
      </c>
    </row>
    <row r="164" spans="1:107" x14ac:dyDescent="0.2">
      <c r="A164">
        <f>ROW(Source!A176)</f>
        <v>176</v>
      </c>
      <c r="B164">
        <v>46416371</v>
      </c>
      <c r="C164">
        <v>46468150</v>
      </c>
      <c r="D164">
        <v>0</v>
      </c>
      <c r="E164">
        <v>1</v>
      </c>
      <c r="F164">
        <v>1</v>
      </c>
      <c r="G164">
        <v>1</v>
      </c>
      <c r="H164">
        <v>3</v>
      </c>
      <c r="I164" t="s">
        <v>145</v>
      </c>
      <c r="J164" t="s">
        <v>3</v>
      </c>
      <c r="K164" t="s">
        <v>222</v>
      </c>
      <c r="L164">
        <v>1339</v>
      </c>
      <c r="N164">
        <v>1007</v>
      </c>
      <c r="O164" t="s">
        <v>139</v>
      </c>
      <c r="P164" t="s">
        <v>139</v>
      </c>
      <c r="Q164">
        <v>1</v>
      </c>
      <c r="W164">
        <v>0</v>
      </c>
      <c r="X164">
        <v>-1820838541</v>
      </c>
      <c r="Y164">
        <v>101.5</v>
      </c>
      <c r="AA164">
        <v>6916.67</v>
      </c>
      <c r="AB164">
        <v>0</v>
      </c>
      <c r="AC164">
        <v>0</v>
      </c>
      <c r="AD164">
        <v>0</v>
      </c>
      <c r="AE164">
        <v>6916.67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0</v>
      </c>
      <c r="AP164">
        <v>0</v>
      </c>
      <c r="AQ164">
        <v>0</v>
      </c>
      <c r="AR164">
        <v>0</v>
      </c>
      <c r="AS164" t="s">
        <v>3</v>
      </c>
      <c r="AT164">
        <v>101.5</v>
      </c>
      <c r="AU164" t="s">
        <v>3</v>
      </c>
      <c r="AV164">
        <v>0</v>
      </c>
      <c r="AW164">
        <v>1</v>
      </c>
      <c r="AX164">
        <v>-1</v>
      </c>
      <c r="AY164">
        <v>0</v>
      </c>
      <c r="AZ164">
        <v>0</v>
      </c>
      <c r="BA164" t="s">
        <v>3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Y164*Source!I176</f>
        <v>2.4359999999999999</v>
      </c>
      <c r="CY164">
        <f t="shared" si="33"/>
        <v>6916.67</v>
      </c>
      <c r="CZ164">
        <f t="shared" si="34"/>
        <v>6916.67</v>
      </c>
      <c r="DA164">
        <f t="shared" si="35"/>
        <v>1</v>
      </c>
      <c r="DB164">
        <f t="shared" si="36"/>
        <v>702042.01</v>
      </c>
      <c r="DC164">
        <f t="shared" si="37"/>
        <v>0</v>
      </c>
    </row>
    <row r="165" spans="1:107" x14ac:dyDescent="0.2">
      <c r="A165">
        <f>ROW(Source!A176)</f>
        <v>176</v>
      </c>
      <c r="B165">
        <v>46416371</v>
      </c>
      <c r="C165">
        <v>46468150</v>
      </c>
      <c r="D165">
        <v>0</v>
      </c>
      <c r="E165">
        <v>1</v>
      </c>
      <c r="F165">
        <v>1</v>
      </c>
      <c r="G165">
        <v>1</v>
      </c>
      <c r="H165">
        <v>3</v>
      </c>
      <c r="I165" t="s">
        <v>145</v>
      </c>
      <c r="J165" t="s">
        <v>3</v>
      </c>
      <c r="K165" t="s">
        <v>183</v>
      </c>
      <c r="L165">
        <v>1348</v>
      </c>
      <c r="N165">
        <v>1009</v>
      </c>
      <c r="O165" t="s">
        <v>184</v>
      </c>
      <c r="P165" t="s">
        <v>184</v>
      </c>
      <c r="Q165">
        <v>1000</v>
      </c>
      <c r="W165">
        <v>0</v>
      </c>
      <c r="X165">
        <v>511527928</v>
      </c>
      <c r="Y165">
        <v>0.73333300000000001</v>
      </c>
      <c r="AA165">
        <v>58333.33</v>
      </c>
      <c r="AB165">
        <v>0</v>
      </c>
      <c r="AC165">
        <v>0</v>
      </c>
      <c r="AD165">
        <v>0</v>
      </c>
      <c r="AE165">
        <v>58333.33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0</v>
      </c>
      <c r="AP165">
        <v>0</v>
      </c>
      <c r="AQ165">
        <v>0</v>
      </c>
      <c r="AR165">
        <v>0</v>
      </c>
      <c r="AS165" t="s">
        <v>3</v>
      </c>
      <c r="AT165">
        <v>0.73333300000000001</v>
      </c>
      <c r="AU165" t="s">
        <v>3</v>
      </c>
      <c r="AV165">
        <v>0</v>
      </c>
      <c r="AW165">
        <v>1</v>
      </c>
      <c r="AX165">
        <v>-1</v>
      </c>
      <c r="AY165">
        <v>0</v>
      </c>
      <c r="AZ165">
        <v>0</v>
      </c>
      <c r="BA165" t="s">
        <v>3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Y165*Source!I176</f>
        <v>1.7599992000000002E-2</v>
      </c>
      <c r="CY165">
        <f t="shared" si="33"/>
        <v>58333.33</v>
      </c>
      <c r="CZ165">
        <f t="shared" si="34"/>
        <v>58333.33</v>
      </c>
      <c r="DA165">
        <f t="shared" si="35"/>
        <v>1</v>
      </c>
      <c r="DB165">
        <f t="shared" si="36"/>
        <v>42777.760000000002</v>
      </c>
      <c r="DC165">
        <f t="shared" si="37"/>
        <v>0</v>
      </c>
    </row>
    <row r="166" spans="1:107" x14ac:dyDescent="0.2">
      <c r="A166">
        <f>ROW(Source!A251)</f>
        <v>251</v>
      </c>
      <c r="B166">
        <v>46416371</v>
      </c>
      <c r="C166">
        <v>46468349</v>
      </c>
      <c r="D166">
        <v>42642441</v>
      </c>
      <c r="E166">
        <v>1</v>
      </c>
      <c r="F166">
        <v>1</v>
      </c>
      <c r="G166">
        <v>1</v>
      </c>
      <c r="H166">
        <v>1</v>
      </c>
      <c r="I166" t="s">
        <v>529</v>
      </c>
      <c r="J166" t="s">
        <v>3</v>
      </c>
      <c r="K166" t="s">
        <v>530</v>
      </c>
      <c r="L166">
        <v>1369</v>
      </c>
      <c r="N166">
        <v>1013</v>
      </c>
      <c r="O166" t="s">
        <v>387</v>
      </c>
      <c r="P166" t="s">
        <v>387</v>
      </c>
      <c r="Q166">
        <v>1</v>
      </c>
      <c r="W166">
        <v>0</v>
      </c>
      <c r="X166">
        <v>-892337629</v>
      </c>
      <c r="Y166">
        <v>279.85249999999996</v>
      </c>
      <c r="AA166">
        <v>0</v>
      </c>
      <c r="AB166">
        <v>0</v>
      </c>
      <c r="AC166">
        <v>0</v>
      </c>
      <c r="AD166">
        <v>270.01</v>
      </c>
      <c r="AE166">
        <v>0</v>
      </c>
      <c r="AF166">
        <v>0</v>
      </c>
      <c r="AG166">
        <v>0</v>
      </c>
      <c r="AH166">
        <v>7.77</v>
      </c>
      <c r="AI166">
        <v>1</v>
      </c>
      <c r="AJ166">
        <v>1</v>
      </c>
      <c r="AK166">
        <v>1</v>
      </c>
      <c r="AL166">
        <v>34.75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243.35</v>
      </c>
      <c r="AU166" t="s">
        <v>31</v>
      </c>
      <c r="AV166">
        <v>1</v>
      </c>
      <c r="AW166">
        <v>2</v>
      </c>
      <c r="AX166">
        <v>46468350</v>
      </c>
      <c r="AY166">
        <v>1</v>
      </c>
      <c r="AZ166">
        <v>0</v>
      </c>
      <c r="BA166">
        <v>154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Y166*Source!I251</f>
        <v>167.91149999999996</v>
      </c>
      <c r="CY166">
        <f>AD166</f>
        <v>270.01</v>
      </c>
      <c r="CZ166">
        <f>AH166</f>
        <v>7.77</v>
      </c>
      <c r="DA166">
        <f>AL166</f>
        <v>34.75</v>
      </c>
      <c r="DB166">
        <f t="shared" ref="DB166:DB184" si="38">ROUND((ROUND(AT166*CZ166,2)*1.15),6)</f>
        <v>2174.4544999999998</v>
      </c>
      <c r="DC166">
        <f t="shared" ref="DC166:DC184" si="39">ROUND((ROUND(AT166*AG166,2)*1.15),6)</f>
        <v>0</v>
      </c>
    </row>
    <row r="167" spans="1:107" x14ac:dyDescent="0.2">
      <c r="A167">
        <f>ROW(Source!A251)</f>
        <v>251</v>
      </c>
      <c r="B167">
        <v>46416371</v>
      </c>
      <c r="C167">
        <v>46468349</v>
      </c>
      <c r="D167">
        <v>121548</v>
      </c>
      <c r="E167">
        <v>1</v>
      </c>
      <c r="F167">
        <v>1</v>
      </c>
      <c r="G167">
        <v>1</v>
      </c>
      <c r="H167">
        <v>1</v>
      </c>
      <c r="I167" t="s">
        <v>26</v>
      </c>
      <c r="J167" t="s">
        <v>3</v>
      </c>
      <c r="K167" t="s">
        <v>388</v>
      </c>
      <c r="L167">
        <v>608254</v>
      </c>
      <c r="N167">
        <v>1013</v>
      </c>
      <c r="O167" t="s">
        <v>389</v>
      </c>
      <c r="P167" t="s">
        <v>389</v>
      </c>
      <c r="Q167">
        <v>1</v>
      </c>
      <c r="W167">
        <v>0</v>
      </c>
      <c r="X167">
        <v>-185737400</v>
      </c>
      <c r="Y167">
        <v>47.598499999999994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34.75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</v>
      </c>
      <c r="AT167">
        <v>41.39</v>
      </c>
      <c r="AU167" t="s">
        <v>31</v>
      </c>
      <c r="AV167">
        <v>2</v>
      </c>
      <c r="AW167">
        <v>2</v>
      </c>
      <c r="AX167">
        <v>46468351</v>
      </c>
      <c r="AY167">
        <v>1</v>
      </c>
      <c r="AZ167">
        <v>0</v>
      </c>
      <c r="BA167">
        <v>155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Y167*Source!I251</f>
        <v>28.559099999999997</v>
      </c>
      <c r="CY167">
        <f>AD167</f>
        <v>0</v>
      </c>
      <c r="CZ167">
        <f>AH167</f>
        <v>0</v>
      </c>
      <c r="DA167">
        <f>AL167</f>
        <v>1</v>
      </c>
      <c r="DB167">
        <f t="shared" si="38"/>
        <v>0</v>
      </c>
      <c r="DC167">
        <f t="shared" si="39"/>
        <v>0</v>
      </c>
    </row>
    <row r="168" spans="1:107" x14ac:dyDescent="0.2">
      <c r="A168">
        <f>ROW(Source!A251)</f>
        <v>251</v>
      </c>
      <c r="B168">
        <v>46416371</v>
      </c>
      <c r="C168">
        <v>46468349</v>
      </c>
      <c r="D168">
        <v>42567659</v>
      </c>
      <c r="E168">
        <v>1</v>
      </c>
      <c r="F168">
        <v>1</v>
      </c>
      <c r="G168">
        <v>1</v>
      </c>
      <c r="H168">
        <v>2</v>
      </c>
      <c r="I168" t="s">
        <v>394</v>
      </c>
      <c r="J168" t="s">
        <v>395</v>
      </c>
      <c r="K168" t="s">
        <v>396</v>
      </c>
      <c r="L168">
        <v>1368</v>
      </c>
      <c r="N168">
        <v>1011</v>
      </c>
      <c r="O168" t="s">
        <v>393</v>
      </c>
      <c r="P168" t="s">
        <v>393</v>
      </c>
      <c r="Q168">
        <v>1</v>
      </c>
      <c r="W168">
        <v>0</v>
      </c>
      <c r="X168">
        <v>-1300877745</v>
      </c>
      <c r="Y168">
        <v>45.137499999999996</v>
      </c>
      <c r="AA168">
        <v>0</v>
      </c>
      <c r="AB168">
        <v>1320.9</v>
      </c>
      <c r="AC168">
        <v>326.64999999999998</v>
      </c>
      <c r="AD168">
        <v>0</v>
      </c>
      <c r="AE168">
        <v>0</v>
      </c>
      <c r="AF168">
        <v>98.87</v>
      </c>
      <c r="AG168">
        <v>9.4</v>
      </c>
      <c r="AH168">
        <v>0</v>
      </c>
      <c r="AI168">
        <v>1</v>
      </c>
      <c r="AJ168">
        <v>13.36</v>
      </c>
      <c r="AK168">
        <v>34.75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39.25</v>
      </c>
      <c r="AU168" t="s">
        <v>31</v>
      </c>
      <c r="AV168">
        <v>0</v>
      </c>
      <c r="AW168">
        <v>2</v>
      </c>
      <c r="AX168">
        <v>46468352</v>
      </c>
      <c r="AY168">
        <v>1</v>
      </c>
      <c r="AZ168">
        <v>0</v>
      </c>
      <c r="BA168">
        <v>156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Y168*Source!I251</f>
        <v>27.082499999999996</v>
      </c>
      <c r="CY168">
        <f>AB168</f>
        <v>1320.9</v>
      </c>
      <c r="CZ168">
        <f>AF168</f>
        <v>98.87</v>
      </c>
      <c r="DA168">
        <f>AJ168</f>
        <v>13.36</v>
      </c>
      <c r="DB168">
        <f t="shared" si="38"/>
        <v>4462.7475000000004</v>
      </c>
      <c r="DC168">
        <f t="shared" si="39"/>
        <v>424.29250000000002</v>
      </c>
    </row>
    <row r="169" spans="1:107" x14ac:dyDescent="0.2">
      <c r="A169">
        <f>ROW(Source!A251)</f>
        <v>251</v>
      </c>
      <c r="B169">
        <v>46416371</v>
      </c>
      <c r="C169">
        <v>46468349</v>
      </c>
      <c r="D169">
        <v>42568101</v>
      </c>
      <c r="E169">
        <v>1</v>
      </c>
      <c r="F169">
        <v>1</v>
      </c>
      <c r="G169">
        <v>1</v>
      </c>
      <c r="H169">
        <v>2</v>
      </c>
      <c r="I169" t="s">
        <v>531</v>
      </c>
      <c r="J169" t="s">
        <v>532</v>
      </c>
      <c r="K169" t="s">
        <v>533</v>
      </c>
      <c r="L169">
        <v>1368</v>
      </c>
      <c r="N169">
        <v>1011</v>
      </c>
      <c r="O169" t="s">
        <v>393</v>
      </c>
      <c r="P169" t="s">
        <v>393</v>
      </c>
      <c r="Q169">
        <v>1</v>
      </c>
      <c r="W169">
        <v>0</v>
      </c>
      <c r="X169">
        <v>858310515</v>
      </c>
      <c r="Y169">
        <v>1.4834999999999998</v>
      </c>
      <c r="AA169">
        <v>0</v>
      </c>
      <c r="AB169">
        <v>106.88</v>
      </c>
      <c r="AC169">
        <v>0</v>
      </c>
      <c r="AD169">
        <v>0</v>
      </c>
      <c r="AE169">
        <v>0</v>
      </c>
      <c r="AF169">
        <v>8</v>
      </c>
      <c r="AG169">
        <v>0</v>
      </c>
      <c r="AH169">
        <v>0</v>
      </c>
      <c r="AI169">
        <v>1</v>
      </c>
      <c r="AJ169">
        <v>13.36</v>
      </c>
      <c r="AK169">
        <v>34.75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</v>
      </c>
      <c r="AT169">
        <v>1.29</v>
      </c>
      <c r="AU169" t="s">
        <v>31</v>
      </c>
      <c r="AV169">
        <v>0</v>
      </c>
      <c r="AW169">
        <v>2</v>
      </c>
      <c r="AX169">
        <v>46468353</v>
      </c>
      <c r="AY169">
        <v>1</v>
      </c>
      <c r="AZ169">
        <v>0</v>
      </c>
      <c r="BA169">
        <v>157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Y169*Source!I251</f>
        <v>0.89009999999999989</v>
      </c>
      <c r="CY169">
        <f>AB169</f>
        <v>106.88</v>
      </c>
      <c r="CZ169">
        <f>AF169</f>
        <v>8</v>
      </c>
      <c r="DA169">
        <f>AJ169</f>
        <v>13.36</v>
      </c>
      <c r="DB169">
        <f t="shared" si="38"/>
        <v>11.868</v>
      </c>
      <c r="DC169">
        <f t="shared" si="39"/>
        <v>0</v>
      </c>
    </row>
    <row r="170" spans="1:107" x14ac:dyDescent="0.2">
      <c r="A170">
        <f>ROW(Source!A251)</f>
        <v>251</v>
      </c>
      <c r="B170">
        <v>46416371</v>
      </c>
      <c r="C170">
        <v>46468349</v>
      </c>
      <c r="D170">
        <v>42568376</v>
      </c>
      <c r="E170">
        <v>1</v>
      </c>
      <c r="F170">
        <v>1</v>
      </c>
      <c r="G170">
        <v>1</v>
      </c>
      <c r="H170">
        <v>2</v>
      </c>
      <c r="I170" t="s">
        <v>534</v>
      </c>
      <c r="J170" t="s">
        <v>535</v>
      </c>
      <c r="K170" t="s">
        <v>536</v>
      </c>
      <c r="L170">
        <v>1368</v>
      </c>
      <c r="N170">
        <v>1011</v>
      </c>
      <c r="O170" t="s">
        <v>393</v>
      </c>
      <c r="P170" t="s">
        <v>393</v>
      </c>
      <c r="Q170">
        <v>1</v>
      </c>
      <c r="W170">
        <v>0</v>
      </c>
      <c r="X170">
        <v>-1796682493</v>
      </c>
      <c r="Y170">
        <v>2.4609999999999999</v>
      </c>
      <c r="AA170">
        <v>0</v>
      </c>
      <c r="AB170">
        <v>1689.91</v>
      </c>
      <c r="AC170">
        <v>438.55</v>
      </c>
      <c r="AD170">
        <v>0</v>
      </c>
      <c r="AE170">
        <v>0</v>
      </c>
      <c r="AF170">
        <v>126.49</v>
      </c>
      <c r="AG170">
        <v>12.62</v>
      </c>
      <c r="AH170">
        <v>0</v>
      </c>
      <c r="AI170">
        <v>1</v>
      </c>
      <c r="AJ170">
        <v>13.36</v>
      </c>
      <c r="AK170">
        <v>34.75</v>
      </c>
      <c r="AL170">
        <v>1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</v>
      </c>
      <c r="AT170">
        <v>2.14</v>
      </c>
      <c r="AU170" t="s">
        <v>31</v>
      </c>
      <c r="AV170">
        <v>0</v>
      </c>
      <c r="AW170">
        <v>2</v>
      </c>
      <c r="AX170">
        <v>46468354</v>
      </c>
      <c r="AY170">
        <v>1</v>
      </c>
      <c r="AZ170">
        <v>0</v>
      </c>
      <c r="BA170">
        <v>158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Y170*Source!I251</f>
        <v>1.4765999999999999</v>
      </c>
      <c r="CY170">
        <f>AB170</f>
        <v>1689.91</v>
      </c>
      <c r="CZ170">
        <f>AF170</f>
        <v>126.49</v>
      </c>
      <c r="DA170">
        <f>AJ170</f>
        <v>13.36</v>
      </c>
      <c r="DB170">
        <f t="shared" si="38"/>
        <v>311.29349999999999</v>
      </c>
      <c r="DC170">
        <f t="shared" si="39"/>
        <v>31.061499999999999</v>
      </c>
    </row>
    <row r="171" spans="1:107" x14ac:dyDescent="0.2">
      <c r="A171">
        <f>ROW(Source!A251)</f>
        <v>251</v>
      </c>
      <c r="B171">
        <v>46416371</v>
      </c>
      <c r="C171">
        <v>46468349</v>
      </c>
      <c r="D171">
        <v>42570318</v>
      </c>
      <c r="E171">
        <v>1</v>
      </c>
      <c r="F171">
        <v>1</v>
      </c>
      <c r="G171">
        <v>1</v>
      </c>
      <c r="H171">
        <v>2</v>
      </c>
      <c r="I171" t="s">
        <v>397</v>
      </c>
      <c r="J171" t="s">
        <v>398</v>
      </c>
      <c r="K171" t="s">
        <v>399</v>
      </c>
      <c r="L171">
        <v>1368</v>
      </c>
      <c r="N171">
        <v>1011</v>
      </c>
      <c r="O171" t="s">
        <v>393</v>
      </c>
      <c r="P171" t="s">
        <v>393</v>
      </c>
      <c r="Q171">
        <v>1</v>
      </c>
      <c r="W171">
        <v>0</v>
      </c>
      <c r="X171">
        <v>1513431240</v>
      </c>
      <c r="Y171">
        <v>135.41249999999999</v>
      </c>
      <c r="AA171">
        <v>0</v>
      </c>
      <c r="AB171">
        <v>20.440000000000001</v>
      </c>
      <c r="AC171">
        <v>0</v>
      </c>
      <c r="AD171">
        <v>0</v>
      </c>
      <c r="AE171">
        <v>0</v>
      </c>
      <c r="AF171">
        <v>1.53</v>
      </c>
      <c r="AG171">
        <v>0</v>
      </c>
      <c r="AH171">
        <v>0</v>
      </c>
      <c r="AI171">
        <v>1</v>
      </c>
      <c r="AJ171">
        <v>13.36</v>
      </c>
      <c r="AK171">
        <v>34.75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</v>
      </c>
      <c r="AT171">
        <v>117.75</v>
      </c>
      <c r="AU171" t="s">
        <v>31</v>
      </c>
      <c r="AV171">
        <v>0</v>
      </c>
      <c r="AW171">
        <v>2</v>
      </c>
      <c r="AX171">
        <v>46468355</v>
      </c>
      <c r="AY171">
        <v>1</v>
      </c>
      <c r="AZ171">
        <v>0</v>
      </c>
      <c r="BA171">
        <v>159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Y171*Source!I251</f>
        <v>81.247499999999988</v>
      </c>
      <c r="CY171">
        <f>AB171</f>
        <v>20.440000000000001</v>
      </c>
      <c r="CZ171">
        <f>AF171</f>
        <v>1.53</v>
      </c>
      <c r="DA171">
        <f>AJ171</f>
        <v>13.36</v>
      </c>
      <c r="DB171">
        <f t="shared" si="38"/>
        <v>207.184</v>
      </c>
      <c r="DC171">
        <f t="shared" si="39"/>
        <v>0</v>
      </c>
    </row>
    <row r="172" spans="1:107" x14ac:dyDescent="0.2">
      <c r="A172">
        <f>ROW(Source!A252)</f>
        <v>252</v>
      </c>
      <c r="B172">
        <v>46416371</v>
      </c>
      <c r="C172">
        <v>46468337</v>
      </c>
      <c r="D172">
        <v>42643721</v>
      </c>
      <c r="E172">
        <v>1</v>
      </c>
      <c r="F172">
        <v>1</v>
      </c>
      <c r="G172">
        <v>1</v>
      </c>
      <c r="H172">
        <v>1</v>
      </c>
      <c r="I172" t="s">
        <v>413</v>
      </c>
      <c r="J172" t="s">
        <v>3</v>
      </c>
      <c r="K172" t="s">
        <v>414</v>
      </c>
      <c r="L172">
        <v>1369</v>
      </c>
      <c r="N172">
        <v>1013</v>
      </c>
      <c r="O172" t="s">
        <v>387</v>
      </c>
      <c r="P172" t="s">
        <v>387</v>
      </c>
      <c r="Q172">
        <v>1</v>
      </c>
      <c r="W172">
        <v>0</v>
      </c>
      <c r="X172">
        <v>1305698964</v>
      </c>
      <c r="Y172">
        <v>198.95</v>
      </c>
      <c r="AA172">
        <v>0</v>
      </c>
      <c r="AB172">
        <v>0</v>
      </c>
      <c r="AC172">
        <v>0</v>
      </c>
      <c r="AD172">
        <v>258.19</v>
      </c>
      <c r="AE172">
        <v>0</v>
      </c>
      <c r="AF172">
        <v>0</v>
      </c>
      <c r="AG172">
        <v>0</v>
      </c>
      <c r="AH172">
        <v>7.43</v>
      </c>
      <c r="AI172">
        <v>1</v>
      </c>
      <c r="AJ172">
        <v>1</v>
      </c>
      <c r="AK172">
        <v>1</v>
      </c>
      <c r="AL172">
        <v>34.75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</v>
      </c>
      <c r="AT172">
        <v>173</v>
      </c>
      <c r="AU172" t="s">
        <v>31</v>
      </c>
      <c r="AV172">
        <v>1</v>
      </c>
      <c r="AW172">
        <v>2</v>
      </c>
      <c r="AX172">
        <v>46468343</v>
      </c>
      <c r="AY172">
        <v>1</v>
      </c>
      <c r="AZ172">
        <v>0</v>
      </c>
      <c r="BA172">
        <v>160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Y172*Source!I252</f>
        <v>19.895</v>
      </c>
      <c r="CY172">
        <f>AD172</f>
        <v>258.19</v>
      </c>
      <c r="CZ172">
        <f>AH172</f>
        <v>7.43</v>
      </c>
      <c r="DA172">
        <f>AL172</f>
        <v>34.75</v>
      </c>
      <c r="DB172">
        <f t="shared" si="38"/>
        <v>1478.1985</v>
      </c>
      <c r="DC172">
        <f t="shared" si="39"/>
        <v>0</v>
      </c>
    </row>
    <row r="173" spans="1:107" x14ac:dyDescent="0.2">
      <c r="A173">
        <f>ROW(Source!A252)</f>
        <v>252</v>
      </c>
      <c r="B173">
        <v>46416371</v>
      </c>
      <c r="C173">
        <v>46468337</v>
      </c>
      <c r="D173">
        <v>121548</v>
      </c>
      <c r="E173">
        <v>1</v>
      </c>
      <c r="F173">
        <v>1</v>
      </c>
      <c r="G173">
        <v>1</v>
      </c>
      <c r="H173">
        <v>1</v>
      </c>
      <c r="I173" t="s">
        <v>26</v>
      </c>
      <c r="J173" t="s">
        <v>3</v>
      </c>
      <c r="K173" t="s">
        <v>388</v>
      </c>
      <c r="L173">
        <v>608254</v>
      </c>
      <c r="N173">
        <v>1013</v>
      </c>
      <c r="O173" t="s">
        <v>389</v>
      </c>
      <c r="P173" t="s">
        <v>389</v>
      </c>
      <c r="Q173">
        <v>1</v>
      </c>
      <c r="W173">
        <v>0</v>
      </c>
      <c r="X173">
        <v>-185737400</v>
      </c>
      <c r="Y173">
        <v>10.327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1</v>
      </c>
      <c r="AJ173">
        <v>1</v>
      </c>
      <c r="AK173">
        <v>34.75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</v>
      </c>
      <c r="AT173">
        <v>8.98</v>
      </c>
      <c r="AU173" t="s">
        <v>47</v>
      </c>
      <c r="AV173">
        <v>2</v>
      </c>
      <c r="AW173">
        <v>2</v>
      </c>
      <c r="AX173">
        <v>46468344</v>
      </c>
      <c r="AY173">
        <v>1</v>
      </c>
      <c r="AZ173">
        <v>0</v>
      </c>
      <c r="BA173">
        <v>161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Y173*Source!I252</f>
        <v>1.0327</v>
      </c>
      <c r="CY173">
        <f>AD173</f>
        <v>0</v>
      </c>
      <c r="CZ173">
        <f>AH173</f>
        <v>0</v>
      </c>
      <c r="DA173">
        <f>AL173</f>
        <v>1</v>
      </c>
      <c r="DB173">
        <f t="shared" si="38"/>
        <v>0</v>
      </c>
      <c r="DC173">
        <f t="shared" si="39"/>
        <v>0</v>
      </c>
    </row>
    <row r="174" spans="1:107" x14ac:dyDescent="0.2">
      <c r="A174">
        <f>ROW(Source!A252)</f>
        <v>252</v>
      </c>
      <c r="B174">
        <v>46416371</v>
      </c>
      <c r="C174">
        <v>46468337</v>
      </c>
      <c r="D174">
        <v>42567808</v>
      </c>
      <c r="E174">
        <v>1</v>
      </c>
      <c r="F174">
        <v>1</v>
      </c>
      <c r="G174">
        <v>1</v>
      </c>
      <c r="H174">
        <v>2</v>
      </c>
      <c r="I174" t="s">
        <v>415</v>
      </c>
      <c r="J174" t="s">
        <v>416</v>
      </c>
      <c r="K174" t="s">
        <v>417</v>
      </c>
      <c r="L174">
        <v>1368</v>
      </c>
      <c r="N174">
        <v>1011</v>
      </c>
      <c r="O174" t="s">
        <v>393</v>
      </c>
      <c r="P174" t="s">
        <v>393</v>
      </c>
      <c r="Q174">
        <v>1</v>
      </c>
      <c r="W174">
        <v>0</v>
      </c>
      <c r="X174">
        <v>-473875192</v>
      </c>
      <c r="Y174">
        <v>10.051</v>
      </c>
      <c r="AA174">
        <v>0</v>
      </c>
      <c r="AB174">
        <v>704.74</v>
      </c>
      <c r="AC174">
        <v>376.69</v>
      </c>
      <c r="AD174">
        <v>0</v>
      </c>
      <c r="AE174">
        <v>0</v>
      </c>
      <c r="AF174">
        <v>52.75</v>
      </c>
      <c r="AG174">
        <v>10.84</v>
      </c>
      <c r="AH174">
        <v>0</v>
      </c>
      <c r="AI174">
        <v>1</v>
      </c>
      <c r="AJ174">
        <v>13.36</v>
      </c>
      <c r="AK174">
        <v>34.75</v>
      </c>
      <c r="AL174">
        <v>1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</v>
      </c>
      <c r="AT174">
        <v>8.74</v>
      </c>
      <c r="AU174" t="s">
        <v>47</v>
      </c>
      <c r="AV174">
        <v>0</v>
      </c>
      <c r="AW174">
        <v>2</v>
      </c>
      <c r="AX174">
        <v>46468345</v>
      </c>
      <c r="AY174">
        <v>1</v>
      </c>
      <c r="AZ174">
        <v>0</v>
      </c>
      <c r="BA174">
        <v>162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Y174*Source!I252</f>
        <v>1.0051000000000001</v>
      </c>
      <c r="CY174">
        <f>AB174</f>
        <v>704.74</v>
      </c>
      <c r="CZ174">
        <f>AF174</f>
        <v>52.75</v>
      </c>
      <c r="DA174">
        <f>AJ174</f>
        <v>13.36</v>
      </c>
      <c r="DB174">
        <f t="shared" si="38"/>
        <v>530.19600000000003</v>
      </c>
      <c r="DC174">
        <f t="shared" si="39"/>
        <v>108.95099999999999</v>
      </c>
    </row>
    <row r="175" spans="1:107" x14ac:dyDescent="0.2">
      <c r="A175">
        <f>ROW(Source!A252)</f>
        <v>252</v>
      </c>
      <c r="B175">
        <v>46416371</v>
      </c>
      <c r="C175">
        <v>46468337</v>
      </c>
      <c r="D175">
        <v>42567921</v>
      </c>
      <c r="E175">
        <v>1</v>
      </c>
      <c r="F175">
        <v>1</v>
      </c>
      <c r="G175">
        <v>1</v>
      </c>
      <c r="H175">
        <v>2</v>
      </c>
      <c r="I175" t="s">
        <v>410</v>
      </c>
      <c r="J175" t="s">
        <v>411</v>
      </c>
      <c r="K175" t="s">
        <v>412</v>
      </c>
      <c r="L175">
        <v>1368</v>
      </c>
      <c r="N175">
        <v>1011</v>
      </c>
      <c r="O175" t="s">
        <v>393</v>
      </c>
      <c r="P175" t="s">
        <v>393</v>
      </c>
      <c r="Q175">
        <v>1</v>
      </c>
      <c r="W175">
        <v>0</v>
      </c>
      <c r="X175">
        <v>-1580422552</v>
      </c>
      <c r="Y175">
        <v>0.27599999999999997</v>
      </c>
      <c r="AA175">
        <v>0</v>
      </c>
      <c r="AB175">
        <v>647.83000000000004</v>
      </c>
      <c r="AC175">
        <v>326.64999999999998</v>
      </c>
      <c r="AD175">
        <v>0</v>
      </c>
      <c r="AE175">
        <v>0</v>
      </c>
      <c r="AF175">
        <v>48.49</v>
      </c>
      <c r="AG175">
        <v>9.4</v>
      </c>
      <c r="AH175">
        <v>0</v>
      </c>
      <c r="AI175">
        <v>1</v>
      </c>
      <c r="AJ175">
        <v>13.36</v>
      </c>
      <c r="AK175">
        <v>34.75</v>
      </c>
      <c r="AL175">
        <v>1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3</v>
      </c>
      <c r="AT175">
        <v>0.24</v>
      </c>
      <c r="AU175" t="s">
        <v>47</v>
      </c>
      <c r="AV175">
        <v>0</v>
      </c>
      <c r="AW175">
        <v>2</v>
      </c>
      <c r="AX175">
        <v>46468346</v>
      </c>
      <c r="AY175">
        <v>1</v>
      </c>
      <c r="AZ175">
        <v>0</v>
      </c>
      <c r="BA175">
        <v>163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Y175*Source!I252</f>
        <v>2.76E-2</v>
      </c>
      <c r="CY175">
        <f>AB175</f>
        <v>647.83000000000004</v>
      </c>
      <c r="CZ175">
        <f>AF175</f>
        <v>48.49</v>
      </c>
      <c r="DA175">
        <f>AJ175</f>
        <v>13.36</v>
      </c>
      <c r="DB175">
        <f t="shared" si="38"/>
        <v>13.385999999999999</v>
      </c>
      <c r="DC175">
        <f t="shared" si="39"/>
        <v>2.5990000000000002</v>
      </c>
    </row>
    <row r="176" spans="1:107" x14ac:dyDescent="0.2">
      <c r="A176">
        <f>ROW(Source!A252)</f>
        <v>252</v>
      </c>
      <c r="B176">
        <v>46416371</v>
      </c>
      <c r="C176">
        <v>46468337</v>
      </c>
      <c r="D176">
        <v>42570815</v>
      </c>
      <c r="E176">
        <v>1</v>
      </c>
      <c r="F176">
        <v>1</v>
      </c>
      <c r="G176">
        <v>1</v>
      </c>
      <c r="H176">
        <v>2</v>
      </c>
      <c r="I176" t="s">
        <v>418</v>
      </c>
      <c r="J176" t="s">
        <v>419</v>
      </c>
      <c r="K176" t="s">
        <v>420</v>
      </c>
      <c r="L176">
        <v>1368</v>
      </c>
      <c r="N176">
        <v>1011</v>
      </c>
      <c r="O176" t="s">
        <v>393</v>
      </c>
      <c r="P176" t="s">
        <v>393</v>
      </c>
      <c r="Q176">
        <v>1</v>
      </c>
      <c r="W176">
        <v>0</v>
      </c>
      <c r="X176">
        <v>1461961401</v>
      </c>
      <c r="Y176">
        <v>10.051</v>
      </c>
      <c r="AA176">
        <v>0</v>
      </c>
      <c r="AB176">
        <v>846.76</v>
      </c>
      <c r="AC176">
        <v>376.69</v>
      </c>
      <c r="AD176">
        <v>0</v>
      </c>
      <c r="AE176">
        <v>0</v>
      </c>
      <c r="AF176">
        <v>63.38</v>
      </c>
      <c r="AG176">
        <v>10.84</v>
      </c>
      <c r="AH176">
        <v>0</v>
      </c>
      <c r="AI176">
        <v>1</v>
      </c>
      <c r="AJ176">
        <v>13.36</v>
      </c>
      <c r="AK176">
        <v>34.75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</v>
      </c>
      <c r="AT176">
        <v>8.74</v>
      </c>
      <c r="AU176" t="s">
        <v>47</v>
      </c>
      <c r="AV176">
        <v>0</v>
      </c>
      <c r="AW176">
        <v>2</v>
      </c>
      <c r="AX176">
        <v>46468347</v>
      </c>
      <c r="AY176">
        <v>1</v>
      </c>
      <c r="AZ176">
        <v>0</v>
      </c>
      <c r="BA176">
        <v>164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Y176*Source!I252</f>
        <v>1.0051000000000001</v>
      </c>
      <c r="CY176">
        <f>AB176</f>
        <v>846.76</v>
      </c>
      <c r="CZ176">
        <f>AF176</f>
        <v>63.38</v>
      </c>
      <c r="DA176">
        <f>AJ176</f>
        <v>13.36</v>
      </c>
      <c r="DB176">
        <f t="shared" si="38"/>
        <v>637.03099999999995</v>
      </c>
      <c r="DC176">
        <f t="shared" si="39"/>
        <v>108.95099999999999</v>
      </c>
    </row>
    <row r="177" spans="1:107" x14ac:dyDescent="0.2">
      <c r="A177">
        <f>ROW(Source!A253)</f>
        <v>253</v>
      </c>
      <c r="B177">
        <v>46416371</v>
      </c>
      <c r="C177">
        <v>46468356</v>
      </c>
      <c r="D177">
        <v>42641564</v>
      </c>
      <c r="E177">
        <v>1</v>
      </c>
      <c r="F177">
        <v>1</v>
      </c>
      <c r="G177">
        <v>1</v>
      </c>
      <c r="H177">
        <v>1</v>
      </c>
      <c r="I177" t="s">
        <v>408</v>
      </c>
      <c r="J177" t="s">
        <v>3</v>
      </c>
      <c r="K177" t="s">
        <v>409</v>
      </c>
      <c r="L177">
        <v>1369</v>
      </c>
      <c r="N177">
        <v>1013</v>
      </c>
      <c r="O177" t="s">
        <v>387</v>
      </c>
      <c r="P177" t="s">
        <v>387</v>
      </c>
      <c r="Q177">
        <v>1</v>
      </c>
      <c r="W177">
        <v>0</v>
      </c>
      <c r="X177">
        <v>-1855190514</v>
      </c>
      <c r="Y177">
        <v>21.125499999999999</v>
      </c>
      <c r="AA177">
        <v>0</v>
      </c>
      <c r="AB177">
        <v>0</v>
      </c>
      <c r="AC177">
        <v>0</v>
      </c>
      <c r="AD177">
        <v>255.76</v>
      </c>
      <c r="AE177">
        <v>0</v>
      </c>
      <c r="AF177">
        <v>0</v>
      </c>
      <c r="AG177">
        <v>0</v>
      </c>
      <c r="AH177">
        <v>7.36</v>
      </c>
      <c r="AI177">
        <v>1</v>
      </c>
      <c r="AJ177">
        <v>1</v>
      </c>
      <c r="AK177">
        <v>1</v>
      </c>
      <c r="AL177">
        <v>34.75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</v>
      </c>
      <c r="AT177">
        <v>18.37</v>
      </c>
      <c r="AU177" t="s">
        <v>31</v>
      </c>
      <c r="AV177">
        <v>1</v>
      </c>
      <c r="AW177">
        <v>2</v>
      </c>
      <c r="AX177">
        <v>46468357</v>
      </c>
      <c r="AY177">
        <v>1</v>
      </c>
      <c r="AZ177">
        <v>0</v>
      </c>
      <c r="BA177">
        <v>165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Y177*Source!I253</f>
        <v>57.038850000000004</v>
      </c>
      <c r="CY177">
        <f>AD177</f>
        <v>255.76</v>
      </c>
      <c r="CZ177">
        <f>AH177</f>
        <v>7.36</v>
      </c>
      <c r="DA177">
        <f>AL177</f>
        <v>34.75</v>
      </c>
      <c r="DB177">
        <f t="shared" si="38"/>
        <v>155.47999999999999</v>
      </c>
      <c r="DC177">
        <f t="shared" si="39"/>
        <v>0</v>
      </c>
    </row>
    <row r="178" spans="1:107" x14ac:dyDescent="0.2">
      <c r="A178">
        <f>ROW(Source!A253)</f>
        <v>253</v>
      </c>
      <c r="B178">
        <v>46416371</v>
      </c>
      <c r="C178">
        <v>46468356</v>
      </c>
      <c r="D178">
        <v>121548</v>
      </c>
      <c r="E178">
        <v>1</v>
      </c>
      <c r="F178">
        <v>1</v>
      </c>
      <c r="G178">
        <v>1</v>
      </c>
      <c r="H178">
        <v>1</v>
      </c>
      <c r="I178" t="s">
        <v>26</v>
      </c>
      <c r="J178" t="s">
        <v>3</v>
      </c>
      <c r="K178" t="s">
        <v>388</v>
      </c>
      <c r="L178">
        <v>608254</v>
      </c>
      <c r="N178">
        <v>1013</v>
      </c>
      <c r="O178" t="s">
        <v>389</v>
      </c>
      <c r="P178" t="s">
        <v>389</v>
      </c>
      <c r="Q178">
        <v>1</v>
      </c>
      <c r="W178">
        <v>0</v>
      </c>
      <c r="X178">
        <v>-185737400</v>
      </c>
      <c r="Y178">
        <v>5.3475000000000001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1</v>
      </c>
      <c r="AJ178">
        <v>1</v>
      </c>
      <c r="AK178">
        <v>34.75</v>
      </c>
      <c r="AL178">
        <v>1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3</v>
      </c>
      <c r="AT178">
        <v>4.6500000000000004</v>
      </c>
      <c r="AU178" t="s">
        <v>31</v>
      </c>
      <c r="AV178">
        <v>2</v>
      </c>
      <c r="AW178">
        <v>2</v>
      </c>
      <c r="AX178">
        <v>46468358</v>
      </c>
      <c r="AY178">
        <v>1</v>
      </c>
      <c r="AZ178">
        <v>0</v>
      </c>
      <c r="BA178">
        <v>166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Y178*Source!I253</f>
        <v>14.438250000000002</v>
      </c>
      <c r="CY178">
        <f>AD178</f>
        <v>0</v>
      </c>
      <c r="CZ178">
        <f>AH178</f>
        <v>0</v>
      </c>
      <c r="DA178">
        <f>AL178</f>
        <v>1</v>
      </c>
      <c r="DB178">
        <f t="shared" si="38"/>
        <v>0</v>
      </c>
      <c r="DC178">
        <f t="shared" si="39"/>
        <v>0</v>
      </c>
    </row>
    <row r="179" spans="1:107" x14ac:dyDescent="0.2">
      <c r="A179">
        <f>ROW(Source!A253)</f>
        <v>253</v>
      </c>
      <c r="B179">
        <v>46416371</v>
      </c>
      <c r="C179">
        <v>46468356</v>
      </c>
      <c r="D179">
        <v>42568376</v>
      </c>
      <c r="E179">
        <v>1</v>
      </c>
      <c r="F179">
        <v>1</v>
      </c>
      <c r="G179">
        <v>1</v>
      </c>
      <c r="H179">
        <v>2</v>
      </c>
      <c r="I179" t="s">
        <v>534</v>
      </c>
      <c r="J179" t="s">
        <v>535</v>
      </c>
      <c r="K179" t="s">
        <v>536</v>
      </c>
      <c r="L179">
        <v>1368</v>
      </c>
      <c r="N179">
        <v>1011</v>
      </c>
      <c r="O179" t="s">
        <v>393</v>
      </c>
      <c r="P179" t="s">
        <v>393</v>
      </c>
      <c r="Q179">
        <v>1</v>
      </c>
      <c r="W179">
        <v>0</v>
      </c>
      <c r="X179">
        <v>-1796682493</v>
      </c>
      <c r="Y179">
        <v>3.0704999999999996</v>
      </c>
      <c r="AA179">
        <v>0</v>
      </c>
      <c r="AB179">
        <v>1689.91</v>
      </c>
      <c r="AC179">
        <v>438.55</v>
      </c>
      <c r="AD179">
        <v>0</v>
      </c>
      <c r="AE179">
        <v>0</v>
      </c>
      <c r="AF179">
        <v>126.49</v>
      </c>
      <c r="AG179">
        <v>12.62</v>
      </c>
      <c r="AH179">
        <v>0</v>
      </c>
      <c r="AI179">
        <v>1</v>
      </c>
      <c r="AJ179">
        <v>13.36</v>
      </c>
      <c r="AK179">
        <v>34.75</v>
      </c>
      <c r="AL179">
        <v>1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3</v>
      </c>
      <c r="AT179">
        <v>2.67</v>
      </c>
      <c r="AU179" t="s">
        <v>31</v>
      </c>
      <c r="AV179">
        <v>0</v>
      </c>
      <c r="AW179">
        <v>2</v>
      </c>
      <c r="AX179">
        <v>46468359</v>
      </c>
      <c r="AY179">
        <v>1</v>
      </c>
      <c r="AZ179">
        <v>0</v>
      </c>
      <c r="BA179">
        <v>167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Y179*Source!I253</f>
        <v>8.2903500000000001</v>
      </c>
      <c r="CY179">
        <f>AB179</f>
        <v>1689.91</v>
      </c>
      <c r="CZ179">
        <f>AF179</f>
        <v>126.49</v>
      </c>
      <c r="DA179">
        <f>AJ179</f>
        <v>13.36</v>
      </c>
      <c r="DB179">
        <f t="shared" si="38"/>
        <v>388.3895</v>
      </c>
      <c r="DC179">
        <f t="shared" si="39"/>
        <v>38.755000000000003</v>
      </c>
    </row>
    <row r="180" spans="1:107" x14ac:dyDescent="0.2">
      <c r="A180">
        <f>ROW(Source!A253)</f>
        <v>253</v>
      </c>
      <c r="B180">
        <v>46416371</v>
      </c>
      <c r="C180">
        <v>46468356</v>
      </c>
      <c r="D180">
        <v>42568613</v>
      </c>
      <c r="E180">
        <v>1</v>
      </c>
      <c r="F180">
        <v>1</v>
      </c>
      <c r="G180">
        <v>1</v>
      </c>
      <c r="H180">
        <v>2</v>
      </c>
      <c r="I180" t="s">
        <v>537</v>
      </c>
      <c r="J180" t="s">
        <v>538</v>
      </c>
      <c r="K180" t="s">
        <v>539</v>
      </c>
      <c r="L180">
        <v>1368</v>
      </c>
      <c r="N180">
        <v>1011</v>
      </c>
      <c r="O180" t="s">
        <v>393</v>
      </c>
      <c r="P180" t="s">
        <v>393</v>
      </c>
      <c r="Q180">
        <v>1</v>
      </c>
      <c r="W180">
        <v>0</v>
      </c>
      <c r="X180">
        <v>1248060492</v>
      </c>
      <c r="Y180">
        <v>2.2769999999999997</v>
      </c>
      <c r="AA180">
        <v>0</v>
      </c>
      <c r="AB180">
        <v>754.84</v>
      </c>
      <c r="AC180">
        <v>376.69</v>
      </c>
      <c r="AD180">
        <v>0</v>
      </c>
      <c r="AE180">
        <v>0</v>
      </c>
      <c r="AF180">
        <v>56.5</v>
      </c>
      <c r="AG180">
        <v>10.84</v>
      </c>
      <c r="AH180">
        <v>0</v>
      </c>
      <c r="AI180">
        <v>1</v>
      </c>
      <c r="AJ180">
        <v>13.36</v>
      </c>
      <c r="AK180">
        <v>34.75</v>
      </c>
      <c r="AL180">
        <v>1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3</v>
      </c>
      <c r="AT180">
        <v>1.98</v>
      </c>
      <c r="AU180" t="s">
        <v>31</v>
      </c>
      <c r="AV180">
        <v>0</v>
      </c>
      <c r="AW180">
        <v>2</v>
      </c>
      <c r="AX180">
        <v>46468360</v>
      </c>
      <c r="AY180">
        <v>1</v>
      </c>
      <c r="AZ180">
        <v>0</v>
      </c>
      <c r="BA180">
        <v>168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Y180*Source!I253</f>
        <v>6.1478999999999999</v>
      </c>
      <c r="CY180">
        <f>AB180</f>
        <v>754.84</v>
      </c>
      <c r="CZ180">
        <f>AF180</f>
        <v>56.5</v>
      </c>
      <c r="DA180">
        <f>AJ180</f>
        <v>13.36</v>
      </c>
      <c r="DB180">
        <f t="shared" si="38"/>
        <v>128.65049999999999</v>
      </c>
      <c r="DC180">
        <f t="shared" si="39"/>
        <v>24.678999999999998</v>
      </c>
    </row>
    <row r="181" spans="1:107" x14ac:dyDescent="0.2">
      <c r="A181">
        <f>ROW(Source!A254)</f>
        <v>254</v>
      </c>
      <c r="B181">
        <v>46416371</v>
      </c>
      <c r="C181">
        <v>46468361</v>
      </c>
      <c r="D181">
        <v>42640621</v>
      </c>
      <c r="E181">
        <v>1</v>
      </c>
      <c r="F181">
        <v>1</v>
      </c>
      <c r="G181">
        <v>1</v>
      </c>
      <c r="H181">
        <v>1</v>
      </c>
      <c r="I181" t="s">
        <v>406</v>
      </c>
      <c r="J181" t="s">
        <v>3</v>
      </c>
      <c r="K181" t="s">
        <v>407</v>
      </c>
      <c r="L181">
        <v>1369</v>
      </c>
      <c r="N181">
        <v>1013</v>
      </c>
      <c r="O181" t="s">
        <v>387</v>
      </c>
      <c r="P181" t="s">
        <v>387</v>
      </c>
      <c r="Q181">
        <v>1</v>
      </c>
      <c r="W181">
        <v>0</v>
      </c>
      <c r="X181">
        <v>1946641599</v>
      </c>
      <c r="Y181">
        <v>36.018000000000001</v>
      </c>
      <c r="AA181">
        <v>0</v>
      </c>
      <c r="AB181">
        <v>0</v>
      </c>
      <c r="AC181">
        <v>0</v>
      </c>
      <c r="AD181">
        <v>253.33</v>
      </c>
      <c r="AE181">
        <v>0</v>
      </c>
      <c r="AF181">
        <v>0</v>
      </c>
      <c r="AG181">
        <v>0</v>
      </c>
      <c r="AH181">
        <v>7.29</v>
      </c>
      <c r="AI181">
        <v>1</v>
      </c>
      <c r="AJ181">
        <v>1</v>
      </c>
      <c r="AK181">
        <v>1</v>
      </c>
      <c r="AL181">
        <v>34.75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3</v>
      </c>
      <c r="AT181">
        <v>31.32</v>
      </c>
      <c r="AU181" t="s">
        <v>31</v>
      </c>
      <c r="AV181">
        <v>1</v>
      </c>
      <c r="AW181">
        <v>2</v>
      </c>
      <c r="AX181">
        <v>46468367</v>
      </c>
      <c r="AY181">
        <v>1</v>
      </c>
      <c r="AZ181">
        <v>0</v>
      </c>
      <c r="BA181">
        <v>169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Y181*Source!I254</f>
        <v>15.055524</v>
      </c>
      <c r="CY181">
        <f>AD181</f>
        <v>253.33</v>
      </c>
      <c r="CZ181">
        <f>AH181</f>
        <v>7.29</v>
      </c>
      <c r="DA181">
        <f>AL181</f>
        <v>34.75</v>
      </c>
      <c r="DB181">
        <f t="shared" si="38"/>
        <v>262.56799999999998</v>
      </c>
      <c r="DC181">
        <f t="shared" si="39"/>
        <v>0</v>
      </c>
    </row>
    <row r="182" spans="1:107" x14ac:dyDescent="0.2">
      <c r="A182">
        <f>ROW(Source!A254)</f>
        <v>254</v>
      </c>
      <c r="B182">
        <v>46416371</v>
      </c>
      <c r="C182">
        <v>46468361</v>
      </c>
      <c r="D182">
        <v>121548</v>
      </c>
      <c r="E182">
        <v>1</v>
      </c>
      <c r="F182">
        <v>1</v>
      </c>
      <c r="G182">
        <v>1</v>
      </c>
      <c r="H182">
        <v>1</v>
      </c>
      <c r="I182" t="s">
        <v>26</v>
      </c>
      <c r="J182" t="s">
        <v>3</v>
      </c>
      <c r="K182" t="s">
        <v>388</v>
      </c>
      <c r="L182">
        <v>608254</v>
      </c>
      <c r="N182">
        <v>1013</v>
      </c>
      <c r="O182" t="s">
        <v>389</v>
      </c>
      <c r="P182" t="s">
        <v>389</v>
      </c>
      <c r="Q182">
        <v>1</v>
      </c>
      <c r="W182">
        <v>0</v>
      </c>
      <c r="X182">
        <v>-185737400</v>
      </c>
      <c r="Y182">
        <v>103.6035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1</v>
      </c>
      <c r="AJ182">
        <v>1</v>
      </c>
      <c r="AK182">
        <v>34.75</v>
      </c>
      <c r="AL182">
        <v>1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3</v>
      </c>
      <c r="AT182">
        <v>90.09</v>
      </c>
      <c r="AU182" t="s">
        <v>31</v>
      </c>
      <c r="AV182">
        <v>2</v>
      </c>
      <c r="AW182">
        <v>2</v>
      </c>
      <c r="AX182">
        <v>46468368</v>
      </c>
      <c r="AY182">
        <v>1</v>
      </c>
      <c r="AZ182">
        <v>0</v>
      </c>
      <c r="BA182">
        <v>170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Y182*Source!I254</f>
        <v>43.306262999999994</v>
      </c>
      <c r="CY182">
        <f>AD182</f>
        <v>0</v>
      </c>
      <c r="CZ182">
        <f>AH182</f>
        <v>0</v>
      </c>
      <c r="DA182">
        <f>AL182</f>
        <v>1</v>
      </c>
      <c r="DB182">
        <f t="shared" si="38"/>
        <v>0</v>
      </c>
      <c r="DC182">
        <f t="shared" si="39"/>
        <v>0</v>
      </c>
    </row>
    <row r="183" spans="1:107" x14ac:dyDescent="0.2">
      <c r="A183">
        <f>ROW(Source!A254)</f>
        <v>254</v>
      </c>
      <c r="B183">
        <v>46416371</v>
      </c>
      <c r="C183">
        <v>46468361</v>
      </c>
      <c r="D183">
        <v>42567808</v>
      </c>
      <c r="E183">
        <v>1</v>
      </c>
      <c r="F183">
        <v>1</v>
      </c>
      <c r="G183">
        <v>1</v>
      </c>
      <c r="H183">
        <v>2</v>
      </c>
      <c r="I183" t="s">
        <v>415</v>
      </c>
      <c r="J183" t="s">
        <v>416</v>
      </c>
      <c r="K183" t="s">
        <v>417</v>
      </c>
      <c r="L183">
        <v>1368</v>
      </c>
      <c r="N183">
        <v>1011</v>
      </c>
      <c r="O183" t="s">
        <v>393</v>
      </c>
      <c r="P183" t="s">
        <v>393</v>
      </c>
      <c r="Q183">
        <v>1</v>
      </c>
      <c r="W183">
        <v>0</v>
      </c>
      <c r="X183">
        <v>-473875192</v>
      </c>
      <c r="Y183">
        <v>83.995999999999995</v>
      </c>
      <c r="AA183">
        <v>0</v>
      </c>
      <c r="AB183">
        <v>704.74</v>
      </c>
      <c r="AC183">
        <v>376.69</v>
      </c>
      <c r="AD183">
        <v>0</v>
      </c>
      <c r="AE183">
        <v>0</v>
      </c>
      <c r="AF183">
        <v>52.75</v>
      </c>
      <c r="AG183">
        <v>10.84</v>
      </c>
      <c r="AH183">
        <v>0</v>
      </c>
      <c r="AI183">
        <v>1</v>
      </c>
      <c r="AJ183">
        <v>13.36</v>
      </c>
      <c r="AK183">
        <v>34.75</v>
      </c>
      <c r="AL183">
        <v>1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3</v>
      </c>
      <c r="AT183">
        <v>73.040000000000006</v>
      </c>
      <c r="AU183" t="s">
        <v>31</v>
      </c>
      <c r="AV183">
        <v>0</v>
      </c>
      <c r="AW183">
        <v>2</v>
      </c>
      <c r="AX183">
        <v>46468369</v>
      </c>
      <c r="AY183">
        <v>1</v>
      </c>
      <c r="AZ183">
        <v>0</v>
      </c>
      <c r="BA183">
        <v>171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Y183*Source!I254</f>
        <v>35.110327999999996</v>
      </c>
      <c r="CY183">
        <f>AB183</f>
        <v>704.74</v>
      </c>
      <c r="CZ183">
        <f>AF183</f>
        <v>52.75</v>
      </c>
      <c r="DA183">
        <f>AJ183</f>
        <v>13.36</v>
      </c>
      <c r="DB183">
        <f t="shared" si="38"/>
        <v>4430.7889999999998</v>
      </c>
      <c r="DC183">
        <f t="shared" si="39"/>
        <v>910.51250000000005</v>
      </c>
    </row>
    <row r="184" spans="1:107" x14ac:dyDescent="0.2">
      <c r="A184">
        <f>ROW(Source!A254)</f>
        <v>254</v>
      </c>
      <c r="B184">
        <v>46416371</v>
      </c>
      <c r="C184">
        <v>46468361</v>
      </c>
      <c r="D184">
        <v>42567923</v>
      </c>
      <c r="E184">
        <v>1</v>
      </c>
      <c r="F184">
        <v>1</v>
      </c>
      <c r="G184">
        <v>1</v>
      </c>
      <c r="H184">
        <v>2</v>
      </c>
      <c r="I184" t="s">
        <v>421</v>
      </c>
      <c r="J184" t="s">
        <v>422</v>
      </c>
      <c r="K184" t="s">
        <v>423</v>
      </c>
      <c r="L184">
        <v>1368</v>
      </c>
      <c r="N184">
        <v>1011</v>
      </c>
      <c r="O184" t="s">
        <v>393</v>
      </c>
      <c r="P184" t="s">
        <v>393</v>
      </c>
      <c r="Q184">
        <v>1</v>
      </c>
      <c r="W184">
        <v>0</v>
      </c>
      <c r="X184">
        <v>-434802813</v>
      </c>
      <c r="Y184">
        <v>19.607499999999998</v>
      </c>
      <c r="AA184">
        <v>0</v>
      </c>
      <c r="AB184">
        <v>838.21</v>
      </c>
      <c r="AC184">
        <v>376.69</v>
      </c>
      <c r="AD184">
        <v>0</v>
      </c>
      <c r="AE184">
        <v>0</v>
      </c>
      <c r="AF184">
        <v>62.74</v>
      </c>
      <c r="AG184">
        <v>10.84</v>
      </c>
      <c r="AH184">
        <v>0</v>
      </c>
      <c r="AI184">
        <v>1</v>
      </c>
      <c r="AJ184">
        <v>13.36</v>
      </c>
      <c r="AK184">
        <v>34.75</v>
      </c>
      <c r="AL184">
        <v>1</v>
      </c>
      <c r="AN184">
        <v>0</v>
      </c>
      <c r="AO184">
        <v>1</v>
      </c>
      <c r="AP184">
        <v>1</v>
      </c>
      <c r="AQ184">
        <v>0</v>
      </c>
      <c r="AR184">
        <v>0</v>
      </c>
      <c r="AS184" t="s">
        <v>3</v>
      </c>
      <c r="AT184">
        <v>17.05</v>
      </c>
      <c r="AU184" t="s">
        <v>31</v>
      </c>
      <c r="AV184">
        <v>0</v>
      </c>
      <c r="AW184">
        <v>2</v>
      </c>
      <c r="AX184">
        <v>46468370</v>
      </c>
      <c r="AY184">
        <v>1</v>
      </c>
      <c r="AZ184">
        <v>0</v>
      </c>
      <c r="BA184">
        <v>172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Y184*Source!I254</f>
        <v>8.1959349999999986</v>
      </c>
      <c r="CY184">
        <f>AB184</f>
        <v>838.21</v>
      </c>
      <c r="CZ184">
        <f>AF184</f>
        <v>62.74</v>
      </c>
      <c r="DA184">
        <f>AJ184</f>
        <v>13.36</v>
      </c>
      <c r="DB184">
        <f t="shared" si="38"/>
        <v>1230.1780000000001</v>
      </c>
      <c r="DC184">
        <f t="shared" si="39"/>
        <v>212.54300000000001</v>
      </c>
    </row>
    <row r="185" spans="1:107" x14ac:dyDescent="0.2">
      <c r="A185">
        <f>ROW(Source!A254)</f>
        <v>254</v>
      </c>
      <c r="B185">
        <v>46416371</v>
      </c>
      <c r="C185">
        <v>46468361</v>
      </c>
      <c r="D185">
        <v>42581247</v>
      </c>
      <c r="E185">
        <v>1</v>
      </c>
      <c r="F185">
        <v>1</v>
      </c>
      <c r="G185">
        <v>1</v>
      </c>
      <c r="H185">
        <v>3</v>
      </c>
      <c r="I185" t="s">
        <v>424</v>
      </c>
      <c r="J185" t="s">
        <v>425</v>
      </c>
      <c r="K185" t="s">
        <v>426</v>
      </c>
      <c r="L185">
        <v>1339</v>
      </c>
      <c r="N185">
        <v>1007</v>
      </c>
      <c r="O185" t="s">
        <v>139</v>
      </c>
      <c r="P185" t="s">
        <v>139</v>
      </c>
      <c r="Q185">
        <v>1</v>
      </c>
      <c r="W185">
        <v>0</v>
      </c>
      <c r="X185">
        <v>1438529792</v>
      </c>
      <c r="Y185">
        <v>0.04</v>
      </c>
      <c r="AA185">
        <v>965.54</v>
      </c>
      <c r="AB185">
        <v>0</v>
      </c>
      <c r="AC185">
        <v>0</v>
      </c>
      <c r="AD185">
        <v>0</v>
      </c>
      <c r="AE185">
        <v>116.47</v>
      </c>
      <c r="AF185">
        <v>0</v>
      </c>
      <c r="AG185">
        <v>0</v>
      </c>
      <c r="AH185">
        <v>0</v>
      </c>
      <c r="AI185">
        <v>8.2899999999999991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3</v>
      </c>
      <c r="AT185">
        <v>0.04</v>
      </c>
      <c r="AU185" t="s">
        <v>3</v>
      </c>
      <c r="AV185">
        <v>0</v>
      </c>
      <c r="AW185">
        <v>2</v>
      </c>
      <c r="AX185">
        <v>46468371</v>
      </c>
      <c r="AY185">
        <v>1</v>
      </c>
      <c r="AZ185">
        <v>0</v>
      </c>
      <c r="BA185">
        <v>173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Y185*Source!I254</f>
        <v>1.6719999999999999E-2</v>
      </c>
      <c r="CY185">
        <f>AA185</f>
        <v>965.54</v>
      </c>
      <c r="CZ185">
        <f>AE185</f>
        <v>116.47</v>
      </c>
      <c r="DA185">
        <f>AI185</f>
        <v>8.2899999999999991</v>
      </c>
      <c r="DB185">
        <f>ROUND(ROUND(AT185*CZ185,2),6)</f>
        <v>4.66</v>
      </c>
      <c r="DC185">
        <f>ROUND(ROUND(AT185*AG185,2),6)</f>
        <v>0</v>
      </c>
    </row>
    <row r="186" spans="1:107" x14ac:dyDescent="0.2">
      <c r="A186">
        <f>ROW(Source!A255)</f>
        <v>255</v>
      </c>
      <c r="B186">
        <v>46416371</v>
      </c>
      <c r="C186">
        <v>46468373</v>
      </c>
      <c r="D186">
        <v>42640621</v>
      </c>
      <c r="E186">
        <v>1</v>
      </c>
      <c r="F186">
        <v>1</v>
      </c>
      <c r="G186">
        <v>1</v>
      </c>
      <c r="H186">
        <v>1</v>
      </c>
      <c r="I186" t="s">
        <v>406</v>
      </c>
      <c r="J186" t="s">
        <v>3</v>
      </c>
      <c r="K186" t="s">
        <v>407</v>
      </c>
      <c r="L186">
        <v>1369</v>
      </c>
      <c r="N186">
        <v>1013</v>
      </c>
      <c r="O186" t="s">
        <v>387</v>
      </c>
      <c r="P186" t="s">
        <v>387</v>
      </c>
      <c r="Q186">
        <v>1</v>
      </c>
      <c r="W186">
        <v>0</v>
      </c>
      <c r="X186">
        <v>1946641599</v>
      </c>
      <c r="Y186">
        <v>177.1</v>
      </c>
      <c r="AA186">
        <v>0</v>
      </c>
      <c r="AB186">
        <v>0</v>
      </c>
      <c r="AC186">
        <v>0</v>
      </c>
      <c r="AD186">
        <v>253.33</v>
      </c>
      <c r="AE186">
        <v>0</v>
      </c>
      <c r="AF186">
        <v>0</v>
      </c>
      <c r="AG186">
        <v>0</v>
      </c>
      <c r="AH186">
        <v>7.29</v>
      </c>
      <c r="AI186">
        <v>1</v>
      </c>
      <c r="AJ186">
        <v>1</v>
      </c>
      <c r="AK186">
        <v>1</v>
      </c>
      <c r="AL186">
        <v>34.75</v>
      </c>
      <c r="AN186">
        <v>0</v>
      </c>
      <c r="AO186">
        <v>1</v>
      </c>
      <c r="AP186">
        <v>1</v>
      </c>
      <c r="AQ186">
        <v>0</v>
      </c>
      <c r="AR186">
        <v>0</v>
      </c>
      <c r="AS186" t="s">
        <v>3</v>
      </c>
      <c r="AT186">
        <v>154</v>
      </c>
      <c r="AU186" t="s">
        <v>31</v>
      </c>
      <c r="AV186">
        <v>1</v>
      </c>
      <c r="AW186">
        <v>2</v>
      </c>
      <c r="AX186">
        <v>46468375</v>
      </c>
      <c r="AY186">
        <v>1</v>
      </c>
      <c r="AZ186">
        <v>0</v>
      </c>
      <c r="BA186">
        <v>174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Y186*Source!I255</f>
        <v>24.794</v>
      </c>
      <c r="CY186">
        <f>AD186</f>
        <v>253.33</v>
      </c>
      <c r="CZ186">
        <f>AH186</f>
        <v>7.29</v>
      </c>
      <c r="DA186">
        <f>AL186</f>
        <v>34.75</v>
      </c>
      <c r="DB186">
        <f t="shared" ref="DB186:DB195" si="40">ROUND((ROUND(AT186*CZ186,2)*1.15),6)</f>
        <v>1291.059</v>
      </c>
      <c r="DC186">
        <f t="shared" ref="DC186:DC195" si="41">ROUND((ROUND(AT186*AG186,2)*1.15),6)</f>
        <v>0</v>
      </c>
    </row>
    <row r="187" spans="1:107" x14ac:dyDescent="0.2">
      <c r="A187">
        <f>ROW(Source!A292)</f>
        <v>292</v>
      </c>
      <c r="B187">
        <v>46416371</v>
      </c>
      <c r="C187">
        <v>46468461</v>
      </c>
      <c r="D187">
        <v>42640871</v>
      </c>
      <c r="E187">
        <v>1</v>
      </c>
      <c r="F187">
        <v>1</v>
      </c>
      <c r="G187">
        <v>1</v>
      </c>
      <c r="H187">
        <v>1</v>
      </c>
      <c r="I187" t="s">
        <v>385</v>
      </c>
      <c r="J187" t="s">
        <v>3</v>
      </c>
      <c r="K187" t="s">
        <v>386</v>
      </c>
      <c r="L187">
        <v>1369</v>
      </c>
      <c r="N187">
        <v>1013</v>
      </c>
      <c r="O187" t="s">
        <v>387</v>
      </c>
      <c r="P187" t="s">
        <v>387</v>
      </c>
      <c r="Q187">
        <v>1</v>
      </c>
      <c r="W187">
        <v>0</v>
      </c>
      <c r="X187">
        <v>110868128</v>
      </c>
      <c r="Y187">
        <v>14.409499999999998</v>
      </c>
      <c r="AA187">
        <v>0</v>
      </c>
      <c r="AB187">
        <v>0</v>
      </c>
      <c r="AC187">
        <v>0</v>
      </c>
      <c r="AD187">
        <v>276.95999999999998</v>
      </c>
      <c r="AE187">
        <v>0</v>
      </c>
      <c r="AF187">
        <v>0</v>
      </c>
      <c r="AG187">
        <v>0</v>
      </c>
      <c r="AH187">
        <v>7.97</v>
      </c>
      <c r="AI187">
        <v>1</v>
      </c>
      <c r="AJ187">
        <v>1</v>
      </c>
      <c r="AK187">
        <v>1</v>
      </c>
      <c r="AL187">
        <v>34.75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3</v>
      </c>
      <c r="AT187">
        <v>12.53</v>
      </c>
      <c r="AU187" t="s">
        <v>31</v>
      </c>
      <c r="AV187">
        <v>1</v>
      </c>
      <c r="AW187">
        <v>2</v>
      </c>
      <c r="AX187">
        <v>46468466</v>
      </c>
      <c r="AY187">
        <v>1</v>
      </c>
      <c r="AZ187">
        <v>0</v>
      </c>
      <c r="BA187">
        <v>175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Y187*Source!I292</f>
        <v>0.72047499999999998</v>
      </c>
      <c r="CY187">
        <f>AD187</f>
        <v>276.95999999999998</v>
      </c>
      <c r="CZ187">
        <f>AH187</f>
        <v>7.97</v>
      </c>
      <c r="DA187">
        <f>AL187</f>
        <v>34.75</v>
      </c>
      <c r="DB187">
        <f t="shared" si="40"/>
        <v>114.839</v>
      </c>
      <c r="DC187">
        <f t="shared" si="41"/>
        <v>0</v>
      </c>
    </row>
    <row r="188" spans="1:107" x14ac:dyDescent="0.2">
      <c r="A188">
        <f>ROW(Source!A292)</f>
        <v>292</v>
      </c>
      <c r="B188">
        <v>46416371</v>
      </c>
      <c r="C188">
        <v>46468461</v>
      </c>
      <c r="D188">
        <v>121548</v>
      </c>
      <c r="E188">
        <v>1</v>
      </c>
      <c r="F188">
        <v>1</v>
      </c>
      <c r="G188">
        <v>1</v>
      </c>
      <c r="H188">
        <v>1</v>
      </c>
      <c r="I188" t="s">
        <v>26</v>
      </c>
      <c r="J188" t="s">
        <v>3</v>
      </c>
      <c r="K188" t="s">
        <v>388</v>
      </c>
      <c r="L188">
        <v>608254</v>
      </c>
      <c r="N188">
        <v>1013</v>
      </c>
      <c r="O188" t="s">
        <v>389</v>
      </c>
      <c r="P188" t="s">
        <v>389</v>
      </c>
      <c r="Q188">
        <v>1</v>
      </c>
      <c r="W188">
        <v>0</v>
      </c>
      <c r="X188">
        <v>-185737400</v>
      </c>
      <c r="Y188">
        <v>3.4959999999999996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1</v>
      </c>
      <c r="AJ188">
        <v>1</v>
      </c>
      <c r="AK188">
        <v>34.75</v>
      </c>
      <c r="AL188">
        <v>1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3</v>
      </c>
      <c r="AT188">
        <v>3.04</v>
      </c>
      <c r="AU188" t="s">
        <v>31</v>
      </c>
      <c r="AV188">
        <v>2</v>
      </c>
      <c r="AW188">
        <v>2</v>
      </c>
      <c r="AX188">
        <v>46468467</v>
      </c>
      <c r="AY188">
        <v>1</v>
      </c>
      <c r="AZ188">
        <v>0</v>
      </c>
      <c r="BA188">
        <v>176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Y188*Source!I292</f>
        <v>0.17479999999999998</v>
      </c>
      <c r="CY188">
        <f>AD188</f>
        <v>0</v>
      </c>
      <c r="CZ188">
        <f>AH188</f>
        <v>0</v>
      </c>
      <c r="DA188">
        <f>AL188</f>
        <v>1</v>
      </c>
      <c r="DB188">
        <f t="shared" si="40"/>
        <v>0</v>
      </c>
      <c r="DC188">
        <f t="shared" si="41"/>
        <v>0</v>
      </c>
    </row>
    <row r="189" spans="1:107" x14ac:dyDescent="0.2">
      <c r="A189">
        <f>ROW(Source!A292)</f>
        <v>292</v>
      </c>
      <c r="B189">
        <v>46416371</v>
      </c>
      <c r="C189">
        <v>46468461</v>
      </c>
      <c r="D189">
        <v>42567659</v>
      </c>
      <c r="E189">
        <v>1</v>
      </c>
      <c r="F189">
        <v>1</v>
      </c>
      <c r="G189">
        <v>1</v>
      </c>
      <c r="H189">
        <v>2</v>
      </c>
      <c r="I189" t="s">
        <v>394</v>
      </c>
      <c r="J189" t="s">
        <v>395</v>
      </c>
      <c r="K189" t="s">
        <v>396</v>
      </c>
      <c r="L189">
        <v>1368</v>
      </c>
      <c r="N189">
        <v>1011</v>
      </c>
      <c r="O189" t="s">
        <v>393</v>
      </c>
      <c r="P189" t="s">
        <v>393</v>
      </c>
      <c r="Q189">
        <v>1</v>
      </c>
      <c r="W189">
        <v>0</v>
      </c>
      <c r="X189">
        <v>-1300877745</v>
      </c>
      <c r="Y189">
        <v>3.4959999999999996</v>
      </c>
      <c r="AA189">
        <v>0</v>
      </c>
      <c r="AB189">
        <v>1320.9</v>
      </c>
      <c r="AC189">
        <v>326.64999999999998</v>
      </c>
      <c r="AD189">
        <v>0</v>
      </c>
      <c r="AE189">
        <v>0</v>
      </c>
      <c r="AF189">
        <v>98.87</v>
      </c>
      <c r="AG189">
        <v>9.4</v>
      </c>
      <c r="AH189">
        <v>0</v>
      </c>
      <c r="AI189">
        <v>1</v>
      </c>
      <c r="AJ189">
        <v>13.36</v>
      </c>
      <c r="AK189">
        <v>34.75</v>
      </c>
      <c r="AL189">
        <v>1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3</v>
      </c>
      <c r="AT189">
        <v>3.04</v>
      </c>
      <c r="AU189" t="s">
        <v>31</v>
      </c>
      <c r="AV189">
        <v>0</v>
      </c>
      <c r="AW189">
        <v>2</v>
      </c>
      <c r="AX189">
        <v>46468468</v>
      </c>
      <c r="AY189">
        <v>1</v>
      </c>
      <c r="AZ189">
        <v>0</v>
      </c>
      <c r="BA189">
        <v>177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Y189*Source!I292</f>
        <v>0.17479999999999998</v>
      </c>
      <c r="CY189">
        <f>AB189</f>
        <v>1320.9</v>
      </c>
      <c r="CZ189">
        <f>AF189</f>
        <v>98.87</v>
      </c>
      <c r="DA189">
        <f>AJ189</f>
        <v>13.36</v>
      </c>
      <c r="DB189">
        <f t="shared" si="40"/>
        <v>345.64400000000001</v>
      </c>
      <c r="DC189">
        <f t="shared" si="41"/>
        <v>32.866999999999997</v>
      </c>
    </row>
    <row r="190" spans="1:107" x14ac:dyDescent="0.2">
      <c r="A190">
        <f>ROW(Source!A292)</f>
        <v>292</v>
      </c>
      <c r="B190">
        <v>46416371</v>
      </c>
      <c r="C190">
        <v>46468461</v>
      </c>
      <c r="D190">
        <v>42570360</v>
      </c>
      <c r="E190">
        <v>1</v>
      </c>
      <c r="F190">
        <v>1</v>
      </c>
      <c r="G190">
        <v>1</v>
      </c>
      <c r="H190">
        <v>2</v>
      </c>
      <c r="I190" t="s">
        <v>427</v>
      </c>
      <c r="J190" t="s">
        <v>428</v>
      </c>
      <c r="K190" t="s">
        <v>429</v>
      </c>
      <c r="L190">
        <v>1368</v>
      </c>
      <c r="N190">
        <v>1011</v>
      </c>
      <c r="O190" t="s">
        <v>393</v>
      </c>
      <c r="P190" t="s">
        <v>393</v>
      </c>
      <c r="Q190">
        <v>1</v>
      </c>
      <c r="W190">
        <v>0</v>
      </c>
      <c r="X190">
        <v>1534850152</v>
      </c>
      <c r="Y190">
        <v>14.006999999999998</v>
      </c>
      <c r="AA190">
        <v>0</v>
      </c>
      <c r="AB190">
        <v>7.35</v>
      </c>
      <c r="AC190">
        <v>0</v>
      </c>
      <c r="AD190">
        <v>0</v>
      </c>
      <c r="AE190">
        <v>0</v>
      </c>
      <c r="AF190">
        <v>0.55000000000000004</v>
      </c>
      <c r="AG190">
        <v>0</v>
      </c>
      <c r="AH190">
        <v>0</v>
      </c>
      <c r="AI190">
        <v>1</v>
      </c>
      <c r="AJ190">
        <v>13.36</v>
      </c>
      <c r="AK190">
        <v>34.75</v>
      </c>
      <c r="AL190">
        <v>1</v>
      </c>
      <c r="AN190">
        <v>0</v>
      </c>
      <c r="AO190">
        <v>1</v>
      </c>
      <c r="AP190">
        <v>1</v>
      </c>
      <c r="AQ190">
        <v>0</v>
      </c>
      <c r="AR190">
        <v>0</v>
      </c>
      <c r="AS190" t="s">
        <v>3</v>
      </c>
      <c r="AT190">
        <v>12.18</v>
      </c>
      <c r="AU190" t="s">
        <v>31</v>
      </c>
      <c r="AV190">
        <v>0</v>
      </c>
      <c r="AW190">
        <v>2</v>
      </c>
      <c r="AX190">
        <v>46468469</v>
      </c>
      <c r="AY190">
        <v>1</v>
      </c>
      <c r="AZ190">
        <v>0</v>
      </c>
      <c r="BA190">
        <v>178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Y190*Source!I292</f>
        <v>0.70034999999999992</v>
      </c>
      <c r="CY190">
        <f>AB190</f>
        <v>7.35</v>
      </c>
      <c r="CZ190">
        <f>AF190</f>
        <v>0.55000000000000004</v>
      </c>
      <c r="DA190">
        <f>AJ190</f>
        <v>13.36</v>
      </c>
      <c r="DB190">
        <f t="shared" si="40"/>
        <v>7.7050000000000001</v>
      </c>
      <c r="DC190">
        <f t="shared" si="41"/>
        <v>0</v>
      </c>
    </row>
    <row r="191" spans="1:107" x14ac:dyDescent="0.2">
      <c r="A191">
        <f>ROW(Source!A293)</f>
        <v>293</v>
      </c>
      <c r="B191">
        <v>46416371</v>
      </c>
      <c r="C191">
        <v>46468470</v>
      </c>
      <c r="D191">
        <v>42645178</v>
      </c>
      <c r="E191">
        <v>1</v>
      </c>
      <c r="F191">
        <v>1</v>
      </c>
      <c r="G191">
        <v>1</v>
      </c>
      <c r="H191">
        <v>1</v>
      </c>
      <c r="I191" t="s">
        <v>430</v>
      </c>
      <c r="J191" t="s">
        <v>3</v>
      </c>
      <c r="K191" t="s">
        <v>431</v>
      </c>
      <c r="L191">
        <v>1369</v>
      </c>
      <c r="N191">
        <v>1013</v>
      </c>
      <c r="O191" t="s">
        <v>387</v>
      </c>
      <c r="P191" t="s">
        <v>387</v>
      </c>
      <c r="Q191">
        <v>1</v>
      </c>
      <c r="W191">
        <v>0</v>
      </c>
      <c r="X191">
        <v>230122419</v>
      </c>
      <c r="Y191">
        <v>3.9215</v>
      </c>
      <c r="AA191">
        <v>0</v>
      </c>
      <c r="AB191">
        <v>0</v>
      </c>
      <c r="AC191">
        <v>0</v>
      </c>
      <c r="AD191">
        <v>280.43</v>
      </c>
      <c r="AE191">
        <v>0</v>
      </c>
      <c r="AF191">
        <v>0</v>
      </c>
      <c r="AG191">
        <v>0</v>
      </c>
      <c r="AH191">
        <v>8.07</v>
      </c>
      <c r="AI191">
        <v>1</v>
      </c>
      <c r="AJ191">
        <v>1</v>
      </c>
      <c r="AK191">
        <v>1</v>
      </c>
      <c r="AL191">
        <v>34.75</v>
      </c>
      <c r="AN191">
        <v>0</v>
      </c>
      <c r="AO191">
        <v>1</v>
      </c>
      <c r="AP191">
        <v>1</v>
      </c>
      <c r="AQ191">
        <v>0</v>
      </c>
      <c r="AR191">
        <v>0</v>
      </c>
      <c r="AS191" t="s">
        <v>3</v>
      </c>
      <c r="AT191">
        <v>3.41</v>
      </c>
      <c r="AU191" t="s">
        <v>31</v>
      </c>
      <c r="AV191">
        <v>1</v>
      </c>
      <c r="AW191">
        <v>2</v>
      </c>
      <c r="AX191">
        <v>46468479</v>
      </c>
      <c r="AY191">
        <v>1</v>
      </c>
      <c r="AZ191">
        <v>0</v>
      </c>
      <c r="BA191">
        <v>179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Y191*Source!I293</f>
        <v>16.078149999999997</v>
      </c>
      <c r="CY191">
        <f>AD191</f>
        <v>280.43</v>
      </c>
      <c r="CZ191">
        <f>AH191</f>
        <v>8.07</v>
      </c>
      <c r="DA191">
        <f>AL191</f>
        <v>34.75</v>
      </c>
      <c r="DB191">
        <f t="shared" si="40"/>
        <v>31.648</v>
      </c>
      <c r="DC191">
        <f t="shared" si="41"/>
        <v>0</v>
      </c>
    </row>
    <row r="192" spans="1:107" x14ac:dyDescent="0.2">
      <c r="A192">
        <f>ROW(Source!A293)</f>
        <v>293</v>
      </c>
      <c r="B192">
        <v>46416371</v>
      </c>
      <c r="C192">
        <v>46468470</v>
      </c>
      <c r="D192">
        <v>121548</v>
      </c>
      <c r="E192">
        <v>1</v>
      </c>
      <c r="F192">
        <v>1</v>
      </c>
      <c r="G192">
        <v>1</v>
      </c>
      <c r="H192">
        <v>1</v>
      </c>
      <c r="I192" t="s">
        <v>26</v>
      </c>
      <c r="J192" t="s">
        <v>3</v>
      </c>
      <c r="K192" t="s">
        <v>388</v>
      </c>
      <c r="L192">
        <v>608254</v>
      </c>
      <c r="N192">
        <v>1013</v>
      </c>
      <c r="O192" t="s">
        <v>389</v>
      </c>
      <c r="P192" t="s">
        <v>389</v>
      </c>
      <c r="Q192">
        <v>1</v>
      </c>
      <c r="W192">
        <v>0</v>
      </c>
      <c r="X192">
        <v>-185737400</v>
      </c>
      <c r="Y192">
        <v>0.34499999999999997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34.75</v>
      </c>
      <c r="AL192">
        <v>1</v>
      </c>
      <c r="AN192">
        <v>0</v>
      </c>
      <c r="AO192">
        <v>1</v>
      </c>
      <c r="AP192">
        <v>1</v>
      </c>
      <c r="AQ192">
        <v>0</v>
      </c>
      <c r="AR192">
        <v>0</v>
      </c>
      <c r="AS192" t="s">
        <v>3</v>
      </c>
      <c r="AT192">
        <v>0.3</v>
      </c>
      <c r="AU192" t="s">
        <v>31</v>
      </c>
      <c r="AV192">
        <v>2</v>
      </c>
      <c r="AW192">
        <v>2</v>
      </c>
      <c r="AX192">
        <v>46468480</v>
      </c>
      <c r="AY192">
        <v>1</v>
      </c>
      <c r="AZ192">
        <v>0</v>
      </c>
      <c r="BA192">
        <v>180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Y192*Source!I293</f>
        <v>1.4144999999999999</v>
      </c>
      <c r="CY192">
        <f>AD192</f>
        <v>0</v>
      </c>
      <c r="CZ192">
        <f>AH192</f>
        <v>0</v>
      </c>
      <c r="DA192">
        <f>AL192</f>
        <v>1</v>
      </c>
      <c r="DB192">
        <f t="shared" si="40"/>
        <v>0</v>
      </c>
      <c r="DC192">
        <f t="shared" si="41"/>
        <v>0</v>
      </c>
    </row>
    <row r="193" spans="1:107" x14ac:dyDescent="0.2">
      <c r="A193">
        <f>ROW(Source!A293)</f>
        <v>293</v>
      </c>
      <c r="B193">
        <v>46416371</v>
      </c>
      <c r="C193">
        <v>46468470</v>
      </c>
      <c r="D193">
        <v>42567318</v>
      </c>
      <c r="E193">
        <v>1</v>
      </c>
      <c r="F193">
        <v>1</v>
      </c>
      <c r="G193">
        <v>1</v>
      </c>
      <c r="H193">
        <v>2</v>
      </c>
      <c r="I193" t="s">
        <v>432</v>
      </c>
      <c r="J193" t="s">
        <v>433</v>
      </c>
      <c r="K193" t="s">
        <v>434</v>
      </c>
      <c r="L193">
        <v>1368</v>
      </c>
      <c r="N193">
        <v>1011</v>
      </c>
      <c r="O193" t="s">
        <v>393</v>
      </c>
      <c r="P193" t="s">
        <v>393</v>
      </c>
      <c r="Q193">
        <v>1</v>
      </c>
      <c r="W193">
        <v>0</v>
      </c>
      <c r="X193">
        <v>-197763218</v>
      </c>
      <c r="Y193">
        <v>9.1999999999999998E-2</v>
      </c>
      <c r="AA193">
        <v>0</v>
      </c>
      <c r="AB193">
        <v>1187.3</v>
      </c>
      <c r="AC193">
        <v>326.64999999999998</v>
      </c>
      <c r="AD193">
        <v>0</v>
      </c>
      <c r="AE193">
        <v>0</v>
      </c>
      <c r="AF193">
        <v>88.87</v>
      </c>
      <c r="AG193">
        <v>9.4</v>
      </c>
      <c r="AH193">
        <v>0</v>
      </c>
      <c r="AI193">
        <v>1</v>
      </c>
      <c r="AJ193">
        <v>13.36</v>
      </c>
      <c r="AK193">
        <v>34.75</v>
      </c>
      <c r="AL193">
        <v>1</v>
      </c>
      <c r="AN193">
        <v>0</v>
      </c>
      <c r="AO193">
        <v>1</v>
      </c>
      <c r="AP193">
        <v>1</v>
      </c>
      <c r="AQ193">
        <v>0</v>
      </c>
      <c r="AR193">
        <v>0</v>
      </c>
      <c r="AS193" t="s">
        <v>3</v>
      </c>
      <c r="AT193">
        <v>0.08</v>
      </c>
      <c r="AU193" t="s">
        <v>31</v>
      </c>
      <c r="AV193">
        <v>0</v>
      </c>
      <c r="AW193">
        <v>2</v>
      </c>
      <c r="AX193">
        <v>46468481</v>
      </c>
      <c r="AY193">
        <v>1</v>
      </c>
      <c r="AZ193">
        <v>0</v>
      </c>
      <c r="BA193">
        <v>181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Y193*Source!I293</f>
        <v>0.37719999999999998</v>
      </c>
      <c r="CY193">
        <f>AB193</f>
        <v>1187.3</v>
      </c>
      <c r="CZ193">
        <f>AF193</f>
        <v>88.87</v>
      </c>
      <c r="DA193">
        <f>AJ193</f>
        <v>13.36</v>
      </c>
      <c r="DB193">
        <f t="shared" si="40"/>
        <v>8.1765000000000008</v>
      </c>
      <c r="DC193">
        <f t="shared" si="41"/>
        <v>0.86250000000000004</v>
      </c>
    </row>
    <row r="194" spans="1:107" x14ac:dyDescent="0.2">
      <c r="A194">
        <f>ROW(Source!A293)</f>
        <v>293</v>
      </c>
      <c r="B194">
        <v>46416371</v>
      </c>
      <c r="C194">
        <v>46468470</v>
      </c>
      <c r="D194">
        <v>42567659</v>
      </c>
      <c r="E194">
        <v>1</v>
      </c>
      <c r="F194">
        <v>1</v>
      </c>
      <c r="G194">
        <v>1</v>
      </c>
      <c r="H194">
        <v>2</v>
      </c>
      <c r="I194" t="s">
        <v>394</v>
      </c>
      <c r="J194" t="s">
        <v>395</v>
      </c>
      <c r="K194" t="s">
        <v>396</v>
      </c>
      <c r="L194">
        <v>1368</v>
      </c>
      <c r="N194">
        <v>1011</v>
      </c>
      <c r="O194" t="s">
        <v>393</v>
      </c>
      <c r="P194" t="s">
        <v>393</v>
      </c>
      <c r="Q194">
        <v>1</v>
      </c>
      <c r="W194">
        <v>0</v>
      </c>
      <c r="X194">
        <v>-1300877745</v>
      </c>
      <c r="Y194">
        <v>0.253</v>
      </c>
      <c r="AA194">
        <v>0</v>
      </c>
      <c r="AB194">
        <v>1320.9</v>
      </c>
      <c r="AC194">
        <v>326.64999999999998</v>
      </c>
      <c r="AD194">
        <v>0</v>
      </c>
      <c r="AE194">
        <v>0</v>
      </c>
      <c r="AF194">
        <v>98.87</v>
      </c>
      <c r="AG194">
        <v>9.4</v>
      </c>
      <c r="AH194">
        <v>0</v>
      </c>
      <c r="AI194">
        <v>1</v>
      </c>
      <c r="AJ194">
        <v>13.36</v>
      </c>
      <c r="AK194">
        <v>34.75</v>
      </c>
      <c r="AL194">
        <v>1</v>
      </c>
      <c r="AN194">
        <v>0</v>
      </c>
      <c r="AO194">
        <v>1</v>
      </c>
      <c r="AP194">
        <v>1</v>
      </c>
      <c r="AQ194">
        <v>0</v>
      </c>
      <c r="AR194">
        <v>0</v>
      </c>
      <c r="AS194" t="s">
        <v>3</v>
      </c>
      <c r="AT194">
        <v>0.22</v>
      </c>
      <c r="AU194" t="s">
        <v>31</v>
      </c>
      <c r="AV194">
        <v>0</v>
      </c>
      <c r="AW194">
        <v>2</v>
      </c>
      <c r="AX194">
        <v>46468482</v>
      </c>
      <c r="AY194">
        <v>1</v>
      </c>
      <c r="AZ194">
        <v>0</v>
      </c>
      <c r="BA194">
        <v>182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Y194*Source!I293</f>
        <v>1.0372999999999999</v>
      </c>
      <c r="CY194">
        <f>AB194</f>
        <v>1320.9</v>
      </c>
      <c r="CZ194">
        <f>AF194</f>
        <v>98.87</v>
      </c>
      <c r="DA194">
        <f>AJ194</f>
        <v>13.36</v>
      </c>
      <c r="DB194">
        <f t="shared" si="40"/>
        <v>25.012499999999999</v>
      </c>
      <c r="DC194">
        <f t="shared" si="41"/>
        <v>2.3805000000000001</v>
      </c>
    </row>
    <row r="195" spans="1:107" x14ac:dyDescent="0.2">
      <c r="A195">
        <f>ROW(Source!A293)</f>
        <v>293</v>
      </c>
      <c r="B195">
        <v>46416371</v>
      </c>
      <c r="C195">
        <v>46468470</v>
      </c>
      <c r="D195">
        <v>42570360</v>
      </c>
      <c r="E195">
        <v>1</v>
      </c>
      <c r="F195">
        <v>1</v>
      </c>
      <c r="G195">
        <v>1</v>
      </c>
      <c r="H195">
        <v>2</v>
      </c>
      <c r="I195" t="s">
        <v>427</v>
      </c>
      <c r="J195" t="s">
        <v>428</v>
      </c>
      <c r="K195" t="s">
        <v>429</v>
      </c>
      <c r="L195">
        <v>1368</v>
      </c>
      <c r="N195">
        <v>1011</v>
      </c>
      <c r="O195" t="s">
        <v>393</v>
      </c>
      <c r="P195" t="s">
        <v>393</v>
      </c>
      <c r="Q195">
        <v>1</v>
      </c>
      <c r="W195">
        <v>0</v>
      </c>
      <c r="X195">
        <v>1534850152</v>
      </c>
      <c r="Y195">
        <v>0.50600000000000001</v>
      </c>
      <c r="AA195">
        <v>0</v>
      </c>
      <c r="AB195">
        <v>7.35</v>
      </c>
      <c r="AC195">
        <v>0</v>
      </c>
      <c r="AD195">
        <v>0</v>
      </c>
      <c r="AE195">
        <v>0</v>
      </c>
      <c r="AF195">
        <v>0.55000000000000004</v>
      </c>
      <c r="AG195">
        <v>0</v>
      </c>
      <c r="AH195">
        <v>0</v>
      </c>
      <c r="AI195">
        <v>1</v>
      </c>
      <c r="AJ195">
        <v>13.36</v>
      </c>
      <c r="AK195">
        <v>34.75</v>
      </c>
      <c r="AL195">
        <v>1</v>
      </c>
      <c r="AN195">
        <v>0</v>
      </c>
      <c r="AO195">
        <v>1</v>
      </c>
      <c r="AP195">
        <v>1</v>
      </c>
      <c r="AQ195">
        <v>0</v>
      </c>
      <c r="AR195">
        <v>0</v>
      </c>
      <c r="AS195" t="s">
        <v>3</v>
      </c>
      <c r="AT195">
        <v>0.44</v>
      </c>
      <c r="AU195" t="s">
        <v>31</v>
      </c>
      <c r="AV195">
        <v>0</v>
      </c>
      <c r="AW195">
        <v>2</v>
      </c>
      <c r="AX195">
        <v>46468483</v>
      </c>
      <c r="AY195">
        <v>1</v>
      </c>
      <c r="AZ195">
        <v>0</v>
      </c>
      <c r="BA195">
        <v>183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Y195*Source!I293</f>
        <v>2.0745999999999998</v>
      </c>
      <c r="CY195">
        <f>AB195</f>
        <v>7.35</v>
      </c>
      <c r="CZ195">
        <f>AF195</f>
        <v>0.55000000000000004</v>
      </c>
      <c r="DA195">
        <f>AJ195</f>
        <v>13.36</v>
      </c>
      <c r="DB195">
        <f t="shared" si="40"/>
        <v>0.27600000000000002</v>
      </c>
      <c r="DC195">
        <f t="shared" si="41"/>
        <v>0</v>
      </c>
    </row>
    <row r="196" spans="1:107" x14ac:dyDescent="0.2">
      <c r="A196">
        <f>ROW(Source!A293)</f>
        <v>293</v>
      </c>
      <c r="B196">
        <v>46416371</v>
      </c>
      <c r="C196">
        <v>46468470</v>
      </c>
      <c r="D196">
        <v>42581395</v>
      </c>
      <c r="E196">
        <v>1</v>
      </c>
      <c r="F196">
        <v>1</v>
      </c>
      <c r="G196">
        <v>1</v>
      </c>
      <c r="H196">
        <v>3</v>
      </c>
      <c r="I196" t="s">
        <v>137</v>
      </c>
      <c r="J196" t="s">
        <v>140</v>
      </c>
      <c r="K196" t="s">
        <v>138</v>
      </c>
      <c r="L196">
        <v>1339</v>
      </c>
      <c r="N196">
        <v>1007</v>
      </c>
      <c r="O196" t="s">
        <v>139</v>
      </c>
      <c r="P196" t="s">
        <v>139</v>
      </c>
      <c r="Q196">
        <v>1</v>
      </c>
      <c r="W196">
        <v>1</v>
      </c>
      <c r="X196">
        <v>894824937</v>
      </c>
      <c r="Y196">
        <v>-1.2</v>
      </c>
      <c r="AA196">
        <v>578.89</v>
      </c>
      <c r="AB196">
        <v>0</v>
      </c>
      <c r="AC196">
        <v>0</v>
      </c>
      <c r="AD196">
        <v>0</v>
      </c>
      <c r="AE196">
        <v>69.83</v>
      </c>
      <c r="AF196">
        <v>0</v>
      </c>
      <c r="AG196">
        <v>0</v>
      </c>
      <c r="AH196">
        <v>0</v>
      </c>
      <c r="AI196">
        <v>8.2899999999999991</v>
      </c>
      <c r="AJ196">
        <v>1</v>
      </c>
      <c r="AK196">
        <v>1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3</v>
      </c>
      <c r="AT196">
        <v>-1.2</v>
      </c>
      <c r="AU196" t="s">
        <v>3</v>
      </c>
      <c r="AV196">
        <v>0</v>
      </c>
      <c r="AW196">
        <v>2</v>
      </c>
      <c r="AX196">
        <v>46468484</v>
      </c>
      <c r="AY196">
        <v>1</v>
      </c>
      <c r="AZ196">
        <v>6144</v>
      </c>
      <c r="BA196">
        <v>184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Y196*Source!I293</f>
        <v>-4.919999999999999</v>
      </c>
      <c r="CY196">
        <f>AA196</f>
        <v>578.89</v>
      </c>
      <c r="CZ196">
        <f>AE196</f>
        <v>69.83</v>
      </c>
      <c r="DA196">
        <f>AI196</f>
        <v>8.2899999999999991</v>
      </c>
      <c r="DB196">
        <f>ROUND(ROUND(AT196*CZ196,2),6)</f>
        <v>-83.8</v>
      </c>
      <c r="DC196">
        <f>ROUND(ROUND(AT196*AG196,2),6)</f>
        <v>0</v>
      </c>
    </row>
    <row r="197" spans="1:107" x14ac:dyDescent="0.2">
      <c r="A197">
        <f>ROW(Source!A293)</f>
        <v>293</v>
      </c>
      <c r="B197">
        <v>46416371</v>
      </c>
      <c r="C197">
        <v>46468470</v>
      </c>
      <c r="D197">
        <v>42582070</v>
      </c>
      <c r="E197">
        <v>1</v>
      </c>
      <c r="F197">
        <v>1</v>
      </c>
      <c r="G197">
        <v>1</v>
      </c>
      <c r="H197">
        <v>3</v>
      </c>
      <c r="I197" t="s">
        <v>435</v>
      </c>
      <c r="J197" t="s">
        <v>436</v>
      </c>
      <c r="K197" t="s">
        <v>437</v>
      </c>
      <c r="L197">
        <v>1339</v>
      </c>
      <c r="N197">
        <v>1007</v>
      </c>
      <c r="O197" t="s">
        <v>139</v>
      </c>
      <c r="P197" t="s">
        <v>139</v>
      </c>
      <c r="Q197">
        <v>1</v>
      </c>
      <c r="W197">
        <v>0</v>
      </c>
      <c r="X197">
        <v>327932598</v>
      </c>
      <c r="Y197">
        <v>0.15</v>
      </c>
      <c r="AA197">
        <v>10.78</v>
      </c>
      <c r="AB197">
        <v>0</v>
      </c>
      <c r="AC197">
        <v>0</v>
      </c>
      <c r="AD197">
        <v>0</v>
      </c>
      <c r="AE197">
        <v>1.3</v>
      </c>
      <c r="AF197">
        <v>0</v>
      </c>
      <c r="AG197">
        <v>0</v>
      </c>
      <c r="AH197">
        <v>0</v>
      </c>
      <c r="AI197">
        <v>8.2899999999999991</v>
      </c>
      <c r="AJ197">
        <v>1</v>
      </c>
      <c r="AK197">
        <v>1</v>
      </c>
      <c r="AL197">
        <v>1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3</v>
      </c>
      <c r="AT197">
        <v>0.15</v>
      </c>
      <c r="AU197" t="s">
        <v>3</v>
      </c>
      <c r="AV197">
        <v>0</v>
      </c>
      <c r="AW197">
        <v>2</v>
      </c>
      <c r="AX197">
        <v>46468485</v>
      </c>
      <c r="AY197">
        <v>1</v>
      </c>
      <c r="AZ197">
        <v>0</v>
      </c>
      <c r="BA197">
        <v>185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Y197*Source!I293</f>
        <v>0.61499999999999988</v>
      </c>
      <c r="CY197">
        <f>AA197</f>
        <v>10.78</v>
      </c>
      <c r="CZ197">
        <f>AE197</f>
        <v>1.3</v>
      </c>
      <c r="DA197">
        <f>AI197</f>
        <v>8.2899999999999991</v>
      </c>
      <c r="DB197">
        <f>ROUND(ROUND(AT197*CZ197,2),6)</f>
        <v>0.2</v>
      </c>
      <c r="DC197">
        <f>ROUND(ROUND(AT197*AG197,2),6)</f>
        <v>0</v>
      </c>
    </row>
    <row r="198" spans="1:107" x14ac:dyDescent="0.2">
      <c r="A198">
        <f>ROW(Source!A293)</f>
        <v>293</v>
      </c>
      <c r="B198">
        <v>46416371</v>
      </c>
      <c r="C198">
        <v>46468470</v>
      </c>
      <c r="D198">
        <v>0</v>
      </c>
      <c r="E198">
        <v>1</v>
      </c>
      <c r="F198">
        <v>1</v>
      </c>
      <c r="G198">
        <v>1</v>
      </c>
      <c r="H198">
        <v>3</v>
      </c>
      <c r="I198" t="s">
        <v>145</v>
      </c>
      <c r="J198" t="s">
        <v>3</v>
      </c>
      <c r="K198" t="s">
        <v>146</v>
      </c>
      <c r="L198">
        <v>1339</v>
      </c>
      <c r="N198">
        <v>1007</v>
      </c>
      <c r="O198" t="s">
        <v>139</v>
      </c>
      <c r="P198" t="s">
        <v>139</v>
      </c>
      <c r="Q198">
        <v>1</v>
      </c>
      <c r="W198">
        <v>0</v>
      </c>
      <c r="X198">
        <v>-1718654303</v>
      </c>
      <c r="Y198">
        <v>1.2</v>
      </c>
      <c r="AA198">
        <v>833.33</v>
      </c>
      <c r="AB198">
        <v>0</v>
      </c>
      <c r="AC198">
        <v>0</v>
      </c>
      <c r="AD198">
        <v>0</v>
      </c>
      <c r="AE198">
        <v>833.33</v>
      </c>
      <c r="AF198">
        <v>0</v>
      </c>
      <c r="AG198">
        <v>0</v>
      </c>
      <c r="AH198">
        <v>0</v>
      </c>
      <c r="AI198">
        <v>1</v>
      </c>
      <c r="AJ198">
        <v>1</v>
      </c>
      <c r="AK198">
        <v>1</v>
      </c>
      <c r="AL198">
        <v>1</v>
      </c>
      <c r="AN198">
        <v>0</v>
      </c>
      <c r="AO198">
        <v>0</v>
      </c>
      <c r="AP198">
        <v>0</v>
      </c>
      <c r="AQ198">
        <v>0</v>
      </c>
      <c r="AR198">
        <v>0</v>
      </c>
      <c r="AS198" t="s">
        <v>3</v>
      </c>
      <c r="AT198">
        <v>1.2</v>
      </c>
      <c r="AU198" t="s">
        <v>3</v>
      </c>
      <c r="AV198">
        <v>0</v>
      </c>
      <c r="AW198">
        <v>1</v>
      </c>
      <c r="AX198">
        <v>-1</v>
      </c>
      <c r="AY198">
        <v>0</v>
      </c>
      <c r="AZ198">
        <v>0</v>
      </c>
      <c r="BA198" t="s">
        <v>3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Y198*Source!I293</f>
        <v>4.919999999999999</v>
      </c>
      <c r="CY198">
        <f>AA198</f>
        <v>833.33</v>
      </c>
      <c r="CZ198">
        <f>AE198</f>
        <v>833.33</v>
      </c>
      <c r="DA198">
        <f>AI198</f>
        <v>1</v>
      </c>
      <c r="DB198">
        <f>ROUND(ROUND(AT198*CZ198,2),6)</f>
        <v>1000</v>
      </c>
      <c r="DC198">
        <f>ROUND(ROUND(AT198*AG198,2),6)</f>
        <v>0</v>
      </c>
    </row>
    <row r="199" spans="1:107" x14ac:dyDescent="0.2">
      <c r="A199">
        <f>ROW(Source!A296)</f>
        <v>296</v>
      </c>
      <c r="B199">
        <v>46416371</v>
      </c>
      <c r="C199">
        <v>46468449</v>
      </c>
      <c r="D199">
        <v>42642350</v>
      </c>
      <c r="E199">
        <v>1</v>
      </c>
      <c r="F199">
        <v>1</v>
      </c>
      <c r="G199">
        <v>1</v>
      </c>
      <c r="H199">
        <v>1</v>
      </c>
      <c r="I199" t="s">
        <v>540</v>
      </c>
      <c r="J199" t="s">
        <v>3</v>
      </c>
      <c r="K199" t="s">
        <v>541</v>
      </c>
      <c r="L199">
        <v>1369</v>
      </c>
      <c r="N199">
        <v>1013</v>
      </c>
      <c r="O199" t="s">
        <v>387</v>
      </c>
      <c r="P199" t="s">
        <v>387</v>
      </c>
      <c r="Q199">
        <v>1</v>
      </c>
      <c r="W199">
        <v>0</v>
      </c>
      <c r="X199">
        <v>-170209736</v>
      </c>
      <c r="Y199">
        <v>100.61579999999998</v>
      </c>
      <c r="AA199">
        <v>0</v>
      </c>
      <c r="AB199">
        <v>0</v>
      </c>
      <c r="AC199">
        <v>0</v>
      </c>
      <c r="AD199">
        <v>274.52999999999997</v>
      </c>
      <c r="AE199">
        <v>0</v>
      </c>
      <c r="AF199">
        <v>0</v>
      </c>
      <c r="AG199">
        <v>0</v>
      </c>
      <c r="AH199">
        <v>7.9</v>
      </c>
      <c r="AI199">
        <v>1</v>
      </c>
      <c r="AJ199">
        <v>1</v>
      </c>
      <c r="AK199">
        <v>1</v>
      </c>
      <c r="AL199">
        <v>34.75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3</v>
      </c>
      <c r="AT199">
        <v>76.08</v>
      </c>
      <c r="AU199" t="s">
        <v>161</v>
      </c>
      <c r="AV199">
        <v>1</v>
      </c>
      <c r="AW199">
        <v>2</v>
      </c>
      <c r="AX199">
        <v>46468450</v>
      </c>
      <c r="AY199">
        <v>1</v>
      </c>
      <c r="AZ199">
        <v>0</v>
      </c>
      <c r="BA199">
        <v>186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Y199*Source!I296</f>
        <v>261.60107999999997</v>
      </c>
      <c r="CY199">
        <f>AD199</f>
        <v>274.52999999999997</v>
      </c>
      <c r="CZ199">
        <f>AH199</f>
        <v>7.9</v>
      </c>
      <c r="DA199">
        <f>AL199</f>
        <v>34.75</v>
      </c>
      <c r="DB199">
        <f>ROUND(((ROUND(AT199*CZ199,2)*1.15)*1.15),6)</f>
        <v>794.86217499999998</v>
      </c>
      <c r="DC199">
        <f>ROUND(((ROUND(AT199*AG199,2)*1.15)*1.15),6)</f>
        <v>0</v>
      </c>
    </row>
    <row r="200" spans="1:107" x14ac:dyDescent="0.2">
      <c r="A200">
        <f>ROW(Source!A296)</f>
        <v>296</v>
      </c>
      <c r="B200">
        <v>46416371</v>
      </c>
      <c r="C200">
        <v>46468449</v>
      </c>
      <c r="D200">
        <v>121548</v>
      </c>
      <c r="E200">
        <v>1</v>
      </c>
      <c r="F200">
        <v>1</v>
      </c>
      <c r="G200">
        <v>1</v>
      </c>
      <c r="H200">
        <v>1</v>
      </c>
      <c r="I200" t="s">
        <v>26</v>
      </c>
      <c r="J200" t="s">
        <v>3</v>
      </c>
      <c r="K200" t="s">
        <v>388</v>
      </c>
      <c r="L200">
        <v>608254</v>
      </c>
      <c r="N200">
        <v>1013</v>
      </c>
      <c r="O200" t="s">
        <v>389</v>
      </c>
      <c r="P200" t="s">
        <v>389</v>
      </c>
      <c r="Q200">
        <v>1</v>
      </c>
      <c r="W200">
        <v>0</v>
      </c>
      <c r="X200">
        <v>-185737400</v>
      </c>
      <c r="Y200">
        <v>0.97750000000000004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34.75</v>
      </c>
      <c r="AL200">
        <v>1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3</v>
      </c>
      <c r="AT200">
        <v>0.68</v>
      </c>
      <c r="AU200" t="s">
        <v>170</v>
      </c>
      <c r="AV200">
        <v>2</v>
      </c>
      <c r="AW200">
        <v>2</v>
      </c>
      <c r="AX200">
        <v>46468451</v>
      </c>
      <c r="AY200">
        <v>1</v>
      </c>
      <c r="AZ200">
        <v>0</v>
      </c>
      <c r="BA200">
        <v>187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Y200*Source!I296</f>
        <v>2.5415000000000001</v>
      </c>
      <c r="CY200">
        <f>AD200</f>
        <v>0</v>
      </c>
      <c r="CZ200">
        <f>AH200</f>
        <v>0</v>
      </c>
      <c r="DA200">
        <f>AL200</f>
        <v>1</v>
      </c>
      <c r="DB200">
        <f>ROUND(((ROUND(AT200*CZ200,2)*1.25)*1.15),6)</f>
        <v>0</v>
      </c>
      <c r="DC200">
        <f>ROUND(((ROUND(AT200*AG200,2)*1.25)*1.15),6)</f>
        <v>0</v>
      </c>
    </row>
    <row r="201" spans="1:107" x14ac:dyDescent="0.2">
      <c r="A201">
        <f>ROW(Source!A296)</f>
        <v>296</v>
      </c>
      <c r="B201">
        <v>46416371</v>
      </c>
      <c r="C201">
        <v>46468449</v>
      </c>
      <c r="D201">
        <v>42567157</v>
      </c>
      <c r="E201">
        <v>1</v>
      </c>
      <c r="F201">
        <v>1</v>
      </c>
      <c r="G201">
        <v>1</v>
      </c>
      <c r="H201">
        <v>2</v>
      </c>
      <c r="I201" t="s">
        <v>466</v>
      </c>
      <c r="J201" t="s">
        <v>467</v>
      </c>
      <c r="K201" t="s">
        <v>468</v>
      </c>
      <c r="L201">
        <v>1368</v>
      </c>
      <c r="N201">
        <v>1011</v>
      </c>
      <c r="O201" t="s">
        <v>393</v>
      </c>
      <c r="P201" t="s">
        <v>393</v>
      </c>
      <c r="Q201">
        <v>1</v>
      </c>
      <c r="W201">
        <v>0</v>
      </c>
      <c r="X201">
        <v>845452885</v>
      </c>
      <c r="Y201">
        <v>0.97750000000000004</v>
      </c>
      <c r="AA201">
        <v>0</v>
      </c>
      <c r="AB201">
        <v>1187.3</v>
      </c>
      <c r="AC201">
        <v>438.55</v>
      </c>
      <c r="AD201">
        <v>0</v>
      </c>
      <c r="AE201">
        <v>0</v>
      </c>
      <c r="AF201">
        <v>88.87</v>
      </c>
      <c r="AG201">
        <v>12.62</v>
      </c>
      <c r="AH201">
        <v>0</v>
      </c>
      <c r="AI201">
        <v>1</v>
      </c>
      <c r="AJ201">
        <v>13.36</v>
      </c>
      <c r="AK201">
        <v>34.75</v>
      </c>
      <c r="AL201">
        <v>1</v>
      </c>
      <c r="AN201">
        <v>0</v>
      </c>
      <c r="AO201">
        <v>1</v>
      </c>
      <c r="AP201">
        <v>1</v>
      </c>
      <c r="AQ201">
        <v>0</v>
      </c>
      <c r="AR201">
        <v>0</v>
      </c>
      <c r="AS201" t="s">
        <v>3</v>
      </c>
      <c r="AT201">
        <v>0.68</v>
      </c>
      <c r="AU201" t="s">
        <v>170</v>
      </c>
      <c r="AV201">
        <v>0</v>
      </c>
      <c r="AW201">
        <v>2</v>
      </c>
      <c r="AX201">
        <v>46468452</v>
      </c>
      <c r="AY201">
        <v>1</v>
      </c>
      <c r="AZ201">
        <v>0</v>
      </c>
      <c r="BA201">
        <v>188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Y201*Source!I296</f>
        <v>2.5415000000000001</v>
      </c>
      <c r="CY201">
        <f>AB201</f>
        <v>1187.3</v>
      </c>
      <c r="CZ201">
        <f>AF201</f>
        <v>88.87</v>
      </c>
      <c r="DA201">
        <f>AJ201</f>
        <v>13.36</v>
      </c>
      <c r="DB201">
        <f>ROUND(((ROUND(AT201*CZ201,2)*1.25)*1.15),6)</f>
        <v>86.868125000000006</v>
      </c>
      <c r="DC201">
        <f>ROUND(((ROUND(AT201*AG201,2)*1.25)*1.15),6)</f>
        <v>12.33375</v>
      </c>
    </row>
    <row r="202" spans="1:107" x14ac:dyDescent="0.2">
      <c r="A202">
        <f>ROW(Source!A296)</f>
        <v>296</v>
      </c>
      <c r="B202">
        <v>46416371</v>
      </c>
      <c r="C202">
        <v>46468449</v>
      </c>
      <c r="D202">
        <v>42570797</v>
      </c>
      <c r="E202">
        <v>1</v>
      </c>
      <c r="F202">
        <v>1</v>
      </c>
      <c r="G202">
        <v>1</v>
      </c>
      <c r="H202">
        <v>2</v>
      </c>
      <c r="I202" t="s">
        <v>442</v>
      </c>
      <c r="J202" t="s">
        <v>443</v>
      </c>
      <c r="K202" t="s">
        <v>444</v>
      </c>
      <c r="L202">
        <v>1368</v>
      </c>
      <c r="N202">
        <v>1011</v>
      </c>
      <c r="O202" t="s">
        <v>393</v>
      </c>
      <c r="P202" t="s">
        <v>393</v>
      </c>
      <c r="Q202">
        <v>1</v>
      </c>
      <c r="W202">
        <v>0</v>
      </c>
      <c r="X202">
        <v>1334273015</v>
      </c>
      <c r="Y202">
        <v>5.7499999999999996E-2</v>
      </c>
      <c r="AA202">
        <v>0</v>
      </c>
      <c r="AB202">
        <v>803.47</v>
      </c>
      <c r="AC202">
        <v>376.69</v>
      </c>
      <c r="AD202">
        <v>0</v>
      </c>
      <c r="AE202">
        <v>0</v>
      </c>
      <c r="AF202">
        <v>60.14</v>
      </c>
      <c r="AG202">
        <v>10.84</v>
      </c>
      <c r="AH202">
        <v>0</v>
      </c>
      <c r="AI202">
        <v>1</v>
      </c>
      <c r="AJ202">
        <v>13.36</v>
      </c>
      <c r="AK202">
        <v>34.75</v>
      </c>
      <c r="AL202">
        <v>1</v>
      </c>
      <c r="AN202">
        <v>0</v>
      </c>
      <c r="AO202">
        <v>1</v>
      </c>
      <c r="AP202">
        <v>1</v>
      </c>
      <c r="AQ202">
        <v>0</v>
      </c>
      <c r="AR202">
        <v>0</v>
      </c>
      <c r="AS202" t="s">
        <v>3</v>
      </c>
      <c r="AT202">
        <v>0.04</v>
      </c>
      <c r="AU202" t="s">
        <v>170</v>
      </c>
      <c r="AV202">
        <v>0</v>
      </c>
      <c r="AW202">
        <v>2</v>
      </c>
      <c r="AX202">
        <v>46468453</v>
      </c>
      <c r="AY202">
        <v>1</v>
      </c>
      <c r="AZ202">
        <v>0</v>
      </c>
      <c r="BA202">
        <v>189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Y202*Source!I296</f>
        <v>0.14949999999999999</v>
      </c>
      <c r="CY202">
        <f>AB202</f>
        <v>803.47</v>
      </c>
      <c r="CZ202">
        <f>AF202</f>
        <v>60.14</v>
      </c>
      <c r="DA202">
        <f>AJ202</f>
        <v>13.36</v>
      </c>
      <c r="DB202">
        <f>ROUND(((ROUND(AT202*CZ202,2)*1.25)*1.15),6)</f>
        <v>3.464375</v>
      </c>
      <c r="DC202">
        <f>ROUND(((ROUND(AT202*AG202,2)*1.25)*1.15),6)</f>
        <v>0.61812500000000004</v>
      </c>
    </row>
    <row r="203" spans="1:107" x14ac:dyDescent="0.2">
      <c r="A203">
        <f>ROW(Source!A296)</f>
        <v>296</v>
      </c>
      <c r="B203">
        <v>46416371</v>
      </c>
      <c r="C203">
        <v>46468449</v>
      </c>
      <c r="D203">
        <v>42599638</v>
      </c>
      <c r="E203">
        <v>1</v>
      </c>
      <c r="F203">
        <v>1</v>
      </c>
      <c r="G203">
        <v>1</v>
      </c>
      <c r="H203">
        <v>3</v>
      </c>
      <c r="I203" t="s">
        <v>490</v>
      </c>
      <c r="J203" t="s">
        <v>491</v>
      </c>
      <c r="K203" t="s">
        <v>492</v>
      </c>
      <c r="L203">
        <v>1348</v>
      </c>
      <c r="N203">
        <v>1009</v>
      </c>
      <c r="O203" t="s">
        <v>184</v>
      </c>
      <c r="P203" t="s">
        <v>184</v>
      </c>
      <c r="Q203">
        <v>1000</v>
      </c>
      <c r="W203">
        <v>0</v>
      </c>
      <c r="X203">
        <v>511917161</v>
      </c>
      <c r="Y203">
        <v>1E-3</v>
      </c>
      <c r="AA203">
        <v>94977.54</v>
      </c>
      <c r="AB203">
        <v>0</v>
      </c>
      <c r="AC203">
        <v>0</v>
      </c>
      <c r="AD203">
        <v>0</v>
      </c>
      <c r="AE203">
        <v>11456.88</v>
      </c>
      <c r="AF203">
        <v>0</v>
      </c>
      <c r="AG203">
        <v>0</v>
      </c>
      <c r="AH203">
        <v>0</v>
      </c>
      <c r="AI203">
        <v>8.2899999999999991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3</v>
      </c>
      <c r="AT203">
        <v>1E-3</v>
      </c>
      <c r="AU203" t="s">
        <v>3</v>
      </c>
      <c r="AV203">
        <v>0</v>
      </c>
      <c r="AW203">
        <v>2</v>
      </c>
      <c r="AX203">
        <v>46468454</v>
      </c>
      <c r="AY203">
        <v>1</v>
      </c>
      <c r="AZ203">
        <v>0</v>
      </c>
      <c r="BA203">
        <v>190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Y203*Source!I296</f>
        <v>2.6000000000000003E-3</v>
      </c>
      <c r="CY203">
        <f>AA203</f>
        <v>94977.54</v>
      </c>
      <c r="CZ203">
        <f>AE203</f>
        <v>11456.88</v>
      </c>
      <c r="DA203">
        <f>AI203</f>
        <v>8.2899999999999991</v>
      </c>
      <c r="DB203">
        <f>ROUND(ROUND(AT203*CZ203,2),6)</f>
        <v>11.46</v>
      </c>
      <c r="DC203">
        <f>ROUND(ROUND(AT203*AG203,2),6)</f>
        <v>0</v>
      </c>
    </row>
    <row r="204" spans="1:107" x14ac:dyDescent="0.2">
      <c r="A204">
        <f>ROW(Source!A296)</f>
        <v>296</v>
      </c>
      <c r="B204">
        <v>46416371</v>
      </c>
      <c r="C204">
        <v>46468449</v>
      </c>
      <c r="D204">
        <v>42600653</v>
      </c>
      <c r="E204">
        <v>1</v>
      </c>
      <c r="F204">
        <v>1</v>
      </c>
      <c r="G204">
        <v>1</v>
      </c>
      <c r="H204">
        <v>3</v>
      </c>
      <c r="I204" t="s">
        <v>542</v>
      </c>
      <c r="J204" t="s">
        <v>543</v>
      </c>
      <c r="K204" t="s">
        <v>544</v>
      </c>
      <c r="L204">
        <v>1339</v>
      </c>
      <c r="N204">
        <v>1007</v>
      </c>
      <c r="O204" t="s">
        <v>139</v>
      </c>
      <c r="P204" t="s">
        <v>139</v>
      </c>
      <c r="Q204">
        <v>1</v>
      </c>
      <c r="W204">
        <v>0</v>
      </c>
      <c r="X204">
        <v>1626881901</v>
      </c>
      <c r="Y204">
        <v>0.17</v>
      </c>
      <c r="AA204">
        <v>7184.53</v>
      </c>
      <c r="AB204">
        <v>0</v>
      </c>
      <c r="AC204">
        <v>0</v>
      </c>
      <c r="AD204">
        <v>0</v>
      </c>
      <c r="AE204">
        <v>866.65</v>
      </c>
      <c r="AF204">
        <v>0</v>
      </c>
      <c r="AG204">
        <v>0</v>
      </c>
      <c r="AH204">
        <v>0</v>
      </c>
      <c r="AI204">
        <v>8.2899999999999991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3</v>
      </c>
      <c r="AT204">
        <v>0.17</v>
      </c>
      <c r="AU204" t="s">
        <v>3</v>
      </c>
      <c r="AV204">
        <v>0</v>
      </c>
      <c r="AW204">
        <v>2</v>
      </c>
      <c r="AX204">
        <v>46468455</v>
      </c>
      <c r="AY204">
        <v>1</v>
      </c>
      <c r="AZ204">
        <v>0</v>
      </c>
      <c r="BA204">
        <v>191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Y204*Source!I296</f>
        <v>0.44200000000000006</v>
      </c>
      <c r="CY204">
        <f>AA204</f>
        <v>7184.53</v>
      </c>
      <c r="CZ204">
        <f>AE204</f>
        <v>866.65</v>
      </c>
      <c r="DA204">
        <f>AI204</f>
        <v>8.2899999999999991</v>
      </c>
      <c r="DB204">
        <f>ROUND(ROUND(AT204*CZ204,2),6)</f>
        <v>147.33000000000001</v>
      </c>
      <c r="DC204">
        <f>ROUND(ROUND(AT204*AG204,2),6)</f>
        <v>0</v>
      </c>
    </row>
    <row r="205" spans="1:107" x14ac:dyDescent="0.2">
      <c r="A205">
        <f>ROW(Source!A296)</f>
        <v>296</v>
      </c>
      <c r="B205">
        <v>46416371</v>
      </c>
      <c r="C205">
        <v>46468449</v>
      </c>
      <c r="D205">
        <v>42571825</v>
      </c>
      <c r="E205">
        <v>1</v>
      </c>
      <c r="F205">
        <v>1</v>
      </c>
      <c r="G205">
        <v>1</v>
      </c>
      <c r="H205">
        <v>3</v>
      </c>
      <c r="I205" t="s">
        <v>545</v>
      </c>
      <c r="J205" t="s">
        <v>546</v>
      </c>
      <c r="K205" t="s">
        <v>547</v>
      </c>
      <c r="L205">
        <v>1339</v>
      </c>
      <c r="N205">
        <v>1007</v>
      </c>
      <c r="O205" t="s">
        <v>139</v>
      </c>
      <c r="P205" t="s">
        <v>139</v>
      </c>
      <c r="Q205">
        <v>1</v>
      </c>
      <c r="W205">
        <v>0</v>
      </c>
      <c r="X205">
        <v>1468488412</v>
      </c>
      <c r="Y205">
        <v>5.9</v>
      </c>
      <c r="AA205">
        <v>3919.76</v>
      </c>
      <c r="AB205">
        <v>0</v>
      </c>
      <c r="AC205">
        <v>0</v>
      </c>
      <c r="AD205">
        <v>0</v>
      </c>
      <c r="AE205">
        <v>472.83</v>
      </c>
      <c r="AF205">
        <v>0</v>
      </c>
      <c r="AG205">
        <v>0</v>
      </c>
      <c r="AH205">
        <v>0</v>
      </c>
      <c r="AI205">
        <v>8.2899999999999991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3</v>
      </c>
      <c r="AT205">
        <v>5.9</v>
      </c>
      <c r="AU205" t="s">
        <v>3</v>
      </c>
      <c r="AV205">
        <v>0</v>
      </c>
      <c r="AW205">
        <v>2</v>
      </c>
      <c r="AX205">
        <v>46468456</v>
      </c>
      <c r="AY205">
        <v>1</v>
      </c>
      <c r="AZ205">
        <v>0</v>
      </c>
      <c r="BA205">
        <v>192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Y205*Source!I296</f>
        <v>15.340000000000002</v>
      </c>
      <c r="CY205">
        <f>AA205</f>
        <v>3919.76</v>
      </c>
      <c r="CZ205">
        <f>AE205</f>
        <v>472.83</v>
      </c>
      <c r="DA205">
        <f>AI205</f>
        <v>8.2899999999999991</v>
      </c>
      <c r="DB205">
        <f>ROUND(ROUND(AT205*CZ205,2),6)</f>
        <v>2789.7</v>
      </c>
      <c r="DC205">
        <f>ROUND(ROUND(AT205*AG205,2),6)</f>
        <v>0</v>
      </c>
    </row>
    <row r="206" spans="1:107" x14ac:dyDescent="0.2">
      <c r="A206">
        <f>ROW(Source!A296)</f>
        <v>296</v>
      </c>
      <c r="B206">
        <v>46416371</v>
      </c>
      <c r="C206">
        <v>46468449</v>
      </c>
      <c r="D206">
        <v>42572018</v>
      </c>
      <c r="E206">
        <v>1</v>
      </c>
      <c r="F206">
        <v>1</v>
      </c>
      <c r="G206">
        <v>1</v>
      </c>
      <c r="H206">
        <v>3</v>
      </c>
      <c r="I206" t="s">
        <v>461</v>
      </c>
      <c r="J206" t="s">
        <v>462</v>
      </c>
      <c r="K206" t="s">
        <v>463</v>
      </c>
      <c r="L206">
        <v>1339</v>
      </c>
      <c r="N206">
        <v>1007</v>
      </c>
      <c r="O206" t="s">
        <v>139</v>
      </c>
      <c r="P206" t="s">
        <v>139</v>
      </c>
      <c r="Q206">
        <v>1</v>
      </c>
      <c r="W206">
        <v>0</v>
      </c>
      <c r="X206">
        <v>1982938735</v>
      </c>
      <c r="Y206">
        <v>0.06</v>
      </c>
      <c r="AA206">
        <v>3631.77</v>
      </c>
      <c r="AB206">
        <v>0</v>
      </c>
      <c r="AC206">
        <v>0</v>
      </c>
      <c r="AD206">
        <v>0</v>
      </c>
      <c r="AE206">
        <v>438.09</v>
      </c>
      <c r="AF206">
        <v>0</v>
      </c>
      <c r="AG206">
        <v>0</v>
      </c>
      <c r="AH206">
        <v>0</v>
      </c>
      <c r="AI206">
        <v>8.2899999999999991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3</v>
      </c>
      <c r="AT206">
        <v>0.06</v>
      </c>
      <c r="AU206" t="s">
        <v>3</v>
      </c>
      <c r="AV206">
        <v>0</v>
      </c>
      <c r="AW206">
        <v>2</v>
      </c>
      <c r="AX206">
        <v>46468457</v>
      </c>
      <c r="AY206">
        <v>1</v>
      </c>
      <c r="AZ206">
        <v>0</v>
      </c>
      <c r="BA206">
        <v>193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Y206*Source!I296</f>
        <v>0.156</v>
      </c>
      <c r="CY206">
        <f>AA206</f>
        <v>3631.77</v>
      </c>
      <c r="CZ206">
        <f>AE206</f>
        <v>438.09</v>
      </c>
      <c r="DA206">
        <f>AI206</f>
        <v>8.2899999999999991</v>
      </c>
      <c r="DB206">
        <f>ROUND(ROUND(AT206*CZ206,2),6)</f>
        <v>26.29</v>
      </c>
      <c r="DC206">
        <f>ROUND(ROUND(AT206*AG206,2),6)</f>
        <v>0</v>
      </c>
    </row>
    <row r="207" spans="1:107" x14ac:dyDescent="0.2">
      <c r="A207">
        <f>ROW(Source!A296)</f>
        <v>296</v>
      </c>
      <c r="B207">
        <v>46416371</v>
      </c>
      <c r="C207">
        <v>46468449</v>
      </c>
      <c r="D207">
        <v>0</v>
      </c>
      <c r="E207">
        <v>0</v>
      </c>
      <c r="F207">
        <v>1</v>
      </c>
      <c r="G207">
        <v>1</v>
      </c>
      <c r="H207">
        <v>3</v>
      </c>
      <c r="I207" t="s">
        <v>145</v>
      </c>
      <c r="J207" t="s">
        <v>253</v>
      </c>
      <c r="K207" t="s">
        <v>251</v>
      </c>
      <c r="L207">
        <v>1371</v>
      </c>
      <c r="N207">
        <v>1013</v>
      </c>
      <c r="O207" t="s">
        <v>252</v>
      </c>
      <c r="P207" t="s">
        <v>252</v>
      </c>
      <c r="Q207">
        <v>1</v>
      </c>
      <c r="W207">
        <v>0</v>
      </c>
      <c r="X207">
        <v>-274124682</v>
      </c>
      <c r="Y207">
        <v>100</v>
      </c>
      <c r="AA207">
        <v>466.64</v>
      </c>
      <c r="AB207">
        <v>0</v>
      </c>
      <c r="AC207">
        <v>0</v>
      </c>
      <c r="AD207">
        <v>0</v>
      </c>
      <c r="AE207">
        <v>56.29</v>
      </c>
      <c r="AF207">
        <v>0</v>
      </c>
      <c r="AG207">
        <v>0</v>
      </c>
      <c r="AH207">
        <v>0</v>
      </c>
      <c r="AI207">
        <v>8.2899999999999991</v>
      </c>
      <c r="AJ207">
        <v>1</v>
      </c>
      <c r="AK207">
        <v>1</v>
      </c>
      <c r="AL207">
        <v>1</v>
      </c>
      <c r="AN207">
        <v>0</v>
      </c>
      <c r="AO207">
        <v>0</v>
      </c>
      <c r="AP207">
        <v>0</v>
      </c>
      <c r="AQ207">
        <v>0</v>
      </c>
      <c r="AR207">
        <v>0</v>
      </c>
      <c r="AS207" t="s">
        <v>3</v>
      </c>
      <c r="AT207">
        <v>100</v>
      </c>
      <c r="AU207" t="s">
        <v>3</v>
      </c>
      <c r="AV207">
        <v>0</v>
      </c>
      <c r="AW207">
        <v>1</v>
      </c>
      <c r="AX207">
        <v>-1</v>
      </c>
      <c r="AY207">
        <v>0</v>
      </c>
      <c r="AZ207">
        <v>0</v>
      </c>
      <c r="BA207" t="s">
        <v>3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Y207*Source!I296</f>
        <v>260</v>
      </c>
      <c r="CY207">
        <f>AA207</f>
        <v>466.64</v>
      </c>
      <c r="CZ207">
        <f>AE207</f>
        <v>56.29</v>
      </c>
      <c r="DA207">
        <f>AI207</f>
        <v>8.2899999999999991</v>
      </c>
      <c r="DB207">
        <f>ROUND(ROUND(AT207*CZ207,2),6)</f>
        <v>5629</v>
      </c>
      <c r="DC207">
        <f>ROUND(ROUND(AT207*AG207,2),6)</f>
        <v>0</v>
      </c>
    </row>
    <row r="208" spans="1:107" x14ac:dyDescent="0.2">
      <c r="A208">
        <f>ROW(Source!A333)</f>
        <v>333</v>
      </c>
      <c r="B208">
        <v>46416371</v>
      </c>
      <c r="C208">
        <v>46468546</v>
      </c>
      <c r="D208">
        <v>42640871</v>
      </c>
      <c r="E208">
        <v>1</v>
      </c>
      <c r="F208">
        <v>1</v>
      </c>
      <c r="G208">
        <v>1</v>
      </c>
      <c r="H208">
        <v>1</v>
      </c>
      <c r="I208" t="s">
        <v>385</v>
      </c>
      <c r="J208" t="s">
        <v>3</v>
      </c>
      <c r="K208" t="s">
        <v>386</v>
      </c>
      <c r="L208">
        <v>1369</v>
      </c>
      <c r="N208">
        <v>1013</v>
      </c>
      <c r="O208" t="s">
        <v>387</v>
      </c>
      <c r="P208" t="s">
        <v>387</v>
      </c>
      <c r="Q208">
        <v>1</v>
      </c>
      <c r="W208">
        <v>0</v>
      </c>
      <c r="X208">
        <v>110868128</v>
      </c>
      <c r="Y208">
        <v>14.409499999999998</v>
      </c>
      <c r="AA208">
        <v>0</v>
      </c>
      <c r="AB208">
        <v>0</v>
      </c>
      <c r="AC208">
        <v>0</v>
      </c>
      <c r="AD208">
        <v>276.95999999999998</v>
      </c>
      <c r="AE208">
        <v>0</v>
      </c>
      <c r="AF208">
        <v>0</v>
      </c>
      <c r="AG208">
        <v>0</v>
      </c>
      <c r="AH208">
        <v>7.97</v>
      </c>
      <c r="AI208">
        <v>1</v>
      </c>
      <c r="AJ208">
        <v>1</v>
      </c>
      <c r="AK208">
        <v>1</v>
      </c>
      <c r="AL208">
        <v>34.75</v>
      </c>
      <c r="AN208">
        <v>0</v>
      </c>
      <c r="AO208">
        <v>1</v>
      </c>
      <c r="AP208">
        <v>1</v>
      </c>
      <c r="AQ208">
        <v>0</v>
      </c>
      <c r="AR208">
        <v>0</v>
      </c>
      <c r="AS208" t="s">
        <v>3</v>
      </c>
      <c r="AT208">
        <v>12.53</v>
      </c>
      <c r="AU208" t="s">
        <v>31</v>
      </c>
      <c r="AV208">
        <v>1</v>
      </c>
      <c r="AW208">
        <v>2</v>
      </c>
      <c r="AX208">
        <v>46468551</v>
      </c>
      <c r="AY208">
        <v>1</v>
      </c>
      <c r="AZ208">
        <v>0</v>
      </c>
      <c r="BA208">
        <v>195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Y208*Source!I333</f>
        <v>0.72047499999999998</v>
      </c>
      <c r="CY208">
        <f>AD208</f>
        <v>276.95999999999998</v>
      </c>
      <c r="CZ208">
        <f>AH208</f>
        <v>7.97</v>
      </c>
      <c r="DA208">
        <f>AL208</f>
        <v>34.75</v>
      </c>
      <c r="DB208">
        <f>ROUND((ROUND(AT208*CZ208,2)*1.15),6)</f>
        <v>114.839</v>
      </c>
      <c r="DC208">
        <f>ROUND((ROUND(AT208*AG208,2)*1.15),6)</f>
        <v>0</v>
      </c>
    </row>
    <row r="209" spans="1:107" x14ac:dyDescent="0.2">
      <c r="A209">
        <f>ROW(Source!A333)</f>
        <v>333</v>
      </c>
      <c r="B209">
        <v>46416371</v>
      </c>
      <c r="C209">
        <v>46468546</v>
      </c>
      <c r="D209">
        <v>121548</v>
      </c>
      <c r="E209">
        <v>1</v>
      </c>
      <c r="F209">
        <v>1</v>
      </c>
      <c r="G209">
        <v>1</v>
      </c>
      <c r="H209">
        <v>1</v>
      </c>
      <c r="I209" t="s">
        <v>26</v>
      </c>
      <c r="J209" t="s">
        <v>3</v>
      </c>
      <c r="K209" t="s">
        <v>388</v>
      </c>
      <c r="L209">
        <v>608254</v>
      </c>
      <c r="N209">
        <v>1013</v>
      </c>
      <c r="O209" t="s">
        <v>389</v>
      </c>
      <c r="P209" t="s">
        <v>389</v>
      </c>
      <c r="Q209">
        <v>1</v>
      </c>
      <c r="W209">
        <v>0</v>
      </c>
      <c r="X209">
        <v>-185737400</v>
      </c>
      <c r="Y209">
        <v>3.4959999999999996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1</v>
      </c>
      <c r="AJ209">
        <v>1</v>
      </c>
      <c r="AK209">
        <v>34.75</v>
      </c>
      <c r="AL209">
        <v>1</v>
      </c>
      <c r="AN209">
        <v>0</v>
      </c>
      <c r="AO209">
        <v>1</v>
      </c>
      <c r="AP209">
        <v>1</v>
      </c>
      <c r="AQ209">
        <v>0</v>
      </c>
      <c r="AR209">
        <v>0</v>
      </c>
      <c r="AS209" t="s">
        <v>3</v>
      </c>
      <c r="AT209">
        <v>3.04</v>
      </c>
      <c r="AU209" t="s">
        <v>31</v>
      </c>
      <c r="AV209">
        <v>2</v>
      </c>
      <c r="AW209">
        <v>2</v>
      </c>
      <c r="AX209">
        <v>46468552</v>
      </c>
      <c r="AY209">
        <v>1</v>
      </c>
      <c r="AZ209">
        <v>0</v>
      </c>
      <c r="BA209">
        <v>196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Y209*Source!I333</f>
        <v>0.17479999999999998</v>
      </c>
      <c r="CY209">
        <f>AD209</f>
        <v>0</v>
      </c>
      <c r="CZ209">
        <f>AH209</f>
        <v>0</v>
      </c>
      <c r="DA209">
        <f>AL209</f>
        <v>1</v>
      </c>
      <c r="DB209">
        <f>ROUND((ROUND(AT209*CZ209,2)*1.15),6)</f>
        <v>0</v>
      </c>
      <c r="DC209">
        <f>ROUND((ROUND(AT209*AG209,2)*1.15),6)</f>
        <v>0</v>
      </c>
    </row>
    <row r="210" spans="1:107" x14ac:dyDescent="0.2">
      <c r="A210">
        <f>ROW(Source!A333)</f>
        <v>333</v>
      </c>
      <c r="B210">
        <v>46416371</v>
      </c>
      <c r="C210">
        <v>46468546</v>
      </c>
      <c r="D210">
        <v>42567659</v>
      </c>
      <c r="E210">
        <v>1</v>
      </c>
      <c r="F210">
        <v>1</v>
      </c>
      <c r="G210">
        <v>1</v>
      </c>
      <c r="H210">
        <v>2</v>
      </c>
      <c r="I210" t="s">
        <v>394</v>
      </c>
      <c r="J210" t="s">
        <v>395</v>
      </c>
      <c r="K210" t="s">
        <v>396</v>
      </c>
      <c r="L210">
        <v>1368</v>
      </c>
      <c r="N210">
        <v>1011</v>
      </c>
      <c r="O210" t="s">
        <v>393</v>
      </c>
      <c r="P210" t="s">
        <v>393</v>
      </c>
      <c r="Q210">
        <v>1</v>
      </c>
      <c r="W210">
        <v>0</v>
      </c>
      <c r="X210">
        <v>-1300877745</v>
      </c>
      <c r="Y210">
        <v>3.4959999999999996</v>
      </c>
      <c r="AA210">
        <v>0</v>
      </c>
      <c r="AB210">
        <v>1320.9</v>
      </c>
      <c r="AC210">
        <v>326.64999999999998</v>
      </c>
      <c r="AD210">
        <v>0</v>
      </c>
      <c r="AE210">
        <v>0</v>
      </c>
      <c r="AF210">
        <v>98.87</v>
      </c>
      <c r="AG210">
        <v>9.4</v>
      </c>
      <c r="AH210">
        <v>0</v>
      </c>
      <c r="AI210">
        <v>1</v>
      </c>
      <c r="AJ210">
        <v>13.36</v>
      </c>
      <c r="AK210">
        <v>34.75</v>
      </c>
      <c r="AL210">
        <v>1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3</v>
      </c>
      <c r="AT210">
        <v>3.04</v>
      </c>
      <c r="AU210" t="s">
        <v>31</v>
      </c>
      <c r="AV210">
        <v>0</v>
      </c>
      <c r="AW210">
        <v>2</v>
      </c>
      <c r="AX210">
        <v>46468553</v>
      </c>
      <c r="AY210">
        <v>1</v>
      </c>
      <c r="AZ210">
        <v>0</v>
      </c>
      <c r="BA210">
        <v>197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Y210*Source!I333</f>
        <v>0.17479999999999998</v>
      </c>
      <c r="CY210">
        <f>AB210</f>
        <v>1320.9</v>
      </c>
      <c r="CZ210">
        <f>AF210</f>
        <v>98.87</v>
      </c>
      <c r="DA210">
        <f>AJ210</f>
        <v>13.36</v>
      </c>
      <c r="DB210">
        <f>ROUND((ROUND(AT210*CZ210,2)*1.15),6)</f>
        <v>345.64400000000001</v>
      </c>
      <c r="DC210">
        <f>ROUND((ROUND(AT210*AG210,2)*1.15),6)</f>
        <v>32.866999999999997</v>
      </c>
    </row>
    <row r="211" spans="1:107" x14ac:dyDescent="0.2">
      <c r="A211">
        <f>ROW(Source!A333)</f>
        <v>333</v>
      </c>
      <c r="B211">
        <v>46416371</v>
      </c>
      <c r="C211">
        <v>46468546</v>
      </c>
      <c r="D211">
        <v>42570360</v>
      </c>
      <c r="E211">
        <v>1</v>
      </c>
      <c r="F211">
        <v>1</v>
      </c>
      <c r="G211">
        <v>1</v>
      </c>
      <c r="H211">
        <v>2</v>
      </c>
      <c r="I211" t="s">
        <v>427</v>
      </c>
      <c r="J211" t="s">
        <v>428</v>
      </c>
      <c r="K211" t="s">
        <v>429</v>
      </c>
      <c r="L211">
        <v>1368</v>
      </c>
      <c r="N211">
        <v>1011</v>
      </c>
      <c r="O211" t="s">
        <v>393</v>
      </c>
      <c r="P211" t="s">
        <v>393</v>
      </c>
      <c r="Q211">
        <v>1</v>
      </c>
      <c r="W211">
        <v>0</v>
      </c>
      <c r="X211">
        <v>1534850152</v>
      </c>
      <c r="Y211">
        <v>14.006999999999998</v>
      </c>
      <c r="AA211">
        <v>0</v>
      </c>
      <c r="AB211">
        <v>7.35</v>
      </c>
      <c r="AC211">
        <v>0</v>
      </c>
      <c r="AD211">
        <v>0</v>
      </c>
      <c r="AE211">
        <v>0</v>
      </c>
      <c r="AF211">
        <v>0.55000000000000004</v>
      </c>
      <c r="AG211">
        <v>0</v>
      </c>
      <c r="AH211">
        <v>0</v>
      </c>
      <c r="AI211">
        <v>1</v>
      </c>
      <c r="AJ211">
        <v>13.36</v>
      </c>
      <c r="AK211">
        <v>34.75</v>
      </c>
      <c r="AL211">
        <v>1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3</v>
      </c>
      <c r="AT211">
        <v>12.18</v>
      </c>
      <c r="AU211" t="s">
        <v>31</v>
      </c>
      <c r="AV211">
        <v>0</v>
      </c>
      <c r="AW211">
        <v>2</v>
      </c>
      <c r="AX211">
        <v>46468554</v>
      </c>
      <c r="AY211">
        <v>1</v>
      </c>
      <c r="AZ211">
        <v>0</v>
      </c>
      <c r="BA211">
        <v>198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Y211*Source!I333</f>
        <v>0.70034999999999992</v>
      </c>
      <c r="CY211">
        <f>AB211</f>
        <v>7.35</v>
      </c>
      <c r="CZ211">
        <f>AF211</f>
        <v>0.55000000000000004</v>
      </c>
      <c r="DA211">
        <f>AJ211</f>
        <v>13.36</v>
      </c>
      <c r="DB211">
        <f>ROUND((ROUND(AT211*CZ211,2)*1.15),6)</f>
        <v>7.7050000000000001</v>
      </c>
      <c r="DC211">
        <f>ROUND((ROUND(AT211*AG211,2)*1.15),6)</f>
        <v>0</v>
      </c>
    </row>
    <row r="212" spans="1:107" x14ac:dyDescent="0.2">
      <c r="A212">
        <f>ROW(Source!A334)</f>
        <v>334</v>
      </c>
      <c r="B212">
        <v>46416371</v>
      </c>
      <c r="C212">
        <v>46468582</v>
      </c>
      <c r="D212">
        <v>42646086</v>
      </c>
      <c r="E212">
        <v>1</v>
      </c>
      <c r="F212">
        <v>1</v>
      </c>
      <c r="G212">
        <v>1</v>
      </c>
      <c r="H212">
        <v>1</v>
      </c>
      <c r="I212" t="s">
        <v>440</v>
      </c>
      <c r="J212" t="s">
        <v>3</v>
      </c>
      <c r="K212" t="s">
        <v>441</v>
      </c>
      <c r="L212">
        <v>1369</v>
      </c>
      <c r="N212">
        <v>1013</v>
      </c>
      <c r="O212" t="s">
        <v>387</v>
      </c>
      <c r="P212" t="s">
        <v>387</v>
      </c>
      <c r="Q212">
        <v>1</v>
      </c>
      <c r="W212">
        <v>0</v>
      </c>
      <c r="X212">
        <v>-1538712529</v>
      </c>
      <c r="Y212">
        <v>18.991099999999999</v>
      </c>
      <c r="AA212">
        <v>0</v>
      </c>
      <c r="AB212">
        <v>0</v>
      </c>
      <c r="AC212">
        <v>0</v>
      </c>
      <c r="AD212">
        <v>283.91000000000003</v>
      </c>
      <c r="AE212">
        <v>0</v>
      </c>
      <c r="AF212">
        <v>0</v>
      </c>
      <c r="AG212">
        <v>0</v>
      </c>
      <c r="AH212">
        <v>8.17</v>
      </c>
      <c r="AI212">
        <v>1</v>
      </c>
      <c r="AJ212">
        <v>1</v>
      </c>
      <c r="AK212">
        <v>1</v>
      </c>
      <c r="AL212">
        <v>34.75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3</v>
      </c>
      <c r="AT212">
        <v>14.36</v>
      </c>
      <c r="AU212" t="s">
        <v>161</v>
      </c>
      <c r="AV212">
        <v>1</v>
      </c>
      <c r="AW212">
        <v>2</v>
      </c>
      <c r="AX212">
        <v>46468587</v>
      </c>
      <c r="AY212">
        <v>1</v>
      </c>
      <c r="AZ212">
        <v>0</v>
      </c>
      <c r="BA212">
        <v>199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Y212*Source!I334</f>
        <v>9.4955499999999997</v>
      </c>
      <c r="CY212">
        <f>AD212</f>
        <v>283.91000000000003</v>
      </c>
      <c r="CZ212">
        <f>AH212</f>
        <v>8.17</v>
      </c>
      <c r="DA212">
        <f>AL212</f>
        <v>34.75</v>
      </c>
      <c r="DB212">
        <f>ROUND(((ROUND(AT212*CZ212,2)*1.15)*1.15),6)</f>
        <v>155.1557</v>
      </c>
      <c r="DC212">
        <f>ROUND(((ROUND(AT212*AG212,2)*1.15)*1.15),6)</f>
        <v>0</v>
      </c>
    </row>
    <row r="213" spans="1:107" x14ac:dyDescent="0.2">
      <c r="A213">
        <f>ROW(Source!A334)</f>
        <v>334</v>
      </c>
      <c r="B213">
        <v>46416371</v>
      </c>
      <c r="C213">
        <v>46468582</v>
      </c>
      <c r="D213">
        <v>42570797</v>
      </c>
      <c r="E213">
        <v>1</v>
      </c>
      <c r="F213">
        <v>1</v>
      </c>
      <c r="G213">
        <v>1</v>
      </c>
      <c r="H213">
        <v>2</v>
      </c>
      <c r="I213" t="s">
        <v>442</v>
      </c>
      <c r="J213" t="s">
        <v>443</v>
      </c>
      <c r="K213" t="s">
        <v>444</v>
      </c>
      <c r="L213">
        <v>1368</v>
      </c>
      <c r="N213">
        <v>1011</v>
      </c>
      <c r="O213" t="s">
        <v>393</v>
      </c>
      <c r="P213" t="s">
        <v>393</v>
      </c>
      <c r="Q213">
        <v>1</v>
      </c>
      <c r="W213">
        <v>0</v>
      </c>
      <c r="X213">
        <v>1334273015</v>
      </c>
      <c r="Y213">
        <v>0.359375</v>
      </c>
      <c r="AA213">
        <v>0</v>
      </c>
      <c r="AB213">
        <v>803.47</v>
      </c>
      <c r="AC213">
        <v>376.69</v>
      </c>
      <c r="AD213">
        <v>0</v>
      </c>
      <c r="AE213">
        <v>0</v>
      </c>
      <c r="AF213">
        <v>60.14</v>
      </c>
      <c r="AG213">
        <v>10.84</v>
      </c>
      <c r="AH213">
        <v>0</v>
      </c>
      <c r="AI213">
        <v>1</v>
      </c>
      <c r="AJ213">
        <v>13.36</v>
      </c>
      <c r="AK213">
        <v>34.75</v>
      </c>
      <c r="AL213">
        <v>1</v>
      </c>
      <c r="AN213">
        <v>0</v>
      </c>
      <c r="AO213">
        <v>1</v>
      </c>
      <c r="AP213">
        <v>1</v>
      </c>
      <c r="AQ213">
        <v>0</v>
      </c>
      <c r="AR213">
        <v>0</v>
      </c>
      <c r="AS213" t="s">
        <v>3</v>
      </c>
      <c r="AT213">
        <v>0.25</v>
      </c>
      <c r="AU213" t="s">
        <v>160</v>
      </c>
      <c r="AV213">
        <v>0</v>
      </c>
      <c r="AW213">
        <v>2</v>
      </c>
      <c r="AX213">
        <v>46468588</v>
      </c>
      <c r="AY213">
        <v>1</v>
      </c>
      <c r="AZ213">
        <v>0</v>
      </c>
      <c r="BA213">
        <v>200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Y213*Source!I334</f>
        <v>0.1796875</v>
      </c>
      <c r="CY213">
        <f>AB213</f>
        <v>803.47</v>
      </c>
      <c r="CZ213">
        <f>AF213</f>
        <v>60.14</v>
      </c>
      <c r="DA213">
        <f>AJ213</f>
        <v>13.36</v>
      </c>
      <c r="DB213">
        <f>ROUND(((ROUND(AT213*CZ213,2)*1.15)*1.25),6)</f>
        <v>21.62</v>
      </c>
      <c r="DC213">
        <f>ROUND(((ROUND(AT213*AG213,2)*1.15)*1.25),6)</f>
        <v>3.8956249999999999</v>
      </c>
    </row>
    <row r="214" spans="1:107" x14ac:dyDescent="0.2">
      <c r="A214">
        <f>ROW(Source!A334)</f>
        <v>334</v>
      </c>
      <c r="B214">
        <v>46416371</v>
      </c>
      <c r="C214">
        <v>46468582</v>
      </c>
      <c r="D214">
        <v>42596183</v>
      </c>
      <c r="E214">
        <v>1</v>
      </c>
      <c r="F214">
        <v>1</v>
      </c>
      <c r="G214">
        <v>1</v>
      </c>
      <c r="H214">
        <v>3</v>
      </c>
      <c r="I214" t="s">
        <v>445</v>
      </c>
      <c r="J214" t="s">
        <v>446</v>
      </c>
      <c r="K214" t="s">
        <v>447</v>
      </c>
      <c r="L214">
        <v>1346</v>
      </c>
      <c r="N214">
        <v>1009</v>
      </c>
      <c r="O214" t="s">
        <v>448</v>
      </c>
      <c r="P214" t="s">
        <v>448</v>
      </c>
      <c r="Q214">
        <v>1</v>
      </c>
      <c r="W214">
        <v>0</v>
      </c>
      <c r="X214">
        <v>-1508651562</v>
      </c>
      <c r="Y214">
        <v>7.423</v>
      </c>
      <c r="AA214">
        <v>1069.08</v>
      </c>
      <c r="AB214">
        <v>0</v>
      </c>
      <c r="AC214">
        <v>0</v>
      </c>
      <c r="AD214">
        <v>0</v>
      </c>
      <c r="AE214">
        <v>128.96</v>
      </c>
      <c r="AF214">
        <v>0</v>
      </c>
      <c r="AG214">
        <v>0</v>
      </c>
      <c r="AH214">
        <v>0</v>
      </c>
      <c r="AI214">
        <v>8.2899999999999991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3</v>
      </c>
      <c r="AT214">
        <v>7.423</v>
      </c>
      <c r="AU214" t="s">
        <v>3</v>
      </c>
      <c r="AV214">
        <v>0</v>
      </c>
      <c r="AW214">
        <v>2</v>
      </c>
      <c r="AX214">
        <v>46468589</v>
      </c>
      <c r="AY214">
        <v>1</v>
      </c>
      <c r="AZ214">
        <v>0</v>
      </c>
      <c r="BA214">
        <v>201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Y214*Source!I334</f>
        <v>3.7115</v>
      </c>
      <c r="CY214">
        <f>AA214</f>
        <v>1069.08</v>
      </c>
      <c r="CZ214">
        <f>AE214</f>
        <v>128.96</v>
      </c>
      <c r="DA214">
        <f>AI214</f>
        <v>8.2899999999999991</v>
      </c>
      <c r="DB214">
        <f>ROUND(ROUND(AT214*CZ214,2),6)</f>
        <v>957.27</v>
      </c>
      <c r="DC214">
        <f>ROUND(ROUND(AT214*AG214,2),6)</f>
        <v>0</v>
      </c>
    </row>
    <row r="215" spans="1:107" x14ac:dyDescent="0.2">
      <c r="A215">
        <f>ROW(Source!A334)</f>
        <v>334</v>
      </c>
      <c r="B215">
        <v>46416371</v>
      </c>
      <c r="C215">
        <v>46468582</v>
      </c>
      <c r="D215">
        <v>42607941</v>
      </c>
      <c r="E215">
        <v>1</v>
      </c>
      <c r="F215">
        <v>1</v>
      </c>
      <c r="G215">
        <v>1</v>
      </c>
      <c r="H215">
        <v>3</v>
      </c>
      <c r="I215" t="s">
        <v>449</v>
      </c>
      <c r="J215" t="s">
        <v>450</v>
      </c>
      <c r="K215" t="s">
        <v>451</v>
      </c>
      <c r="L215">
        <v>1327</v>
      </c>
      <c r="N215">
        <v>1005</v>
      </c>
      <c r="O215" t="s">
        <v>452</v>
      </c>
      <c r="P215" t="s">
        <v>452</v>
      </c>
      <c r="Q215">
        <v>1</v>
      </c>
      <c r="W215">
        <v>0</v>
      </c>
      <c r="X215">
        <v>-745786960</v>
      </c>
      <c r="Y215">
        <v>115</v>
      </c>
      <c r="AA215">
        <v>46.09</v>
      </c>
      <c r="AB215">
        <v>0</v>
      </c>
      <c r="AC215">
        <v>0</v>
      </c>
      <c r="AD215">
        <v>0</v>
      </c>
      <c r="AE215">
        <v>5.56</v>
      </c>
      <c r="AF215">
        <v>0</v>
      </c>
      <c r="AG215">
        <v>0</v>
      </c>
      <c r="AH215">
        <v>0</v>
      </c>
      <c r="AI215">
        <v>8.2899999999999991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3</v>
      </c>
      <c r="AT215">
        <v>115</v>
      </c>
      <c r="AU215" t="s">
        <v>3</v>
      </c>
      <c r="AV215">
        <v>0</v>
      </c>
      <c r="AW215">
        <v>2</v>
      </c>
      <c r="AX215">
        <v>46468590</v>
      </c>
      <c r="AY215">
        <v>1</v>
      </c>
      <c r="AZ215">
        <v>0</v>
      </c>
      <c r="BA215">
        <v>202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Y215*Source!I334</f>
        <v>57.5</v>
      </c>
      <c r="CY215">
        <f>AA215</f>
        <v>46.09</v>
      </c>
      <c r="CZ215">
        <f>AE215</f>
        <v>5.56</v>
      </c>
      <c r="DA215">
        <f>AI215</f>
        <v>8.2899999999999991</v>
      </c>
      <c r="DB215">
        <f>ROUND(ROUND(AT215*CZ215,2),6)</f>
        <v>639.4</v>
      </c>
      <c r="DC215">
        <f>ROUND(ROUND(AT215*AG215,2),6)</f>
        <v>0</v>
      </c>
    </row>
    <row r="216" spans="1:107" x14ac:dyDescent="0.2">
      <c r="A216">
        <f>ROW(Source!A335)</f>
        <v>335</v>
      </c>
      <c r="B216">
        <v>46416371</v>
      </c>
      <c r="C216">
        <v>46468592</v>
      </c>
      <c r="D216">
        <v>37069580</v>
      </c>
      <c r="E216">
        <v>1</v>
      </c>
      <c r="F216">
        <v>1</v>
      </c>
      <c r="G216">
        <v>1</v>
      </c>
      <c r="H216">
        <v>1</v>
      </c>
      <c r="I216" t="s">
        <v>548</v>
      </c>
      <c r="J216" t="s">
        <v>3</v>
      </c>
      <c r="K216" t="s">
        <v>549</v>
      </c>
      <c r="L216">
        <v>1191</v>
      </c>
      <c r="N216">
        <v>1013</v>
      </c>
      <c r="O216" t="s">
        <v>550</v>
      </c>
      <c r="P216" t="s">
        <v>550</v>
      </c>
      <c r="Q216">
        <v>1</v>
      </c>
      <c r="W216">
        <v>0</v>
      </c>
      <c r="X216">
        <v>1010519658</v>
      </c>
      <c r="Y216">
        <v>403.16412499999996</v>
      </c>
      <c r="AA216">
        <v>0</v>
      </c>
      <c r="AB216">
        <v>0</v>
      </c>
      <c r="AC216">
        <v>0</v>
      </c>
      <c r="AD216">
        <v>300.24</v>
      </c>
      <c r="AE216">
        <v>0</v>
      </c>
      <c r="AF216">
        <v>0</v>
      </c>
      <c r="AG216">
        <v>0</v>
      </c>
      <c r="AH216">
        <v>8.64</v>
      </c>
      <c r="AI216">
        <v>1</v>
      </c>
      <c r="AJ216">
        <v>1</v>
      </c>
      <c r="AK216">
        <v>1</v>
      </c>
      <c r="AL216">
        <v>34.75</v>
      </c>
      <c r="AN216">
        <v>0</v>
      </c>
      <c r="AO216">
        <v>1</v>
      </c>
      <c r="AP216">
        <v>1</v>
      </c>
      <c r="AQ216">
        <v>0</v>
      </c>
      <c r="AR216">
        <v>0</v>
      </c>
      <c r="AS216" t="s">
        <v>3</v>
      </c>
      <c r="AT216">
        <v>304.85000000000002</v>
      </c>
      <c r="AU216" t="s">
        <v>161</v>
      </c>
      <c r="AV216">
        <v>1</v>
      </c>
      <c r="AW216">
        <v>2</v>
      </c>
      <c r="AX216">
        <v>46468593</v>
      </c>
      <c r="AY216">
        <v>1</v>
      </c>
      <c r="AZ216">
        <v>0</v>
      </c>
      <c r="BA216">
        <v>203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Y216*Source!I335</f>
        <v>383.00591874999992</v>
      </c>
      <c r="CY216">
        <f>AD216</f>
        <v>300.24</v>
      </c>
      <c r="CZ216">
        <f>AH216</f>
        <v>8.64</v>
      </c>
      <c r="DA216">
        <f>AL216</f>
        <v>34.75</v>
      </c>
      <c r="DB216">
        <f>ROUND(((ROUND(AT216*CZ216,2)*1.15)*1.15),6)</f>
        <v>3483.33275</v>
      </c>
      <c r="DC216">
        <f>ROUND(((ROUND(AT216*AG216,2)*1.15)*1.15),6)</f>
        <v>0</v>
      </c>
    </row>
    <row r="217" spans="1:107" x14ac:dyDescent="0.2">
      <c r="A217">
        <f>ROW(Source!A335)</f>
        <v>335</v>
      </c>
      <c r="B217">
        <v>46416371</v>
      </c>
      <c r="C217">
        <v>46468592</v>
      </c>
      <c r="D217">
        <v>37064876</v>
      </c>
      <c r="E217">
        <v>1</v>
      </c>
      <c r="F217">
        <v>1</v>
      </c>
      <c r="G217">
        <v>1</v>
      </c>
      <c r="H217">
        <v>1</v>
      </c>
      <c r="I217" t="s">
        <v>551</v>
      </c>
      <c r="J217" t="s">
        <v>3</v>
      </c>
      <c r="K217" t="s">
        <v>388</v>
      </c>
      <c r="L217">
        <v>1191</v>
      </c>
      <c r="N217">
        <v>1013</v>
      </c>
      <c r="O217" t="s">
        <v>550</v>
      </c>
      <c r="P217" t="s">
        <v>550</v>
      </c>
      <c r="Q217">
        <v>1</v>
      </c>
      <c r="W217">
        <v>0</v>
      </c>
      <c r="X217">
        <v>-1417349443</v>
      </c>
      <c r="Y217">
        <v>60.403750000000002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34.75</v>
      </c>
      <c r="AL217">
        <v>1</v>
      </c>
      <c r="AN217">
        <v>0</v>
      </c>
      <c r="AO217">
        <v>1</v>
      </c>
      <c r="AP217">
        <v>1</v>
      </c>
      <c r="AQ217">
        <v>0</v>
      </c>
      <c r="AR217">
        <v>0</v>
      </c>
      <c r="AS217" t="s">
        <v>3</v>
      </c>
      <c r="AT217">
        <v>42.02</v>
      </c>
      <c r="AU217" t="s">
        <v>170</v>
      </c>
      <c r="AV217">
        <v>2</v>
      </c>
      <c r="AW217">
        <v>2</v>
      </c>
      <c r="AX217">
        <v>46468594</v>
      </c>
      <c r="AY217">
        <v>1</v>
      </c>
      <c r="AZ217">
        <v>0</v>
      </c>
      <c r="BA217">
        <v>204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Y217*Source!I335</f>
        <v>57.383562499999996</v>
      </c>
      <c r="CY217">
        <f>AD217</f>
        <v>0</v>
      </c>
      <c r="CZ217">
        <f>AH217</f>
        <v>0</v>
      </c>
      <c r="DA217">
        <f>AL217</f>
        <v>1</v>
      </c>
      <c r="DB217">
        <f>ROUND(((ROUND(AT217*CZ217,2)*1.25)*1.15),6)</f>
        <v>0</v>
      </c>
      <c r="DC217">
        <f>ROUND(((ROUND(AT217*AG217,2)*1.25)*1.15),6)</f>
        <v>0</v>
      </c>
    </row>
    <row r="218" spans="1:107" x14ac:dyDescent="0.2">
      <c r="A218">
        <f>ROW(Source!A335)</f>
        <v>335</v>
      </c>
      <c r="B218">
        <v>46416371</v>
      </c>
      <c r="C218">
        <v>46468592</v>
      </c>
      <c r="D218">
        <v>36882159</v>
      </c>
      <c r="E218">
        <v>1</v>
      </c>
      <c r="F218">
        <v>1</v>
      </c>
      <c r="G218">
        <v>1</v>
      </c>
      <c r="H218">
        <v>2</v>
      </c>
      <c r="I218" t="s">
        <v>552</v>
      </c>
      <c r="J218" t="s">
        <v>553</v>
      </c>
      <c r="K218" t="s">
        <v>554</v>
      </c>
      <c r="L218">
        <v>1368</v>
      </c>
      <c r="N218">
        <v>1011</v>
      </c>
      <c r="O218" t="s">
        <v>393</v>
      </c>
      <c r="P218" t="s">
        <v>393</v>
      </c>
      <c r="Q218">
        <v>1</v>
      </c>
      <c r="W218">
        <v>0</v>
      </c>
      <c r="X218">
        <v>-1718674368</v>
      </c>
      <c r="Y218">
        <v>36.354374999999997</v>
      </c>
      <c r="AA218">
        <v>0</v>
      </c>
      <c r="AB218">
        <v>1496.19</v>
      </c>
      <c r="AC218">
        <v>469.13</v>
      </c>
      <c r="AD218">
        <v>0</v>
      </c>
      <c r="AE218">
        <v>0</v>
      </c>
      <c r="AF218">
        <v>111.99</v>
      </c>
      <c r="AG218">
        <v>13.5</v>
      </c>
      <c r="AH218">
        <v>0</v>
      </c>
      <c r="AI218">
        <v>1</v>
      </c>
      <c r="AJ218">
        <v>13.36</v>
      </c>
      <c r="AK218">
        <v>34.75</v>
      </c>
      <c r="AL218">
        <v>1</v>
      </c>
      <c r="AN218">
        <v>0</v>
      </c>
      <c r="AO218">
        <v>1</v>
      </c>
      <c r="AP218">
        <v>1</v>
      </c>
      <c r="AQ218">
        <v>0</v>
      </c>
      <c r="AR218">
        <v>0</v>
      </c>
      <c r="AS218" t="s">
        <v>3</v>
      </c>
      <c r="AT218">
        <v>25.29</v>
      </c>
      <c r="AU218" t="s">
        <v>170</v>
      </c>
      <c r="AV218">
        <v>0</v>
      </c>
      <c r="AW218">
        <v>2</v>
      </c>
      <c r="AX218">
        <v>46468595</v>
      </c>
      <c r="AY218">
        <v>1</v>
      </c>
      <c r="AZ218">
        <v>0</v>
      </c>
      <c r="BA218">
        <v>205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Y218*Source!I335</f>
        <v>34.536656249999993</v>
      </c>
      <c r="CY218">
        <f>AB218</f>
        <v>1496.19</v>
      </c>
      <c r="CZ218">
        <f>AF218</f>
        <v>111.99</v>
      </c>
      <c r="DA218">
        <f>AJ218</f>
        <v>13.36</v>
      </c>
      <c r="DB218">
        <f>ROUND(((ROUND(AT218*CZ218,2)*1.25)*1.15),6)</f>
        <v>4071.3306250000001</v>
      </c>
      <c r="DC218">
        <f>ROUND(((ROUND(AT218*AG218,2)*1.25)*1.15),6)</f>
        <v>490.79124999999999</v>
      </c>
    </row>
    <row r="219" spans="1:107" x14ac:dyDescent="0.2">
      <c r="A219">
        <f>ROW(Source!A335)</f>
        <v>335</v>
      </c>
      <c r="B219">
        <v>46416371</v>
      </c>
      <c r="C219">
        <v>46468592</v>
      </c>
      <c r="D219">
        <v>36882383</v>
      </c>
      <c r="E219">
        <v>1</v>
      </c>
      <c r="F219">
        <v>1</v>
      </c>
      <c r="G219">
        <v>1</v>
      </c>
      <c r="H219">
        <v>2</v>
      </c>
      <c r="I219" t="s">
        <v>555</v>
      </c>
      <c r="J219" t="s">
        <v>556</v>
      </c>
      <c r="K219" t="s">
        <v>557</v>
      </c>
      <c r="L219">
        <v>1368</v>
      </c>
      <c r="N219">
        <v>1011</v>
      </c>
      <c r="O219" t="s">
        <v>393</v>
      </c>
      <c r="P219" t="s">
        <v>393</v>
      </c>
      <c r="Q219">
        <v>1</v>
      </c>
      <c r="W219">
        <v>0</v>
      </c>
      <c r="X219">
        <v>1225731627</v>
      </c>
      <c r="Y219">
        <v>2.4293749999999994</v>
      </c>
      <c r="AA219">
        <v>0</v>
      </c>
      <c r="AB219">
        <v>1202.27</v>
      </c>
      <c r="AC219">
        <v>349.59</v>
      </c>
      <c r="AD219">
        <v>0</v>
      </c>
      <c r="AE219">
        <v>0</v>
      </c>
      <c r="AF219">
        <v>89.99</v>
      </c>
      <c r="AG219">
        <v>10.06</v>
      </c>
      <c r="AH219">
        <v>0</v>
      </c>
      <c r="AI219">
        <v>1</v>
      </c>
      <c r="AJ219">
        <v>13.36</v>
      </c>
      <c r="AK219">
        <v>34.75</v>
      </c>
      <c r="AL219">
        <v>1</v>
      </c>
      <c r="AN219">
        <v>0</v>
      </c>
      <c r="AO219">
        <v>1</v>
      </c>
      <c r="AP219">
        <v>1</v>
      </c>
      <c r="AQ219">
        <v>0</v>
      </c>
      <c r="AR219">
        <v>0</v>
      </c>
      <c r="AS219" t="s">
        <v>3</v>
      </c>
      <c r="AT219">
        <v>1.69</v>
      </c>
      <c r="AU219" t="s">
        <v>170</v>
      </c>
      <c r="AV219">
        <v>0</v>
      </c>
      <c r="AW219">
        <v>2</v>
      </c>
      <c r="AX219">
        <v>46468596</v>
      </c>
      <c r="AY219">
        <v>1</v>
      </c>
      <c r="AZ219">
        <v>0</v>
      </c>
      <c r="BA219">
        <v>206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Y219*Source!I335</f>
        <v>2.3079062499999994</v>
      </c>
      <c r="CY219">
        <f>AB219</f>
        <v>1202.27</v>
      </c>
      <c r="CZ219">
        <f>AF219</f>
        <v>89.99</v>
      </c>
      <c r="DA219">
        <f>AJ219</f>
        <v>13.36</v>
      </c>
      <c r="DB219">
        <f>ROUND(((ROUND(AT219*CZ219,2)*1.25)*1.15),6)</f>
        <v>218.61500000000001</v>
      </c>
      <c r="DC219">
        <f>ROUND(((ROUND(AT219*AG219,2)*1.25)*1.15),6)</f>
        <v>24.4375</v>
      </c>
    </row>
    <row r="220" spans="1:107" x14ac:dyDescent="0.2">
      <c r="A220">
        <f>ROW(Source!A335)</f>
        <v>335</v>
      </c>
      <c r="B220">
        <v>46416371</v>
      </c>
      <c r="C220">
        <v>46468592</v>
      </c>
      <c r="D220">
        <v>36882787</v>
      </c>
      <c r="E220">
        <v>1</v>
      </c>
      <c r="F220">
        <v>1</v>
      </c>
      <c r="G220">
        <v>1</v>
      </c>
      <c r="H220">
        <v>2</v>
      </c>
      <c r="I220" t="s">
        <v>558</v>
      </c>
      <c r="J220" t="s">
        <v>559</v>
      </c>
      <c r="K220" t="s">
        <v>560</v>
      </c>
      <c r="L220">
        <v>1368</v>
      </c>
      <c r="N220">
        <v>1011</v>
      </c>
      <c r="O220" t="s">
        <v>393</v>
      </c>
      <c r="P220" t="s">
        <v>393</v>
      </c>
      <c r="Q220">
        <v>1</v>
      </c>
      <c r="W220">
        <v>0</v>
      </c>
      <c r="X220">
        <v>520357435</v>
      </c>
      <c r="Y220">
        <v>6.7418750000000003</v>
      </c>
      <c r="AA220">
        <v>0</v>
      </c>
      <c r="AB220">
        <v>400.8</v>
      </c>
      <c r="AC220">
        <v>0</v>
      </c>
      <c r="AD220">
        <v>0</v>
      </c>
      <c r="AE220">
        <v>0</v>
      </c>
      <c r="AF220">
        <v>30</v>
      </c>
      <c r="AG220">
        <v>0</v>
      </c>
      <c r="AH220">
        <v>0</v>
      </c>
      <c r="AI220">
        <v>1</v>
      </c>
      <c r="AJ220">
        <v>13.36</v>
      </c>
      <c r="AK220">
        <v>34.75</v>
      </c>
      <c r="AL220">
        <v>1</v>
      </c>
      <c r="AN220">
        <v>0</v>
      </c>
      <c r="AO220">
        <v>1</v>
      </c>
      <c r="AP220">
        <v>1</v>
      </c>
      <c r="AQ220">
        <v>0</v>
      </c>
      <c r="AR220">
        <v>0</v>
      </c>
      <c r="AS220" t="s">
        <v>3</v>
      </c>
      <c r="AT220">
        <v>4.6900000000000004</v>
      </c>
      <c r="AU220" t="s">
        <v>170</v>
      </c>
      <c r="AV220">
        <v>0</v>
      </c>
      <c r="AW220">
        <v>2</v>
      </c>
      <c r="AX220">
        <v>46468597</v>
      </c>
      <c r="AY220">
        <v>1</v>
      </c>
      <c r="AZ220">
        <v>0</v>
      </c>
      <c r="BA220">
        <v>207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Y220*Source!I335</f>
        <v>6.4047812500000001</v>
      </c>
      <c r="CY220">
        <f>AB220</f>
        <v>400.8</v>
      </c>
      <c r="CZ220">
        <f>AF220</f>
        <v>30</v>
      </c>
      <c r="DA220">
        <f>AJ220</f>
        <v>13.36</v>
      </c>
      <c r="DB220">
        <f>ROUND(((ROUND(AT220*CZ220,2)*1.25)*1.15),6)</f>
        <v>202.25624999999999</v>
      </c>
      <c r="DC220">
        <f>ROUND(((ROUND(AT220*AG220,2)*1.25)*1.15),6)</f>
        <v>0</v>
      </c>
    </row>
    <row r="221" spans="1:107" x14ac:dyDescent="0.2">
      <c r="A221">
        <f>ROW(Source!A335)</f>
        <v>335</v>
      </c>
      <c r="B221">
        <v>46416371</v>
      </c>
      <c r="C221">
        <v>46468592</v>
      </c>
      <c r="D221">
        <v>36883554</v>
      </c>
      <c r="E221">
        <v>1</v>
      </c>
      <c r="F221">
        <v>1</v>
      </c>
      <c r="G221">
        <v>1</v>
      </c>
      <c r="H221">
        <v>2</v>
      </c>
      <c r="I221" t="s">
        <v>561</v>
      </c>
      <c r="J221" t="s">
        <v>562</v>
      </c>
      <c r="K221" t="s">
        <v>563</v>
      </c>
      <c r="L221">
        <v>1368</v>
      </c>
      <c r="N221">
        <v>1011</v>
      </c>
      <c r="O221" t="s">
        <v>393</v>
      </c>
      <c r="P221" t="s">
        <v>393</v>
      </c>
      <c r="Q221">
        <v>1</v>
      </c>
      <c r="W221">
        <v>0</v>
      </c>
      <c r="X221">
        <v>1372534845</v>
      </c>
      <c r="Y221">
        <v>21.619999999999994</v>
      </c>
      <c r="AA221">
        <v>0</v>
      </c>
      <c r="AB221">
        <v>877.89</v>
      </c>
      <c r="AC221">
        <v>403.1</v>
      </c>
      <c r="AD221">
        <v>0</v>
      </c>
      <c r="AE221">
        <v>0</v>
      </c>
      <c r="AF221">
        <v>65.709999999999994</v>
      </c>
      <c r="AG221">
        <v>11.6</v>
      </c>
      <c r="AH221">
        <v>0</v>
      </c>
      <c r="AI221">
        <v>1</v>
      </c>
      <c r="AJ221">
        <v>13.36</v>
      </c>
      <c r="AK221">
        <v>34.75</v>
      </c>
      <c r="AL221">
        <v>1</v>
      </c>
      <c r="AN221">
        <v>0</v>
      </c>
      <c r="AO221">
        <v>1</v>
      </c>
      <c r="AP221">
        <v>1</v>
      </c>
      <c r="AQ221">
        <v>0</v>
      </c>
      <c r="AR221">
        <v>0</v>
      </c>
      <c r="AS221" t="s">
        <v>3</v>
      </c>
      <c r="AT221">
        <v>15.04</v>
      </c>
      <c r="AU221" t="s">
        <v>170</v>
      </c>
      <c r="AV221">
        <v>0</v>
      </c>
      <c r="AW221">
        <v>2</v>
      </c>
      <c r="AX221">
        <v>46468598</v>
      </c>
      <c r="AY221">
        <v>1</v>
      </c>
      <c r="AZ221">
        <v>0</v>
      </c>
      <c r="BA221">
        <v>208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Y221*Source!I335</f>
        <v>20.538999999999994</v>
      </c>
      <c r="CY221">
        <f>AB221</f>
        <v>877.89</v>
      </c>
      <c r="CZ221">
        <f>AF221</f>
        <v>65.709999999999994</v>
      </c>
      <c r="DA221">
        <f>AJ221</f>
        <v>13.36</v>
      </c>
      <c r="DB221">
        <f>ROUND(((ROUND(AT221*CZ221,2)*1.25)*1.15),6)</f>
        <v>1420.6524999999999</v>
      </c>
      <c r="DC221">
        <f>ROUND(((ROUND(AT221*AG221,2)*1.25)*1.15),6)</f>
        <v>250.78625</v>
      </c>
    </row>
    <row r="222" spans="1:107" x14ac:dyDescent="0.2">
      <c r="A222">
        <f>ROW(Source!A335)</f>
        <v>335</v>
      </c>
      <c r="B222">
        <v>46416371</v>
      </c>
      <c r="C222">
        <v>46468592</v>
      </c>
      <c r="D222">
        <v>36799911</v>
      </c>
      <c r="E222">
        <v>1</v>
      </c>
      <c r="F222">
        <v>1</v>
      </c>
      <c r="G222">
        <v>1</v>
      </c>
      <c r="H222">
        <v>3</v>
      </c>
      <c r="I222" t="s">
        <v>564</v>
      </c>
      <c r="J222" t="s">
        <v>565</v>
      </c>
      <c r="K222" t="s">
        <v>566</v>
      </c>
      <c r="L222">
        <v>1348</v>
      </c>
      <c r="N222">
        <v>1009</v>
      </c>
      <c r="O222" t="s">
        <v>184</v>
      </c>
      <c r="P222" t="s">
        <v>184</v>
      </c>
      <c r="Q222">
        <v>1000</v>
      </c>
      <c r="W222">
        <v>0</v>
      </c>
      <c r="X222">
        <v>-350237013</v>
      </c>
      <c r="Y222">
        <v>0.66</v>
      </c>
      <c r="AA222">
        <v>12435</v>
      </c>
      <c r="AB222">
        <v>0</v>
      </c>
      <c r="AC222">
        <v>0</v>
      </c>
      <c r="AD222">
        <v>0</v>
      </c>
      <c r="AE222">
        <v>1500</v>
      </c>
      <c r="AF222">
        <v>0</v>
      </c>
      <c r="AG222">
        <v>0</v>
      </c>
      <c r="AH222">
        <v>0</v>
      </c>
      <c r="AI222">
        <v>8.2899999999999991</v>
      </c>
      <c r="AJ222">
        <v>1</v>
      </c>
      <c r="AK222">
        <v>1</v>
      </c>
      <c r="AL222">
        <v>1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3</v>
      </c>
      <c r="AT222">
        <v>0.66</v>
      </c>
      <c r="AU222" t="s">
        <v>3</v>
      </c>
      <c r="AV222">
        <v>0</v>
      </c>
      <c r="AW222">
        <v>2</v>
      </c>
      <c r="AX222">
        <v>46468599</v>
      </c>
      <c r="AY222">
        <v>1</v>
      </c>
      <c r="AZ222">
        <v>0</v>
      </c>
      <c r="BA222">
        <v>209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Y222*Source!I335</f>
        <v>0.627</v>
      </c>
      <c r="CY222">
        <f t="shared" ref="CY222:CY228" si="42">AA222</f>
        <v>12435</v>
      </c>
      <c r="CZ222">
        <f t="shared" ref="CZ222:CZ228" si="43">AE222</f>
        <v>1500</v>
      </c>
      <c r="DA222">
        <f t="shared" ref="DA222:DA228" si="44">AI222</f>
        <v>8.2899999999999991</v>
      </c>
      <c r="DB222">
        <f t="shared" ref="DB222:DB228" si="45">ROUND(ROUND(AT222*CZ222,2),6)</f>
        <v>990</v>
      </c>
      <c r="DC222">
        <f t="shared" ref="DC222:DC228" si="46">ROUND(ROUND(AT222*AG222,2),6)</f>
        <v>0</v>
      </c>
    </row>
    <row r="223" spans="1:107" x14ac:dyDescent="0.2">
      <c r="A223">
        <f>ROW(Source!A335)</f>
        <v>335</v>
      </c>
      <c r="B223">
        <v>46416371</v>
      </c>
      <c r="C223">
        <v>46468592</v>
      </c>
      <c r="D223">
        <v>36807342</v>
      </c>
      <c r="E223">
        <v>1</v>
      </c>
      <c r="F223">
        <v>1</v>
      </c>
      <c r="G223">
        <v>1</v>
      </c>
      <c r="H223">
        <v>3</v>
      </c>
      <c r="I223" t="s">
        <v>567</v>
      </c>
      <c r="J223" t="s">
        <v>568</v>
      </c>
      <c r="K223" t="s">
        <v>569</v>
      </c>
      <c r="L223">
        <v>1339</v>
      </c>
      <c r="N223">
        <v>1007</v>
      </c>
      <c r="O223" t="s">
        <v>139</v>
      </c>
      <c r="P223" t="s">
        <v>139</v>
      </c>
      <c r="Q223">
        <v>1</v>
      </c>
      <c r="W223">
        <v>0</v>
      </c>
      <c r="X223">
        <v>519185539</v>
      </c>
      <c r="Y223">
        <v>0.8</v>
      </c>
      <c r="AA223">
        <v>4309.1400000000003</v>
      </c>
      <c r="AB223">
        <v>0</v>
      </c>
      <c r="AC223">
        <v>0</v>
      </c>
      <c r="AD223">
        <v>0</v>
      </c>
      <c r="AE223">
        <v>519.79999999999995</v>
      </c>
      <c r="AF223">
        <v>0</v>
      </c>
      <c r="AG223">
        <v>0</v>
      </c>
      <c r="AH223">
        <v>0</v>
      </c>
      <c r="AI223">
        <v>8.2899999999999991</v>
      </c>
      <c r="AJ223">
        <v>1</v>
      </c>
      <c r="AK223">
        <v>1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3</v>
      </c>
      <c r="AT223">
        <v>0.8</v>
      </c>
      <c r="AU223" t="s">
        <v>3</v>
      </c>
      <c r="AV223">
        <v>0</v>
      </c>
      <c r="AW223">
        <v>2</v>
      </c>
      <c r="AX223">
        <v>46468601</v>
      </c>
      <c r="AY223">
        <v>1</v>
      </c>
      <c r="AZ223">
        <v>0</v>
      </c>
      <c r="BA223">
        <v>211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Y223*Source!I335</f>
        <v>0.76</v>
      </c>
      <c r="CY223">
        <f t="shared" si="42"/>
        <v>4309.1400000000003</v>
      </c>
      <c r="CZ223">
        <f t="shared" si="43"/>
        <v>519.79999999999995</v>
      </c>
      <c r="DA223">
        <f t="shared" si="44"/>
        <v>8.2899999999999991</v>
      </c>
      <c r="DB223">
        <f t="shared" si="45"/>
        <v>415.84</v>
      </c>
      <c r="DC223">
        <f t="shared" si="46"/>
        <v>0</v>
      </c>
    </row>
    <row r="224" spans="1:107" x14ac:dyDescent="0.2">
      <c r="A224">
        <f>ROW(Source!A335)</f>
        <v>335</v>
      </c>
      <c r="B224">
        <v>46416371</v>
      </c>
      <c r="C224">
        <v>46468592</v>
      </c>
      <c r="D224">
        <v>36823257</v>
      </c>
      <c r="E224">
        <v>1</v>
      </c>
      <c r="F224">
        <v>1</v>
      </c>
      <c r="G224">
        <v>1</v>
      </c>
      <c r="H224">
        <v>3</v>
      </c>
      <c r="I224" t="s">
        <v>570</v>
      </c>
      <c r="J224" t="s">
        <v>571</v>
      </c>
      <c r="K224" t="s">
        <v>572</v>
      </c>
      <c r="L224">
        <v>1348</v>
      </c>
      <c r="N224">
        <v>1009</v>
      </c>
      <c r="O224" t="s">
        <v>184</v>
      </c>
      <c r="P224" t="s">
        <v>184</v>
      </c>
      <c r="Q224">
        <v>1000</v>
      </c>
      <c r="W224">
        <v>0</v>
      </c>
      <c r="X224">
        <v>327965202</v>
      </c>
      <c r="Y224">
        <v>8.9</v>
      </c>
      <c r="AA224">
        <v>66817.399999999994</v>
      </c>
      <c r="AB224">
        <v>0</v>
      </c>
      <c r="AC224">
        <v>0</v>
      </c>
      <c r="AD224">
        <v>0</v>
      </c>
      <c r="AE224">
        <v>8060</v>
      </c>
      <c r="AF224">
        <v>0</v>
      </c>
      <c r="AG224">
        <v>0</v>
      </c>
      <c r="AH224">
        <v>0</v>
      </c>
      <c r="AI224">
        <v>8.2899999999999991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3</v>
      </c>
      <c r="AT224">
        <v>8.9</v>
      </c>
      <c r="AU224" t="s">
        <v>3</v>
      </c>
      <c r="AV224">
        <v>0</v>
      </c>
      <c r="AW224">
        <v>2</v>
      </c>
      <c r="AX224">
        <v>46468603</v>
      </c>
      <c r="AY224">
        <v>1</v>
      </c>
      <c r="AZ224">
        <v>0</v>
      </c>
      <c r="BA224">
        <v>213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Y224*Source!I335</f>
        <v>8.4550000000000001</v>
      </c>
      <c r="CY224">
        <f t="shared" si="42"/>
        <v>66817.399999999994</v>
      </c>
      <c r="CZ224">
        <f t="shared" si="43"/>
        <v>8060</v>
      </c>
      <c r="DA224">
        <f t="shared" si="44"/>
        <v>8.2899999999999991</v>
      </c>
      <c r="DB224">
        <f t="shared" si="45"/>
        <v>71734</v>
      </c>
      <c r="DC224">
        <f t="shared" si="46"/>
        <v>0</v>
      </c>
    </row>
    <row r="225" spans="1:107" x14ac:dyDescent="0.2">
      <c r="A225">
        <f>ROW(Source!A335)</f>
        <v>335</v>
      </c>
      <c r="B225">
        <v>46416371</v>
      </c>
      <c r="C225">
        <v>46468592</v>
      </c>
      <c r="D225">
        <v>36838369</v>
      </c>
      <c r="E225">
        <v>1</v>
      </c>
      <c r="F225">
        <v>1</v>
      </c>
      <c r="G225">
        <v>1</v>
      </c>
      <c r="H225">
        <v>3</v>
      </c>
      <c r="I225" t="s">
        <v>573</v>
      </c>
      <c r="J225" t="s">
        <v>574</v>
      </c>
      <c r="K225" t="s">
        <v>575</v>
      </c>
      <c r="L225">
        <v>1348</v>
      </c>
      <c r="N225">
        <v>1009</v>
      </c>
      <c r="O225" t="s">
        <v>184</v>
      </c>
      <c r="P225" t="s">
        <v>184</v>
      </c>
      <c r="Q225">
        <v>1000</v>
      </c>
      <c r="W225">
        <v>0</v>
      </c>
      <c r="X225">
        <v>-1767746119</v>
      </c>
      <c r="Y225">
        <v>8.5000000000000006E-3</v>
      </c>
      <c r="AA225">
        <v>36159.32</v>
      </c>
      <c r="AB225">
        <v>0</v>
      </c>
      <c r="AC225">
        <v>0</v>
      </c>
      <c r="AD225">
        <v>0</v>
      </c>
      <c r="AE225">
        <v>4361.8</v>
      </c>
      <c r="AF225">
        <v>0</v>
      </c>
      <c r="AG225">
        <v>0</v>
      </c>
      <c r="AH225">
        <v>0</v>
      </c>
      <c r="AI225">
        <v>8.2899999999999991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3</v>
      </c>
      <c r="AT225">
        <v>8.5000000000000006E-3</v>
      </c>
      <c r="AU225" t="s">
        <v>3</v>
      </c>
      <c r="AV225">
        <v>0</v>
      </c>
      <c r="AW225">
        <v>2</v>
      </c>
      <c r="AX225">
        <v>46468604</v>
      </c>
      <c r="AY225">
        <v>1</v>
      </c>
      <c r="AZ225">
        <v>0</v>
      </c>
      <c r="BA225">
        <v>214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Y225*Source!I335</f>
        <v>8.0750000000000006E-3</v>
      </c>
      <c r="CY225">
        <f t="shared" si="42"/>
        <v>36159.32</v>
      </c>
      <c r="CZ225">
        <f t="shared" si="43"/>
        <v>4361.8</v>
      </c>
      <c r="DA225">
        <f t="shared" si="44"/>
        <v>8.2899999999999991</v>
      </c>
      <c r="DB225">
        <f t="shared" si="45"/>
        <v>37.08</v>
      </c>
      <c r="DC225">
        <f t="shared" si="46"/>
        <v>0</v>
      </c>
    </row>
    <row r="226" spans="1:107" x14ac:dyDescent="0.2">
      <c r="A226">
        <f>ROW(Source!A335)</f>
        <v>335</v>
      </c>
      <c r="B226">
        <v>46416371</v>
      </c>
      <c r="C226">
        <v>46468592</v>
      </c>
      <c r="D226">
        <v>36838985</v>
      </c>
      <c r="E226">
        <v>1</v>
      </c>
      <c r="F226">
        <v>1</v>
      </c>
      <c r="G226">
        <v>1</v>
      </c>
      <c r="H226">
        <v>3</v>
      </c>
      <c r="I226" t="s">
        <v>576</v>
      </c>
      <c r="J226" t="s">
        <v>577</v>
      </c>
      <c r="K226" t="s">
        <v>578</v>
      </c>
      <c r="L226">
        <v>1348</v>
      </c>
      <c r="N226">
        <v>1009</v>
      </c>
      <c r="O226" t="s">
        <v>184</v>
      </c>
      <c r="P226" t="s">
        <v>184</v>
      </c>
      <c r="Q226">
        <v>1000</v>
      </c>
      <c r="W226">
        <v>0</v>
      </c>
      <c r="X226">
        <v>1002928532</v>
      </c>
      <c r="Y226">
        <v>3.5000000000000001E-3</v>
      </c>
      <c r="AA226">
        <v>158462.51999999999</v>
      </c>
      <c r="AB226">
        <v>0</v>
      </c>
      <c r="AC226">
        <v>0</v>
      </c>
      <c r="AD226">
        <v>0</v>
      </c>
      <c r="AE226">
        <v>19114.900000000001</v>
      </c>
      <c r="AF226">
        <v>0</v>
      </c>
      <c r="AG226">
        <v>0</v>
      </c>
      <c r="AH226">
        <v>0</v>
      </c>
      <c r="AI226">
        <v>8.2899999999999991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0</v>
      </c>
      <c r="AQ226">
        <v>0</v>
      </c>
      <c r="AR226">
        <v>0</v>
      </c>
      <c r="AS226" t="s">
        <v>3</v>
      </c>
      <c r="AT226">
        <v>3.5000000000000001E-3</v>
      </c>
      <c r="AU226" t="s">
        <v>3</v>
      </c>
      <c r="AV226">
        <v>0</v>
      </c>
      <c r="AW226">
        <v>2</v>
      </c>
      <c r="AX226">
        <v>46468605</v>
      </c>
      <c r="AY226">
        <v>1</v>
      </c>
      <c r="AZ226">
        <v>0</v>
      </c>
      <c r="BA226">
        <v>215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Y226*Source!I335</f>
        <v>3.3249999999999998E-3</v>
      </c>
      <c r="CY226">
        <f t="shared" si="42"/>
        <v>158462.51999999999</v>
      </c>
      <c r="CZ226">
        <f t="shared" si="43"/>
        <v>19114.900000000001</v>
      </c>
      <c r="DA226">
        <f t="shared" si="44"/>
        <v>8.2899999999999991</v>
      </c>
      <c r="DB226">
        <f t="shared" si="45"/>
        <v>66.900000000000006</v>
      </c>
      <c r="DC226">
        <f t="shared" si="46"/>
        <v>0</v>
      </c>
    </row>
    <row r="227" spans="1:107" x14ac:dyDescent="0.2">
      <c r="A227">
        <f>ROW(Source!A335)</f>
        <v>335</v>
      </c>
      <c r="B227">
        <v>46416371</v>
      </c>
      <c r="C227">
        <v>46468592</v>
      </c>
      <c r="D227">
        <v>0</v>
      </c>
      <c r="E227">
        <v>0</v>
      </c>
      <c r="F227">
        <v>1</v>
      </c>
      <c r="G227">
        <v>1</v>
      </c>
      <c r="H227">
        <v>3</v>
      </c>
      <c r="I227" t="s">
        <v>145</v>
      </c>
      <c r="J227" t="s">
        <v>3</v>
      </c>
      <c r="K227" t="s">
        <v>262</v>
      </c>
      <c r="L227">
        <v>1371</v>
      </c>
      <c r="N227">
        <v>1013</v>
      </c>
      <c r="O227" t="s">
        <v>252</v>
      </c>
      <c r="P227" t="s">
        <v>252</v>
      </c>
      <c r="Q227">
        <v>1</v>
      </c>
      <c r="W227">
        <v>0</v>
      </c>
      <c r="X227">
        <v>-1621851437</v>
      </c>
      <c r="Y227">
        <v>100</v>
      </c>
      <c r="AA227">
        <v>7616.85</v>
      </c>
      <c r="AB227">
        <v>0</v>
      </c>
      <c r="AC227">
        <v>0</v>
      </c>
      <c r="AD227">
        <v>0</v>
      </c>
      <c r="AE227">
        <v>7616.85</v>
      </c>
      <c r="AF227">
        <v>0</v>
      </c>
      <c r="AG227">
        <v>0</v>
      </c>
      <c r="AH227">
        <v>0</v>
      </c>
      <c r="AI227">
        <v>1</v>
      </c>
      <c r="AJ227">
        <v>1</v>
      </c>
      <c r="AK227">
        <v>1</v>
      </c>
      <c r="AL227">
        <v>1</v>
      </c>
      <c r="AN227">
        <v>0</v>
      </c>
      <c r="AO227">
        <v>0</v>
      </c>
      <c r="AP227">
        <v>0</v>
      </c>
      <c r="AQ227">
        <v>0</v>
      </c>
      <c r="AR227">
        <v>0</v>
      </c>
      <c r="AS227" t="s">
        <v>3</v>
      </c>
      <c r="AT227">
        <v>100</v>
      </c>
      <c r="AU227" t="s">
        <v>3</v>
      </c>
      <c r="AV227">
        <v>0</v>
      </c>
      <c r="AW227">
        <v>1</v>
      </c>
      <c r="AX227">
        <v>-1</v>
      </c>
      <c r="AY227">
        <v>0</v>
      </c>
      <c r="AZ227">
        <v>0</v>
      </c>
      <c r="BA227" t="s">
        <v>3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Y227*Source!I335</f>
        <v>95</v>
      </c>
      <c r="CY227">
        <f t="shared" si="42"/>
        <v>7616.85</v>
      </c>
      <c r="CZ227">
        <f t="shared" si="43"/>
        <v>7616.85</v>
      </c>
      <c r="DA227">
        <f t="shared" si="44"/>
        <v>1</v>
      </c>
      <c r="DB227">
        <f t="shared" si="45"/>
        <v>761685</v>
      </c>
      <c r="DC227">
        <f t="shared" si="46"/>
        <v>0</v>
      </c>
    </row>
    <row r="228" spans="1:107" x14ac:dyDescent="0.2">
      <c r="A228">
        <f>ROW(Source!A335)</f>
        <v>335</v>
      </c>
      <c r="B228">
        <v>46416371</v>
      </c>
      <c r="C228">
        <v>46468592</v>
      </c>
      <c r="D228">
        <v>0</v>
      </c>
      <c r="E228">
        <v>1</v>
      </c>
      <c r="F228">
        <v>1</v>
      </c>
      <c r="G228">
        <v>1</v>
      </c>
      <c r="H228">
        <v>3</v>
      </c>
      <c r="I228" t="s">
        <v>145</v>
      </c>
      <c r="J228" t="s">
        <v>3</v>
      </c>
      <c r="K228" t="s">
        <v>146</v>
      </c>
      <c r="L228">
        <v>1339</v>
      </c>
      <c r="N228">
        <v>1007</v>
      </c>
      <c r="O228" t="s">
        <v>139</v>
      </c>
      <c r="P228" t="s">
        <v>139</v>
      </c>
      <c r="Q228">
        <v>1</v>
      </c>
      <c r="W228">
        <v>0</v>
      </c>
      <c r="X228">
        <v>-1718654303</v>
      </c>
      <c r="Y228">
        <v>5.9210529999999997</v>
      </c>
      <c r="AA228">
        <v>833.33</v>
      </c>
      <c r="AB228">
        <v>0</v>
      </c>
      <c r="AC228">
        <v>0</v>
      </c>
      <c r="AD228">
        <v>0</v>
      </c>
      <c r="AE228">
        <v>833.33</v>
      </c>
      <c r="AF228">
        <v>0</v>
      </c>
      <c r="AG228">
        <v>0</v>
      </c>
      <c r="AH228">
        <v>0</v>
      </c>
      <c r="AI228">
        <v>1</v>
      </c>
      <c r="AJ228">
        <v>1</v>
      </c>
      <c r="AK228">
        <v>1</v>
      </c>
      <c r="AL228">
        <v>1</v>
      </c>
      <c r="AN228">
        <v>0</v>
      </c>
      <c r="AO228">
        <v>0</v>
      </c>
      <c r="AP228">
        <v>0</v>
      </c>
      <c r="AQ228">
        <v>0</v>
      </c>
      <c r="AR228">
        <v>0</v>
      </c>
      <c r="AS228" t="s">
        <v>3</v>
      </c>
      <c r="AT228">
        <v>5.9210529999999997</v>
      </c>
      <c r="AU228" t="s">
        <v>3</v>
      </c>
      <c r="AV228">
        <v>0</v>
      </c>
      <c r="AW228">
        <v>1</v>
      </c>
      <c r="AX228">
        <v>-1</v>
      </c>
      <c r="AY228">
        <v>0</v>
      </c>
      <c r="AZ228">
        <v>0</v>
      </c>
      <c r="BA228" t="s">
        <v>3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Y228*Source!I335</f>
        <v>5.6250003499999996</v>
      </c>
      <c r="CY228">
        <f t="shared" si="42"/>
        <v>833.33</v>
      </c>
      <c r="CZ228">
        <f t="shared" si="43"/>
        <v>833.33</v>
      </c>
      <c r="DA228">
        <f t="shared" si="44"/>
        <v>1</v>
      </c>
      <c r="DB228">
        <f t="shared" si="45"/>
        <v>4934.1899999999996</v>
      </c>
      <c r="DC228">
        <f t="shared" si="46"/>
        <v>0</v>
      </c>
    </row>
    <row r="229" spans="1:107" x14ac:dyDescent="0.2">
      <c r="A229">
        <f>ROW(Source!A373)</f>
        <v>373</v>
      </c>
      <c r="B229">
        <v>46416371</v>
      </c>
      <c r="C229">
        <v>46468706</v>
      </c>
      <c r="D229">
        <v>121548</v>
      </c>
      <c r="E229">
        <v>1</v>
      </c>
      <c r="F229">
        <v>1</v>
      </c>
      <c r="G229">
        <v>1</v>
      </c>
      <c r="H229">
        <v>1</v>
      </c>
      <c r="I229" t="s">
        <v>26</v>
      </c>
      <c r="J229" t="s">
        <v>3</v>
      </c>
      <c r="K229" t="s">
        <v>388</v>
      </c>
      <c r="L229">
        <v>608254</v>
      </c>
      <c r="N229">
        <v>1013</v>
      </c>
      <c r="O229" t="s">
        <v>389</v>
      </c>
      <c r="P229" t="s">
        <v>389</v>
      </c>
      <c r="Q229">
        <v>1</v>
      </c>
      <c r="W229">
        <v>0</v>
      </c>
      <c r="X229">
        <v>-185737400</v>
      </c>
      <c r="Y229">
        <v>61.74349999999999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1</v>
      </c>
      <c r="AJ229">
        <v>1</v>
      </c>
      <c r="AK229">
        <v>34.75</v>
      </c>
      <c r="AL229">
        <v>1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3</v>
      </c>
      <c r="AT229">
        <v>53.69</v>
      </c>
      <c r="AU229" t="s">
        <v>31</v>
      </c>
      <c r="AV229">
        <v>2</v>
      </c>
      <c r="AW229">
        <v>2</v>
      </c>
      <c r="AX229">
        <v>46468707</v>
      </c>
      <c r="AY229">
        <v>1</v>
      </c>
      <c r="AZ229">
        <v>0</v>
      </c>
      <c r="BA229">
        <v>216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Y229*Source!I373</f>
        <v>19.078741499999996</v>
      </c>
      <c r="CY229">
        <f>AD229</f>
        <v>0</v>
      </c>
      <c r="CZ229">
        <f>AH229</f>
        <v>0</v>
      </c>
      <c r="DA229">
        <f>AL229</f>
        <v>1</v>
      </c>
      <c r="DB229">
        <f>ROUND((ROUND(AT229*CZ229,2)*1.15),6)</f>
        <v>0</v>
      </c>
      <c r="DC229">
        <f>ROUND((ROUND(AT229*AG229,2)*1.15),6)</f>
        <v>0</v>
      </c>
    </row>
    <row r="230" spans="1:107" x14ac:dyDescent="0.2">
      <c r="A230">
        <f>ROW(Source!A373)</f>
        <v>373</v>
      </c>
      <c r="B230">
        <v>46416371</v>
      </c>
      <c r="C230">
        <v>46468706</v>
      </c>
      <c r="D230">
        <v>42567746</v>
      </c>
      <c r="E230">
        <v>1</v>
      </c>
      <c r="F230">
        <v>1</v>
      </c>
      <c r="G230">
        <v>1</v>
      </c>
      <c r="H230">
        <v>2</v>
      </c>
      <c r="I230" t="s">
        <v>579</v>
      </c>
      <c r="J230" t="s">
        <v>580</v>
      </c>
      <c r="K230" t="s">
        <v>581</v>
      </c>
      <c r="L230">
        <v>1368</v>
      </c>
      <c r="N230">
        <v>1011</v>
      </c>
      <c r="O230" t="s">
        <v>393</v>
      </c>
      <c r="P230" t="s">
        <v>393</v>
      </c>
      <c r="Q230">
        <v>1</v>
      </c>
      <c r="W230">
        <v>0</v>
      </c>
      <c r="X230">
        <v>-1634641368</v>
      </c>
      <c r="Y230">
        <v>61.74349999999999</v>
      </c>
      <c r="AA230">
        <v>0</v>
      </c>
      <c r="AB230">
        <v>1355.91</v>
      </c>
      <c r="AC230">
        <v>438.55</v>
      </c>
      <c r="AD230">
        <v>0</v>
      </c>
      <c r="AE230">
        <v>0</v>
      </c>
      <c r="AF230">
        <v>101.49</v>
      </c>
      <c r="AG230">
        <v>12.62</v>
      </c>
      <c r="AH230">
        <v>0</v>
      </c>
      <c r="AI230">
        <v>1</v>
      </c>
      <c r="AJ230">
        <v>13.36</v>
      </c>
      <c r="AK230">
        <v>34.75</v>
      </c>
      <c r="AL230">
        <v>1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3</v>
      </c>
      <c r="AT230">
        <v>53.69</v>
      </c>
      <c r="AU230" t="s">
        <v>31</v>
      </c>
      <c r="AV230">
        <v>0</v>
      </c>
      <c r="AW230">
        <v>2</v>
      </c>
      <c r="AX230">
        <v>46468708</v>
      </c>
      <c r="AY230">
        <v>1</v>
      </c>
      <c r="AZ230">
        <v>0</v>
      </c>
      <c r="BA230">
        <v>217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Y230*Source!I373</f>
        <v>19.078741499999996</v>
      </c>
      <c r="CY230">
        <f>AB230</f>
        <v>1355.91</v>
      </c>
      <c r="CZ230">
        <f>AF230</f>
        <v>101.49</v>
      </c>
      <c r="DA230">
        <f>AJ230</f>
        <v>13.36</v>
      </c>
      <c r="DB230">
        <f>ROUND((ROUND(AT230*CZ230,2)*1.15),6)</f>
        <v>6266.35</v>
      </c>
      <c r="DC230">
        <f>ROUND((ROUND(AT230*AG230,2)*1.15),6)</f>
        <v>779.20550000000003</v>
      </c>
    </row>
    <row r="231" spans="1:107" x14ac:dyDescent="0.2">
      <c r="A231">
        <f>ROW(Source!A375)</f>
        <v>375</v>
      </c>
      <c r="B231">
        <v>46416371</v>
      </c>
      <c r="C231">
        <v>46468670</v>
      </c>
      <c r="D231">
        <v>37066491</v>
      </c>
      <c r="E231">
        <v>1</v>
      </c>
      <c r="F231">
        <v>1</v>
      </c>
      <c r="G231">
        <v>1</v>
      </c>
      <c r="H231">
        <v>1</v>
      </c>
      <c r="I231" t="s">
        <v>582</v>
      </c>
      <c r="J231" t="s">
        <v>3</v>
      </c>
      <c r="K231" t="s">
        <v>583</v>
      </c>
      <c r="L231">
        <v>1191</v>
      </c>
      <c r="N231">
        <v>1013</v>
      </c>
      <c r="O231" t="s">
        <v>550</v>
      </c>
      <c r="P231" t="s">
        <v>550</v>
      </c>
      <c r="Q231">
        <v>1</v>
      </c>
      <c r="W231">
        <v>0</v>
      </c>
      <c r="X231">
        <v>-228054128</v>
      </c>
      <c r="Y231">
        <v>20.789699999999996</v>
      </c>
      <c r="AA231">
        <v>0</v>
      </c>
      <c r="AB231">
        <v>0</v>
      </c>
      <c r="AC231">
        <v>0</v>
      </c>
      <c r="AD231">
        <v>278.7</v>
      </c>
      <c r="AE231">
        <v>0</v>
      </c>
      <c r="AF231">
        <v>0</v>
      </c>
      <c r="AG231">
        <v>0</v>
      </c>
      <c r="AH231">
        <v>8.02</v>
      </c>
      <c r="AI231">
        <v>1</v>
      </c>
      <c r="AJ231">
        <v>1</v>
      </c>
      <c r="AK231">
        <v>1</v>
      </c>
      <c r="AL231">
        <v>34.75</v>
      </c>
      <c r="AN231">
        <v>0</v>
      </c>
      <c r="AO231">
        <v>1</v>
      </c>
      <c r="AP231">
        <v>1</v>
      </c>
      <c r="AQ231">
        <v>0</v>
      </c>
      <c r="AR231">
        <v>0</v>
      </c>
      <c r="AS231" t="s">
        <v>3</v>
      </c>
      <c r="AT231">
        <v>15.72</v>
      </c>
      <c r="AU231" t="s">
        <v>161</v>
      </c>
      <c r="AV231">
        <v>1</v>
      </c>
      <c r="AW231">
        <v>2</v>
      </c>
      <c r="AX231">
        <v>46468671</v>
      </c>
      <c r="AY231">
        <v>1</v>
      </c>
      <c r="AZ231">
        <v>0</v>
      </c>
      <c r="BA231">
        <v>218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Y231*Source!I375</f>
        <v>86.693048999999988</v>
      </c>
      <c r="CY231">
        <f>AD231</f>
        <v>278.7</v>
      </c>
      <c r="CZ231">
        <f>AH231</f>
        <v>8.02</v>
      </c>
      <c r="DA231">
        <f>AL231</f>
        <v>34.75</v>
      </c>
      <c r="DB231">
        <f>ROUND(((ROUND(AT231*CZ231,2)*1.15)*1.15),6)</f>
        <v>166.727575</v>
      </c>
      <c r="DC231">
        <f>ROUND(((ROUND(AT231*AG231,2)*1.15)*1.15),6)</f>
        <v>0</v>
      </c>
    </row>
    <row r="232" spans="1:107" x14ac:dyDescent="0.2">
      <c r="A232">
        <f>ROW(Source!A375)</f>
        <v>375</v>
      </c>
      <c r="B232">
        <v>46416371</v>
      </c>
      <c r="C232">
        <v>46468670</v>
      </c>
      <c r="D232">
        <v>37064876</v>
      </c>
      <c r="E232">
        <v>1</v>
      </c>
      <c r="F232">
        <v>1</v>
      </c>
      <c r="G232">
        <v>1</v>
      </c>
      <c r="H232">
        <v>1</v>
      </c>
      <c r="I232" t="s">
        <v>551</v>
      </c>
      <c r="J232" t="s">
        <v>3</v>
      </c>
      <c r="K232" t="s">
        <v>388</v>
      </c>
      <c r="L232">
        <v>1191</v>
      </c>
      <c r="N232">
        <v>1013</v>
      </c>
      <c r="O232" t="s">
        <v>550</v>
      </c>
      <c r="P232" t="s">
        <v>550</v>
      </c>
      <c r="Q232">
        <v>1</v>
      </c>
      <c r="W232">
        <v>0</v>
      </c>
      <c r="X232">
        <v>-1417349443</v>
      </c>
      <c r="Y232">
        <v>19.952500000000001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1</v>
      </c>
      <c r="AJ232">
        <v>1</v>
      </c>
      <c r="AK232">
        <v>34.75</v>
      </c>
      <c r="AL232">
        <v>1</v>
      </c>
      <c r="AN232">
        <v>0</v>
      </c>
      <c r="AO232">
        <v>1</v>
      </c>
      <c r="AP232">
        <v>1</v>
      </c>
      <c r="AQ232">
        <v>0</v>
      </c>
      <c r="AR232">
        <v>0</v>
      </c>
      <c r="AS232" t="s">
        <v>3</v>
      </c>
      <c r="AT232">
        <v>13.88</v>
      </c>
      <c r="AU232" t="s">
        <v>170</v>
      </c>
      <c r="AV232">
        <v>2</v>
      </c>
      <c r="AW232">
        <v>2</v>
      </c>
      <c r="AX232">
        <v>46468672</v>
      </c>
      <c r="AY232">
        <v>1</v>
      </c>
      <c r="AZ232">
        <v>0</v>
      </c>
      <c r="BA232">
        <v>219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Y232*Source!I375</f>
        <v>83.201925000000003</v>
      </c>
      <c r="CY232">
        <f>AD232</f>
        <v>0</v>
      </c>
      <c r="CZ232">
        <f>AH232</f>
        <v>0</v>
      </c>
      <c r="DA232">
        <f>AL232</f>
        <v>1</v>
      </c>
      <c r="DB232">
        <f>ROUND(((ROUND(AT232*CZ232,2)*1.25)*1.15),6)</f>
        <v>0</v>
      </c>
      <c r="DC232">
        <f>ROUND(((ROUND(AT232*AG232,2)*1.25)*1.15),6)</f>
        <v>0</v>
      </c>
    </row>
    <row r="233" spans="1:107" x14ac:dyDescent="0.2">
      <c r="A233">
        <f>ROW(Source!A375)</f>
        <v>375</v>
      </c>
      <c r="B233">
        <v>46416371</v>
      </c>
      <c r="C233">
        <v>46468670</v>
      </c>
      <c r="D233">
        <v>36881380</v>
      </c>
      <c r="E233">
        <v>1</v>
      </c>
      <c r="F233">
        <v>1</v>
      </c>
      <c r="G233">
        <v>1</v>
      </c>
      <c r="H233">
        <v>2</v>
      </c>
      <c r="I233" t="s">
        <v>584</v>
      </c>
      <c r="J233" t="s">
        <v>585</v>
      </c>
      <c r="K233" t="s">
        <v>586</v>
      </c>
      <c r="L233">
        <v>1368</v>
      </c>
      <c r="N233">
        <v>1011</v>
      </c>
      <c r="O233" t="s">
        <v>393</v>
      </c>
      <c r="P233" t="s">
        <v>393</v>
      </c>
      <c r="Q233">
        <v>1</v>
      </c>
      <c r="W233">
        <v>0</v>
      </c>
      <c r="X233">
        <v>645023554</v>
      </c>
      <c r="Y233">
        <v>2.5443749999999996</v>
      </c>
      <c r="AA233">
        <v>0</v>
      </c>
      <c r="AB233">
        <v>1643.28</v>
      </c>
      <c r="AC233">
        <v>469.13</v>
      </c>
      <c r="AD233">
        <v>0</v>
      </c>
      <c r="AE233">
        <v>0</v>
      </c>
      <c r="AF233">
        <v>123</v>
      </c>
      <c r="AG233">
        <v>13.5</v>
      </c>
      <c r="AH233">
        <v>0</v>
      </c>
      <c r="AI233">
        <v>1</v>
      </c>
      <c r="AJ233">
        <v>13.36</v>
      </c>
      <c r="AK233">
        <v>34.75</v>
      </c>
      <c r="AL233">
        <v>1</v>
      </c>
      <c r="AN233">
        <v>0</v>
      </c>
      <c r="AO233">
        <v>1</v>
      </c>
      <c r="AP233">
        <v>1</v>
      </c>
      <c r="AQ233">
        <v>0</v>
      </c>
      <c r="AR233">
        <v>0</v>
      </c>
      <c r="AS233" t="s">
        <v>3</v>
      </c>
      <c r="AT233">
        <v>1.77</v>
      </c>
      <c r="AU233" t="s">
        <v>170</v>
      </c>
      <c r="AV233">
        <v>0</v>
      </c>
      <c r="AW233">
        <v>2</v>
      </c>
      <c r="AX233">
        <v>46468673</v>
      </c>
      <c r="AY233">
        <v>1</v>
      </c>
      <c r="AZ233">
        <v>0</v>
      </c>
      <c r="BA233">
        <v>220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Y233*Source!I375</f>
        <v>10.610043749999997</v>
      </c>
      <c r="CY233">
        <f>AB233</f>
        <v>1643.28</v>
      </c>
      <c r="CZ233">
        <f>AF233</f>
        <v>123</v>
      </c>
      <c r="DA233">
        <f>AJ233</f>
        <v>13.36</v>
      </c>
      <c r="DB233">
        <f>ROUND(((ROUND(AT233*CZ233,2)*1.25)*1.15),6)</f>
        <v>312.958125</v>
      </c>
      <c r="DC233">
        <f>ROUND(((ROUND(AT233*AG233,2)*1.25)*1.15),6)</f>
        <v>34.356250000000003</v>
      </c>
    </row>
    <row r="234" spans="1:107" x14ac:dyDescent="0.2">
      <c r="A234">
        <f>ROW(Source!A375)</f>
        <v>375</v>
      </c>
      <c r="B234">
        <v>46416371</v>
      </c>
      <c r="C234">
        <v>46468670</v>
      </c>
      <c r="D234">
        <v>36882383</v>
      </c>
      <c r="E234">
        <v>1</v>
      </c>
      <c r="F234">
        <v>1</v>
      </c>
      <c r="G234">
        <v>1</v>
      </c>
      <c r="H234">
        <v>2</v>
      </c>
      <c r="I234" t="s">
        <v>555</v>
      </c>
      <c r="J234" t="s">
        <v>556</v>
      </c>
      <c r="K234" t="s">
        <v>557</v>
      </c>
      <c r="L234">
        <v>1368</v>
      </c>
      <c r="N234">
        <v>1011</v>
      </c>
      <c r="O234" t="s">
        <v>393</v>
      </c>
      <c r="P234" t="s">
        <v>393</v>
      </c>
      <c r="Q234">
        <v>1</v>
      </c>
      <c r="W234">
        <v>0</v>
      </c>
      <c r="X234">
        <v>1225731627</v>
      </c>
      <c r="Y234">
        <v>6.1668749999999992</v>
      </c>
      <c r="AA234">
        <v>0</v>
      </c>
      <c r="AB234">
        <v>1202.27</v>
      </c>
      <c r="AC234">
        <v>349.59</v>
      </c>
      <c r="AD234">
        <v>0</v>
      </c>
      <c r="AE234">
        <v>0</v>
      </c>
      <c r="AF234">
        <v>89.99</v>
      </c>
      <c r="AG234">
        <v>10.06</v>
      </c>
      <c r="AH234">
        <v>0</v>
      </c>
      <c r="AI234">
        <v>1</v>
      </c>
      <c r="AJ234">
        <v>13.36</v>
      </c>
      <c r="AK234">
        <v>34.75</v>
      </c>
      <c r="AL234">
        <v>1</v>
      </c>
      <c r="AN234">
        <v>0</v>
      </c>
      <c r="AO234">
        <v>1</v>
      </c>
      <c r="AP234">
        <v>1</v>
      </c>
      <c r="AQ234">
        <v>0</v>
      </c>
      <c r="AR234">
        <v>0</v>
      </c>
      <c r="AS234" t="s">
        <v>3</v>
      </c>
      <c r="AT234">
        <v>4.29</v>
      </c>
      <c r="AU234" t="s">
        <v>170</v>
      </c>
      <c r="AV234">
        <v>0</v>
      </c>
      <c r="AW234">
        <v>2</v>
      </c>
      <c r="AX234">
        <v>46468674</v>
      </c>
      <c r="AY234">
        <v>1</v>
      </c>
      <c r="AZ234">
        <v>0</v>
      </c>
      <c r="BA234">
        <v>221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Y234*Source!I375</f>
        <v>25.715868749999995</v>
      </c>
      <c r="CY234">
        <f>AB234</f>
        <v>1202.27</v>
      </c>
      <c r="CZ234">
        <f>AF234</f>
        <v>89.99</v>
      </c>
      <c r="DA234">
        <f>AJ234</f>
        <v>13.36</v>
      </c>
      <c r="DB234">
        <f>ROUND(((ROUND(AT234*CZ234,2)*1.25)*1.15),6)</f>
        <v>554.96124999999995</v>
      </c>
      <c r="DC234">
        <f>ROUND(((ROUND(AT234*AG234,2)*1.25)*1.15),6)</f>
        <v>62.042499999999997</v>
      </c>
    </row>
    <row r="235" spans="1:107" x14ac:dyDescent="0.2">
      <c r="A235">
        <f>ROW(Source!A375)</f>
        <v>375</v>
      </c>
      <c r="B235">
        <v>46416371</v>
      </c>
      <c r="C235">
        <v>46468670</v>
      </c>
      <c r="D235">
        <v>36882750</v>
      </c>
      <c r="E235">
        <v>1</v>
      </c>
      <c r="F235">
        <v>1</v>
      </c>
      <c r="G235">
        <v>1</v>
      </c>
      <c r="H235">
        <v>2</v>
      </c>
      <c r="I235" t="s">
        <v>587</v>
      </c>
      <c r="J235" t="s">
        <v>588</v>
      </c>
      <c r="K235" t="s">
        <v>589</v>
      </c>
      <c r="L235">
        <v>1368</v>
      </c>
      <c r="N235">
        <v>1011</v>
      </c>
      <c r="O235" t="s">
        <v>393</v>
      </c>
      <c r="P235" t="s">
        <v>393</v>
      </c>
      <c r="Q235">
        <v>1</v>
      </c>
      <c r="W235">
        <v>0</v>
      </c>
      <c r="X235">
        <v>1663826256</v>
      </c>
      <c r="Y235">
        <v>10.177499999999998</v>
      </c>
      <c r="AA235">
        <v>0</v>
      </c>
      <c r="AB235">
        <v>2752.29</v>
      </c>
      <c r="AC235">
        <v>500.4</v>
      </c>
      <c r="AD235">
        <v>0</v>
      </c>
      <c r="AE235">
        <v>0</v>
      </c>
      <c r="AF235">
        <v>206.01</v>
      </c>
      <c r="AG235">
        <v>14.4</v>
      </c>
      <c r="AH235">
        <v>0</v>
      </c>
      <c r="AI235">
        <v>1</v>
      </c>
      <c r="AJ235">
        <v>13.36</v>
      </c>
      <c r="AK235">
        <v>34.75</v>
      </c>
      <c r="AL235">
        <v>1</v>
      </c>
      <c r="AN235">
        <v>0</v>
      </c>
      <c r="AO235">
        <v>1</v>
      </c>
      <c r="AP235">
        <v>1</v>
      </c>
      <c r="AQ235">
        <v>0</v>
      </c>
      <c r="AR235">
        <v>0</v>
      </c>
      <c r="AS235" t="s">
        <v>3</v>
      </c>
      <c r="AT235">
        <v>7.08</v>
      </c>
      <c r="AU235" t="s">
        <v>170</v>
      </c>
      <c r="AV235">
        <v>0</v>
      </c>
      <c r="AW235">
        <v>2</v>
      </c>
      <c r="AX235">
        <v>46468675</v>
      </c>
      <c r="AY235">
        <v>1</v>
      </c>
      <c r="AZ235">
        <v>0</v>
      </c>
      <c r="BA235">
        <v>222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Y235*Source!I375</f>
        <v>42.440174999999989</v>
      </c>
      <c r="CY235">
        <f>AB235</f>
        <v>2752.29</v>
      </c>
      <c r="CZ235">
        <f>AF235</f>
        <v>206.01</v>
      </c>
      <c r="DA235">
        <f>AJ235</f>
        <v>13.36</v>
      </c>
      <c r="DB235">
        <f>ROUND(((ROUND(AT235*CZ235,2)*1.25)*1.15),6)</f>
        <v>2096.6656250000001</v>
      </c>
      <c r="DC235">
        <f>ROUND(((ROUND(AT235*AG235,2)*1.25)*1.15),6)</f>
        <v>146.55312499999999</v>
      </c>
    </row>
    <row r="236" spans="1:107" x14ac:dyDescent="0.2">
      <c r="A236">
        <f>ROW(Source!A375)</f>
        <v>375</v>
      </c>
      <c r="B236">
        <v>46416371</v>
      </c>
      <c r="C236">
        <v>46468670</v>
      </c>
      <c r="D236">
        <v>36883483</v>
      </c>
      <c r="E236">
        <v>1</v>
      </c>
      <c r="F236">
        <v>1</v>
      </c>
      <c r="G236">
        <v>1</v>
      </c>
      <c r="H236">
        <v>2</v>
      </c>
      <c r="I236" t="s">
        <v>590</v>
      </c>
      <c r="J236" t="s">
        <v>591</v>
      </c>
      <c r="K236" t="s">
        <v>592</v>
      </c>
      <c r="L236">
        <v>1368</v>
      </c>
      <c r="N236">
        <v>1011</v>
      </c>
      <c r="O236" t="s">
        <v>393</v>
      </c>
      <c r="P236" t="s">
        <v>393</v>
      </c>
      <c r="Q236">
        <v>1</v>
      </c>
      <c r="W236">
        <v>0</v>
      </c>
      <c r="X236">
        <v>529073949</v>
      </c>
      <c r="Y236">
        <v>1.06375</v>
      </c>
      <c r="AA236">
        <v>0</v>
      </c>
      <c r="AB236">
        <v>1469.6</v>
      </c>
      <c r="AC236">
        <v>403.1</v>
      </c>
      <c r="AD236">
        <v>0</v>
      </c>
      <c r="AE236">
        <v>0</v>
      </c>
      <c r="AF236">
        <v>110</v>
      </c>
      <c r="AG236">
        <v>11.6</v>
      </c>
      <c r="AH236">
        <v>0</v>
      </c>
      <c r="AI236">
        <v>1</v>
      </c>
      <c r="AJ236">
        <v>13.36</v>
      </c>
      <c r="AK236">
        <v>34.75</v>
      </c>
      <c r="AL236">
        <v>1</v>
      </c>
      <c r="AN236">
        <v>0</v>
      </c>
      <c r="AO236">
        <v>1</v>
      </c>
      <c r="AP236">
        <v>1</v>
      </c>
      <c r="AQ236">
        <v>0</v>
      </c>
      <c r="AR236">
        <v>0</v>
      </c>
      <c r="AS236" t="s">
        <v>3</v>
      </c>
      <c r="AT236">
        <v>0.74</v>
      </c>
      <c r="AU236" t="s">
        <v>170</v>
      </c>
      <c r="AV236">
        <v>0</v>
      </c>
      <c r="AW236">
        <v>2</v>
      </c>
      <c r="AX236">
        <v>46468676</v>
      </c>
      <c r="AY236">
        <v>1</v>
      </c>
      <c r="AZ236">
        <v>0</v>
      </c>
      <c r="BA236">
        <v>223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Y236*Source!I375</f>
        <v>4.4358374999999999</v>
      </c>
      <c r="CY236">
        <f>AB236</f>
        <v>1469.6</v>
      </c>
      <c r="CZ236">
        <f>AF236</f>
        <v>110</v>
      </c>
      <c r="DA236">
        <f>AJ236</f>
        <v>13.36</v>
      </c>
      <c r="DB236">
        <f>ROUND(((ROUND(AT236*CZ236,2)*1.25)*1.15),6)</f>
        <v>117.0125</v>
      </c>
      <c r="DC236">
        <f>ROUND(((ROUND(AT236*AG236,2)*1.25)*1.15),6)</f>
        <v>12.33375</v>
      </c>
    </row>
    <row r="237" spans="1:107" x14ac:dyDescent="0.2">
      <c r="A237">
        <f>ROW(Source!A375)</f>
        <v>375</v>
      </c>
      <c r="B237">
        <v>46416371</v>
      </c>
      <c r="C237">
        <v>46468670</v>
      </c>
      <c r="D237">
        <v>36801792</v>
      </c>
      <c r="E237">
        <v>1</v>
      </c>
      <c r="F237">
        <v>1</v>
      </c>
      <c r="G237">
        <v>1</v>
      </c>
      <c r="H237">
        <v>3</v>
      </c>
      <c r="I237" t="s">
        <v>593</v>
      </c>
      <c r="J237" t="s">
        <v>594</v>
      </c>
      <c r="K237" t="s">
        <v>437</v>
      </c>
      <c r="L237">
        <v>1339</v>
      </c>
      <c r="N237">
        <v>1007</v>
      </c>
      <c r="O237" t="s">
        <v>139</v>
      </c>
      <c r="P237" t="s">
        <v>139</v>
      </c>
      <c r="Q237">
        <v>1</v>
      </c>
      <c r="W237">
        <v>0</v>
      </c>
      <c r="X237">
        <v>-1660354250</v>
      </c>
      <c r="Y237">
        <v>5</v>
      </c>
      <c r="AA237">
        <v>20.23</v>
      </c>
      <c r="AB237">
        <v>0</v>
      </c>
      <c r="AC237">
        <v>0</v>
      </c>
      <c r="AD237">
        <v>0</v>
      </c>
      <c r="AE237">
        <v>2.44</v>
      </c>
      <c r="AF237">
        <v>0</v>
      </c>
      <c r="AG237">
        <v>0</v>
      </c>
      <c r="AH237">
        <v>0</v>
      </c>
      <c r="AI237">
        <v>8.2899999999999991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3</v>
      </c>
      <c r="AT237">
        <v>5</v>
      </c>
      <c r="AU237" t="s">
        <v>3</v>
      </c>
      <c r="AV237">
        <v>0</v>
      </c>
      <c r="AW237">
        <v>2</v>
      </c>
      <c r="AX237">
        <v>46468677</v>
      </c>
      <c r="AY237">
        <v>1</v>
      </c>
      <c r="AZ237">
        <v>0</v>
      </c>
      <c r="BA237">
        <v>224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Y237*Source!I375</f>
        <v>20.85</v>
      </c>
      <c r="CY237">
        <f>AA237</f>
        <v>20.23</v>
      </c>
      <c r="CZ237">
        <f>AE237</f>
        <v>2.44</v>
      </c>
      <c r="DA237">
        <f>AI237</f>
        <v>8.2899999999999991</v>
      </c>
      <c r="DB237">
        <f>ROUND(ROUND(AT237*CZ237,2),6)</f>
        <v>12.2</v>
      </c>
      <c r="DC237">
        <f>ROUND(ROUND(AT237*AG237,2),6)</f>
        <v>0</v>
      </c>
    </row>
    <row r="238" spans="1:107" x14ac:dyDescent="0.2">
      <c r="A238">
        <f>ROW(Source!A375)</f>
        <v>375</v>
      </c>
      <c r="B238">
        <v>46416371</v>
      </c>
      <c r="C238">
        <v>46468670</v>
      </c>
      <c r="D238">
        <v>0</v>
      </c>
      <c r="E238">
        <v>1</v>
      </c>
      <c r="F238">
        <v>1</v>
      </c>
      <c r="G238">
        <v>1</v>
      </c>
      <c r="H238">
        <v>3</v>
      </c>
      <c r="I238" t="s">
        <v>145</v>
      </c>
      <c r="J238" t="s">
        <v>3</v>
      </c>
      <c r="K238" t="s">
        <v>146</v>
      </c>
      <c r="L238">
        <v>1339</v>
      </c>
      <c r="N238">
        <v>1007</v>
      </c>
      <c r="O238" t="s">
        <v>139</v>
      </c>
      <c r="P238" t="s">
        <v>139</v>
      </c>
      <c r="Q238">
        <v>1</v>
      </c>
      <c r="W238">
        <v>0</v>
      </c>
      <c r="X238">
        <v>-1718654303</v>
      </c>
      <c r="Y238">
        <v>110</v>
      </c>
      <c r="AA238">
        <v>833.33</v>
      </c>
      <c r="AB238">
        <v>0</v>
      </c>
      <c r="AC238">
        <v>0</v>
      </c>
      <c r="AD238">
        <v>0</v>
      </c>
      <c r="AE238">
        <v>833.33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0</v>
      </c>
      <c r="AP238">
        <v>0</v>
      </c>
      <c r="AQ238">
        <v>0</v>
      </c>
      <c r="AR238">
        <v>0</v>
      </c>
      <c r="AS238" t="s">
        <v>3</v>
      </c>
      <c r="AT238">
        <v>110</v>
      </c>
      <c r="AU238" t="s">
        <v>3</v>
      </c>
      <c r="AV238">
        <v>0</v>
      </c>
      <c r="AW238">
        <v>1</v>
      </c>
      <c r="AX238">
        <v>-1</v>
      </c>
      <c r="AY238">
        <v>0</v>
      </c>
      <c r="AZ238">
        <v>0</v>
      </c>
      <c r="BA238" t="s">
        <v>3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Y238*Source!I375</f>
        <v>458.7</v>
      </c>
      <c r="CY238">
        <f>AA238</f>
        <v>833.33</v>
      </c>
      <c r="CZ238">
        <f>AE238</f>
        <v>833.33</v>
      </c>
      <c r="DA238">
        <f>AI238</f>
        <v>1</v>
      </c>
      <c r="DB238">
        <f>ROUND(ROUND(AT238*CZ238,2),6)</f>
        <v>91666.3</v>
      </c>
      <c r="DC238">
        <f>ROUND(ROUND(AT238*AG238,2),6)</f>
        <v>0</v>
      </c>
    </row>
    <row r="239" spans="1:107" x14ac:dyDescent="0.2">
      <c r="A239">
        <f>ROW(Source!A377)</f>
        <v>377</v>
      </c>
      <c r="B239">
        <v>46416371</v>
      </c>
      <c r="C239">
        <v>46468692</v>
      </c>
      <c r="D239">
        <v>37068148</v>
      </c>
      <c r="E239">
        <v>1</v>
      </c>
      <c r="F239">
        <v>1</v>
      </c>
      <c r="G239">
        <v>1</v>
      </c>
      <c r="H239">
        <v>1</v>
      </c>
      <c r="I239" t="s">
        <v>595</v>
      </c>
      <c r="J239" t="s">
        <v>3</v>
      </c>
      <c r="K239" t="s">
        <v>596</v>
      </c>
      <c r="L239">
        <v>1191</v>
      </c>
      <c r="N239">
        <v>1013</v>
      </c>
      <c r="O239" t="s">
        <v>550</v>
      </c>
      <c r="P239" t="s">
        <v>550</v>
      </c>
      <c r="Q239">
        <v>1</v>
      </c>
      <c r="W239">
        <v>0</v>
      </c>
      <c r="X239">
        <v>371339561</v>
      </c>
      <c r="Y239">
        <v>31.991274999999998</v>
      </c>
      <c r="AA239">
        <v>0</v>
      </c>
      <c r="AB239">
        <v>0</v>
      </c>
      <c r="AC239">
        <v>0</v>
      </c>
      <c r="AD239">
        <v>281.13</v>
      </c>
      <c r="AE239">
        <v>0</v>
      </c>
      <c r="AF239">
        <v>0</v>
      </c>
      <c r="AG239">
        <v>0</v>
      </c>
      <c r="AH239">
        <v>8.09</v>
      </c>
      <c r="AI239">
        <v>1</v>
      </c>
      <c r="AJ239">
        <v>1</v>
      </c>
      <c r="AK239">
        <v>1</v>
      </c>
      <c r="AL239">
        <v>34.75</v>
      </c>
      <c r="AN239">
        <v>0</v>
      </c>
      <c r="AO239">
        <v>1</v>
      </c>
      <c r="AP239">
        <v>1</v>
      </c>
      <c r="AQ239">
        <v>0</v>
      </c>
      <c r="AR239">
        <v>0</v>
      </c>
      <c r="AS239" t="s">
        <v>3</v>
      </c>
      <c r="AT239">
        <v>24.19</v>
      </c>
      <c r="AU239" t="s">
        <v>161</v>
      </c>
      <c r="AV239">
        <v>1</v>
      </c>
      <c r="AW239">
        <v>2</v>
      </c>
      <c r="AX239">
        <v>46468693</v>
      </c>
      <c r="AY239">
        <v>1</v>
      </c>
      <c r="AZ239">
        <v>0</v>
      </c>
      <c r="BA239">
        <v>226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Y239*Source!I377</f>
        <v>160.14832265000001</v>
      </c>
      <c r="CY239">
        <f>AD239</f>
        <v>281.13</v>
      </c>
      <c r="CZ239">
        <f>AH239</f>
        <v>8.09</v>
      </c>
      <c r="DA239">
        <f>AL239</f>
        <v>34.75</v>
      </c>
      <c r="DB239">
        <f>ROUND(((ROUND(AT239*CZ239,2)*1.15)*1.15),6)</f>
        <v>258.81324999999998</v>
      </c>
      <c r="DC239">
        <f>ROUND(((ROUND(AT239*AG239,2)*1.15)*1.15),6)</f>
        <v>0</v>
      </c>
    </row>
    <row r="240" spans="1:107" x14ac:dyDescent="0.2">
      <c r="A240">
        <f>ROW(Source!A377)</f>
        <v>377</v>
      </c>
      <c r="B240">
        <v>46416371</v>
      </c>
      <c r="C240">
        <v>46468692</v>
      </c>
      <c r="D240">
        <v>37064876</v>
      </c>
      <c r="E240">
        <v>1</v>
      </c>
      <c r="F240">
        <v>1</v>
      </c>
      <c r="G240">
        <v>1</v>
      </c>
      <c r="H240">
        <v>1</v>
      </c>
      <c r="I240" t="s">
        <v>551</v>
      </c>
      <c r="J240" t="s">
        <v>3</v>
      </c>
      <c r="K240" t="s">
        <v>388</v>
      </c>
      <c r="L240">
        <v>1191</v>
      </c>
      <c r="N240">
        <v>1013</v>
      </c>
      <c r="O240" t="s">
        <v>550</v>
      </c>
      <c r="P240" t="s">
        <v>550</v>
      </c>
      <c r="Q240">
        <v>1</v>
      </c>
      <c r="W240">
        <v>0</v>
      </c>
      <c r="X240">
        <v>-1417349443</v>
      </c>
      <c r="Y240">
        <v>29.612499999999997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1</v>
      </c>
      <c r="AJ240">
        <v>1</v>
      </c>
      <c r="AK240">
        <v>34.75</v>
      </c>
      <c r="AL240">
        <v>1</v>
      </c>
      <c r="AN240">
        <v>0</v>
      </c>
      <c r="AO240">
        <v>1</v>
      </c>
      <c r="AP240">
        <v>1</v>
      </c>
      <c r="AQ240">
        <v>0</v>
      </c>
      <c r="AR240">
        <v>0</v>
      </c>
      <c r="AS240" t="s">
        <v>3</v>
      </c>
      <c r="AT240">
        <v>20.6</v>
      </c>
      <c r="AU240" t="s">
        <v>170</v>
      </c>
      <c r="AV240">
        <v>2</v>
      </c>
      <c r="AW240">
        <v>2</v>
      </c>
      <c r="AX240">
        <v>46468694</v>
      </c>
      <c r="AY240">
        <v>1</v>
      </c>
      <c r="AZ240">
        <v>0</v>
      </c>
      <c r="BA240">
        <v>227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Y240*Source!I377</f>
        <v>148.24017499999999</v>
      </c>
      <c r="CY240">
        <f>AD240</f>
        <v>0</v>
      </c>
      <c r="CZ240">
        <f>AH240</f>
        <v>0</v>
      </c>
      <c r="DA240">
        <f>AL240</f>
        <v>1</v>
      </c>
      <c r="DB240">
        <f t="shared" ref="DB240:DB245" si="47">ROUND(((ROUND(AT240*CZ240,2)*1.25)*1.15),6)</f>
        <v>0</v>
      </c>
      <c r="DC240">
        <f t="shared" ref="DC240:DC245" si="48">ROUND(((ROUND(AT240*AG240,2)*1.25)*1.15),6)</f>
        <v>0</v>
      </c>
    </row>
    <row r="241" spans="1:107" x14ac:dyDescent="0.2">
      <c r="A241">
        <f>ROW(Source!A377)</f>
        <v>377</v>
      </c>
      <c r="B241">
        <v>46416371</v>
      </c>
      <c r="C241">
        <v>46468692</v>
      </c>
      <c r="D241">
        <v>36881356</v>
      </c>
      <c r="E241">
        <v>1</v>
      </c>
      <c r="F241">
        <v>1</v>
      </c>
      <c r="G241">
        <v>1</v>
      </c>
      <c r="H241">
        <v>2</v>
      </c>
      <c r="I241" t="s">
        <v>597</v>
      </c>
      <c r="J241" t="s">
        <v>598</v>
      </c>
      <c r="K241" t="s">
        <v>599</v>
      </c>
      <c r="L241">
        <v>1368</v>
      </c>
      <c r="N241">
        <v>1011</v>
      </c>
      <c r="O241" t="s">
        <v>393</v>
      </c>
      <c r="P241" t="s">
        <v>393</v>
      </c>
      <c r="Q241">
        <v>1</v>
      </c>
      <c r="W241">
        <v>0</v>
      </c>
      <c r="X241">
        <v>-1071764843</v>
      </c>
      <c r="Y241">
        <v>3.7231249999999996</v>
      </c>
      <c r="AA241">
        <v>0</v>
      </c>
      <c r="AB241">
        <v>1056.3800000000001</v>
      </c>
      <c r="AC241">
        <v>469.13</v>
      </c>
      <c r="AD241">
        <v>0</v>
      </c>
      <c r="AE241">
        <v>0</v>
      </c>
      <c r="AF241">
        <v>79.069999999999993</v>
      </c>
      <c r="AG241">
        <v>13.5</v>
      </c>
      <c r="AH241">
        <v>0</v>
      </c>
      <c r="AI241">
        <v>1</v>
      </c>
      <c r="AJ241">
        <v>13.36</v>
      </c>
      <c r="AK241">
        <v>34.75</v>
      </c>
      <c r="AL241">
        <v>1</v>
      </c>
      <c r="AN241">
        <v>0</v>
      </c>
      <c r="AO241">
        <v>1</v>
      </c>
      <c r="AP241">
        <v>1</v>
      </c>
      <c r="AQ241">
        <v>0</v>
      </c>
      <c r="AR241">
        <v>0</v>
      </c>
      <c r="AS241" t="s">
        <v>3</v>
      </c>
      <c r="AT241">
        <v>2.59</v>
      </c>
      <c r="AU241" t="s">
        <v>170</v>
      </c>
      <c r="AV241">
        <v>0</v>
      </c>
      <c r="AW241">
        <v>2</v>
      </c>
      <c r="AX241">
        <v>46468695</v>
      </c>
      <c r="AY241">
        <v>1</v>
      </c>
      <c r="AZ241">
        <v>0</v>
      </c>
      <c r="BA241">
        <v>228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Y241*Source!I377</f>
        <v>18.637963749999997</v>
      </c>
      <c r="CY241">
        <f>AB241</f>
        <v>1056.3800000000001</v>
      </c>
      <c r="CZ241">
        <f>AF241</f>
        <v>79.069999999999993</v>
      </c>
      <c r="DA241">
        <f>AJ241</f>
        <v>13.36</v>
      </c>
      <c r="DB241">
        <f t="shared" si="47"/>
        <v>294.385625</v>
      </c>
      <c r="DC241">
        <f t="shared" si="48"/>
        <v>50.269374999999997</v>
      </c>
    </row>
    <row r="242" spans="1:107" x14ac:dyDescent="0.2">
      <c r="A242">
        <f>ROW(Source!A377)</f>
        <v>377</v>
      </c>
      <c r="B242">
        <v>46416371</v>
      </c>
      <c r="C242">
        <v>46468692</v>
      </c>
      <c r="D242">
        <v>36881380</v>
      </c>
      <c r="E242">
        <v>1</v>
      </c>
      <c r="F242">
        <v>1</v>
      </c>
      <c r="G242">
        <v>1</v>
      </c>
      <c r="H242">
        <v>2</v>
      </c>
      <c r="I242" t="s">
        <v>584</v>
      </c>
      <c r="J242" t="s">
        <v>585</v>
      </c>
      <c r="K242" t="s">
        <v>586</v>
      </c>
      <c r="L242">
        <v>1368</v>
      </c>
      <c r="N242">
        <v>1011</v>
      </c>
      <c r="O242" t="s">
        <v>393</v>
      </c>
      <c r="P242" t="s">
        <v>393</v>
      </c>
      <c r="Q242">
        <v>1</v>
      </c>
      <c r="W242">
        <v>0</v>
      </c>
      <c r="X242">
        <v>645023554</v>
      </c>
      <c r="Y242">
        <v>3.3062499999999999</v>
      </c>
      <c r="AA242">
        <v>0</v>
      </c>
      <c r="AB242">
        <v>1643.28</v>
      </c>
      <c r="AC242">
        <v>469.13</v>
      </c>
      <c r="AD242">
        <v>0</v>
      </c>
      <c r="AE242">
        <v>0</v>
      </c>
      <c r="AF242">
        <v>123</v>
      </c>
      <c r="AG242">
        <v>13.5</v>
      </c>
      <c r="AH242">
        <v>0</v>
      </c>
      <c r="AI242">
        <v>1</v>
      </c>
      <c r="AJ242">
        <v>13.36</v>
      </c>
      <c r="AK242">
        <v>34.75</v>
      </c>
      <c r="AL242">
        <v>1</v>
      </c>
      <c r="AN242">
        <v>0</v>
      </c>
      <c r="AO242">
        <v>1</v>
      </c>
      <c r="AP242">
        <v>1</v>
      </c>
      <c r="AQ242">
        <v>0</v>
      </c>
      <c r="AR242">
        <v>0</v>
      </c>
      <c r="AS242" t="s">
        <v>3</v>
      </c>
      <c r="AT242">
        <v>2.2999999999999998</v>
      </c>
      <c r="AU242" t="s">
        <v>170</v>
      </c>
      <c r="AV242">
        <v>0</v>
      </c>
      <c r="AW242">
        <v>2</v>
      </c>
      <c r="AX242">
        <v>46468696</v>
      </c>
      <c r="AY242">
        <v>1</v>
      </c>
      <c r="AZ242">
        <v>0</v>
      </c>
      <c r="BA242">
        <v>229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Y242*Source!I377</f>
        <v>16.551087500000001</v>
      </c>
      <c r="CY242">
        <f>AB242</f>
        <v>1643.28</v>
      </c>
      <c r="CZ242">
        <f>AF242</f>
        <v>123</v>
      </c>
      <c r="DA242">
        <f>AJ242</f>
        <v>13.36</v>
      </c>
      <c r="DB242">
        <f t="shared" si="47"/>
        <v>406.66874999999999</v>
      </c>
      <c r="DC242">
        <f t="shared" si="48"/>
        <v>44.634374999999999</v>
      </c>
    </row>
    <row r="243" spans="1:107" x14ac:dyDescent="0.2">
      <c r="A243">
        <f>ROW(Source!A377)</f>
        <v>377</v>
      </c>
      <c r="B243">
        <v>46416371</v>
      </c>
      <c r="C243">
        <v>46468692</v>
      </c>
      <c r="D243">
        <v>36882383</v>
      </c>
      <c r="E243">
        <v>1</v>
      </c>
      <c r="F243">
        <v>1</v>
      </c>
      <c r="G243">
        <v>1</v>
      </c>
      <c r="H243">
        <v>2</v>
      </c>
      <c r="I243" t="s">
        <v>555</v>
      </c>
      <c r="J243" t="s">
        <v>556</v>
      </c>
      <c r="K243" t="s">
        <v>557</v>
      </c>
      <c r="L243">
        <v>1368</v>
      </c>
      <c r="N243">
        <v>1011</v>
      </c>
      <c r="O243" t="s">
        <v>393</v>
      </c>
      <c r="P243" t="s">
        <v>393</v>
      </c>
      <c r="Q243">
        <v>1</v>
      </c>
      <c r="W243">
        <v>0</v>
      </c>
      <c r="X243">
        <v>1225731627</v>
      </c>
      <c r="Y243">
        <v>3.5362499999999999</v>
      </c>
      <c r="AA243">
        <v>0</v>
      </c>
      <c r="AB243">
        <v>1202.27</v>
      </c>
      <c r="AC243">
        <v>349.59</v>
      </c>
      <c r="AD243">
        <v>0</v>
      </c>
      <c r="AE243">
        <v>0</v>
      </c>
      <c r="AF243">
        <v>89.99</v>
      </c>
      <c r="AG243">
        <v>10.06</v>
      </c>
      <c r="AH243">
        <v>0</v>
      </c>
      <c r="AI243">
        <v>1</v>
      </c>
      <c r="AJ243">
        <v>13.36</v>
      </c>
      <c r="AK243">
        <v>34.75</v>
      </c>
      <c r="AL243">
        <v>1</v>
      </c>
      <c r="AN243">
        <v>0</v>
      </c>
      <c r="AO243">
        <v>1</v>
      </c>
      <c r="AP243">
        <v>1</v>
      </c>
      <c r="AQ243">
        <v>0</v>
      </c>
      <c r="AR243">
        <v>0</v>
      </c>
      <c r="AS243" t="s">
        <v>3</v>
      </c>
      <c r="AT243">
        <v>2.46</v>
      </c>
      <c r="AU243" t="s">
        <v>170</v>
      </c>
      <c r="AV243">
        <v>0</v>
      </c>
      <c r="AW243">
        <v>2</v>
      </c>
      <c r="AX243">
        <v>46468697</v>
      </c>
      <c r="AY243">
        <v>1</v>
      </c>
      <c r="AZ243">
        <v>0</v>
      </c>
      <c r="BA243">
        <v>230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Y243*Source!I377</f>
        <v>17.702467500000001</v>
      </c>
      <c r="CY243">
        <f>AB243</f>
        <v>1202.27</v>
      </c>
      <c r="CZ243">
        <f>AF243</f>
        <v>89.99</v>
      </c>
      <c r="DA243">
        <f>AJ243</f>
        <v>13.36</v>
      </c>
      <c r="DB243">
        <f t="shared" si="47"/>
        <v>318.23374999999999</v>
      </c>
      <c r="DC243">
        <f t="shared" si="48"/>
        <v>35.578125</v>
      </c>
    </row>
    <row r="244" spans="1:107" x14ac:dyDescent="0.2">
      <c r="A244">
        <f>ROW(Source!A377)</f>
        <v>377</v>
      </c>
      <c r="B244">
        <v>46416371</v>
      </c>
      <c r="C244">
        <v>46468692</v>
      </c>
      <c r="D244">
        <v>36882750</v>
      </c>
      <c r="E244">
        <v>1</v>
      </c>
      <c r="F244">
        <v>1</v>
      </c>
      <c r="G244">
        <v>1</v>
      </c>
      <c r="H244">
        <v>2</v>
      </c>
      <c r="I244" t="s">
        <v>587</v>
      </c>
      <c r="J244" t="s">
        <v>588</v>
      </c>
      <c r="K244" t="s">
        <v>589</v>
      </c>
      <c r="L244">
        <v>1368</v>
      </c>
      <c r="N244">
        <v>1011</v>
      </c>
      <c r="O244" t="s">
        <v>393</v>
      </c>
      <c r="P244" t="s">
        <v>393</v>
      </c>
      <c r="Q244">
        <v>1</v>
      </c>
      <c r="W244">
        <v>0</v>
      </c>
      <c r="X244">
        <v>1663826256</v>
      </c>
      <c r="Y244">
        <v>17.551874999999999</v>
      </c>
      <c r="AA244">
        <v>0</v>
      </c>
      <c r="AB244">
        <v>2752.29</v>
      </c>
      <c r="AC244">
        <v>500.4</v>
      </c>
      <c r="AD244">
        <v>0</v>
      </c>
      <c r="AE244">
        <v>0</v>
      </c>
      <c r="AF244">
        <v>206.01</v>
      </c>
      <c r="AG244">
        <v>14.4</v>
      </c>
      <c r="AH244">
        <v>0</v>
      </c>
      <c r="AI244">
        <v>1</v>
      </c>
      <c r="AJ244">
        <v>13.36</v>
      </c>
      <c r="AK244">
        <v>34.75</v>
      </c>
      <c r="AL244">
        <v>1</v>
      </c>
      <c r="AN244">
        <v>0</v>
      </c>
      <c r="AO244">
        <v>1</v>
      </c>
      <c r="AP244">
        <v>1</v>
      </c>
      <c r="AQ244">
        <v>0</v>
      </c>
      <c r="AR244">
        <v>0</v>
      </c>
      <c r="AS244" t="s">
        <v>3</v>
      </c>
      <c r="AT244">
        <v>12.21</v>
      </c>
      <c r="AU244" t="s">
        <v>170</v>
      </c>
      <c r="AV244">
        <v>0</v>
      </c>
      <c r="AW244">
        <v>2</v>
      </c>
      <c r="AX244">
        <v>46468698</v>
      </c>
      <c r="AY244">
        <v>1</v>
      </c>
      <c r="AZ244">
        <v>0</v>
      </c>
      <c r="BA244">
        <v>231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Y244*Source!I377</f>
        <v>87.864686250000005</v>
      </c>
      <c r="CY244">
        <f>AB244</f>
        <v>2752.29</v>
      </c>
      <c r="CZ244">
        <f>AF244</f>
        <v>206.01</v>
      </c>
      <c r="DA244">
        <f>AJ244</f>
        <v>13.36</v>
      </c>
      <c r="DB244">
        <f t="shared" si="47"/>
        <v>3615.8587499999999</v>
      </c>
      <c r="DC244">
        <f t="shared" si="48"/>
        <v>252.74125000000001</v>
      </c>
    </row>
    <row r="245" spans="1:107" x14ac:dyDescent="0.2">
      <c r="A245">
        <f>ROW(Source!A377)</f>
        <v>377</v>
      </c>
      <c r="B245">
        <v>46416371</v>
      </c>
      <c r="C245">
        <v>46468692</v>
      </c>
      <c r="D245">
        <v>36883483</v>
      </c>
      <c r="E245">
        <v>1</v>
      </c>
      <c r="F245">
        <v>1</v>
      </c>
      <c r="G245">
        <v>1</v>
      </c>
      <c r="H245">
        <v>2</v>
      </c>
      <c r="I245" t="s">
        <v>590</v>
      </c>
      <c r="J245" t="s">
        <v>591</v>
      </c>
      <c r="K245" t="s">
        <v>592</v>
      </c>
      <c r="L245">
        <v>1368</v>
      </c>
      <c r="N245">
        <v>1011</v>
      </c>
      <c r="O245" t="s">
        <v>393</v>
      </c>
      <c r="P245" t="s">
        <v>393</v>
      </c>
      <c r="Q245">
        <v>1</v>
      </c>
      <c r="W245">
        <v>0</v>
      </c>
      <c r="X245">
        <v>529073949</v>
      </c>
      <c r="Y245">
        <v>1.4949999999999999</v>
      </c>
      <c r="AA245">
        <v>0</v>
      </c>
      <c r="AB245">
        <v>1469.6</v>
      </c>
      <c r="AC245">
        <v>403.1</v>
      </c>
      <c r="AD245">
        <v>0</v>
      </c>
      <c r="AE245">
        <v>0</v>
      </c>
      <c r="AF245">
        <v>110</v>
      </c>
      <c r="AG245">
        <v>11.6</v>
      </c>
      <c r="AH245">
        <v>0</v>
      </c>
      <c r="AI245">
        <v>1</v>
      </c>
      <c r="AJ245">
        <v>13.36</v>
      </c>
      <c r="AK245">
        <v>34.75</v>
      </c>
      <c r="AL245">
        <v>1</v>
      </c>
      <c r="AN245">
        <v>0</v>
      </c>
      <c r="AO245">
        <v>1</v>
      </c>
      <c r="AP245">
        <v>1</v>
      </c>
      <c r="AQ245">
        <v>0</v>
      </c>
      <c r="AR245">
        <v>0</v>
      </c>
      <c r="AS245" t="s">
        <v>3</v>
      </c>
      <c r="AT245">
        <v>1.04</v>
      </c>
      <c r="AU245" t="s">
        <v>170</v>
      </c>
      <c r="AV245">
        <v>0</v>
      </c>
      <c r="AW245">
        <v>2</v>
      </c>
      <c r="AX245">
        <v>46468699</v>
      </c>
      <c r="AY245">
        <v>1</v>
      </c>
      <c r="AZ245">
        <v>0</v>
      </c>
      <c r="BA245">
        <v>232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Y245*Source!I377</f>
        <v>7.4839699999999993</v>
      </c>
      <c r="CY245">
        <f>AB245</f>
        <v>1469.6</v>
      </c>
      <c r="CZ245">
        <f>AF245</f>
        <v>110</v>
      </c>
      <c r="DA245">
        <f>AJ245</f>
        <v>13.36</v>
      </c>
      <c r="DB245">
        <f t="shared" si="47"/>
        <v>164.45</v>
      </c>
      <c r="DC245">
        <f t="shared" si="48"/>
        <v>17.33625</v>
      </c>
    </row>
    <row r="246" spans="1:107" x14ac:dyDescent="0.2">
      <c r="A246">
        <f>ROW(Source!A377)</f>
        <v>377</v>
      </c>
      <c r="B246">
        <v>46416371</v>
      </c>
      <c r="C246">
        <v>46468692</v>
      </c>
      <c r="D246">
        <v>36801792</v>
      </c>
      <c r="E246">
        <v>1</v>
      </c>
      <c r="F246">
        <v>1</v>
      </c>
      <c r="G246">
        <v>1</v>
      </c>
      <c r="H246">
        <v>3</v>
      </c>
      <c r="I246" t="s">
        <v>593</v>
      </c>
      <c r="J246" t="s">
        <v>594</v>
      </c>
      <c r="K246" t="s">
        <v>437</v>
      </c>
      <c r="L246">
        <v>1339</v>
      </c>
      <c r="N246">
        <v>1007</v>
      </c>
      <c r="O246" t="s">
        <v>139</v>
      </c>
      <c r="P246" t="s">
        <v>139</v>
      </c>
      <c r="Q246">
        <v>1</v>
      </c>
      <c r="W246">
        <v>0</v>
      </c>
      <c r="X246">
        <v>-1660354250</v>
      </c>
      <c r="Y246">
        <v>7</v>
      </c>
      <c r="AA246">
        <v>20.23</v>
      </c>
      <c r="AB246">
        <v>0</v>
      </c>
      <c r="AC246">
        <v>0</v>
      </c>
      <c r="AD246">
        <v>0</v>
      </c>
      <c r="AE246">
        <v>2.44</v>
      </c>
      <c r="AF246">
        <v>0</v>
      </c>
      <c r="AG246">
        <v>0</v>
      </c>
      <c r="AH246">
        <v>0</v>
      </c>
      <c r="AI246">
        <v>8.2899999999999991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3</v>
      </c>
      <c r="AT246">
        <v>7</v>
      </c>
      <c r="AU246" t="s">
        <v>3</v>
      </c>
      <c r="AV246">
        <v>0</v>
      </c>
      <c r="AW246">
        <v>2</v>
      </c>
      <c r="AX246">
        <v>46468700</v>
      </c>
      <c r="AY246">
        <v>1</v>
      </c>
      <c r="AZ246">
        <v>0</v>
      </c>
      <c r="BA246">
        <v>233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Y246*Source!I377</f>
        <v>35.042000000000002</v>
      </c>
      <c r="CY246">
        <f>AA246</f>
        <v>20.23</v>
      </c>
      <c r="CZ246">
        <f>AE246</f>
        <v>2.44</v>
      </c>
      <c r="DA246">
        <f>AI246</f>
        <v>8.2899999999999991</v>
      </c>
      <c r="DB246">
        <f>ROUND(ROUND(AT246*CZ246,2),6)</f>
        <v>17.079999999999998</v>
      </c>
      <c r="DC246">
        <f>ROUND(ROUND(AT246*AG246,2),6)</f>
        <v>0</v>
      </c>
    </row>
    <row r="247" spans="1:107" x14ac:dyDescent="0.2">
      <c r="A247">
        <f>ROW(Source!A377)</f>
        <v>377</v>
      </c>
      <c r="B247">
        <v>46416371</v>
      </c>
      <c r="C247">
        <v>46468692</v>
      </c>
      <c r="D247">
        <v>0</v>
      </c>
      <c r="E247">
        <v>1</v>
      </c>
      <c r="F247">
        <v>1</v>
      </c>
      <c r="G247">
        <v>1</v>
      </c>
      <c r="H247">
        <v>3</v>
      </c>
      <c r="I247" t="s">
        <v>145</v>
      </c>
      <c r="J247" t="s">
        <v>3</v>
      </c>
      <c r="K247" t="s">
        <v>276</v>
      </c>
      <c r="L247">
        <v>1339</v>
      </c>
      <c r="N247">
        <v>1007</v>
      </c>
      <c r="O247" t="s">
        <v>139</v>
      </c>
      <c r="P247" t="s">
        <v>139</v>
      </c>
      <c r="Q247">
        <v>1</v>
      </c>
      <c r="W247">
        <v>0</v>
      </c>
      <c r="X247">
        <v>-96577914</v>
      </c>
      <c r="Y247">
        <v>110</v>
      </c>
      <c r="AA247">
        <v>1583.33</v>
      </c>
      <c r="AB247">
        <v>0</v>
      </c>
      <c r="AC247">
        <v>0</v>
      </c>
      <c r="AD247">
        <v>0</v>
      </c>
      <c r="AE247">
        <v>1583.33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0</v>
      </c>
      <c r="AP247">
        <v>0</v>
      </c>
      <c r="AQ247">
        <v>0</v>
      </c>
      <c r="AR247">
        <v>0</v>
      </c>
      <c r="AS247" t="s">
        <v>3</v>
      </c>
      <c r="AT247">
        <v>110</v>
      </c>
      <c r="AU247" t="s">
        <v>3</v>
      </c>
      <c r="AV247">
        <v>0</v>
      </c>
      <c r="AW247">
        <v>1</v>
      </c>
      <c r="AX247">
        <v>-1</v>
      </c>
      <c r="AY247">
        <v>0</v>
      </c>
      <c r="AZ247">
        <v>0</v>
      </c>
      <c r="BA247" t="s">
        <v>3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Y247*Source!I377</f>
        <v>550.66000000000008</v>
      </c>
      <c r="CY247">
        <f>AA247</f>
        <v>1583.33</v>
      </c>
      <c r="CZ247">
        <f>AE247</f>
        <v>1583.33</v>
      </c>
      <c r="DA247">
        <f>AI247</f>
        <v>1</v>
      </c>
      <c r="DB247">
        <f>ROUND(ROUND(AT247*CZ247,2),6)</f>
        <v>174166.3</v>
      </c>
      <c r="DC247">
        <f>ROUND(ROUND(AT247*AG247,2),6)</f>
        <v>0</v>
      </c>
    </row>
    <row r="248" spans="1:107" x14ac:dyDescent="0.2">
      <c r="A248">
        <f>ROW(Source!A379)</f>
        <v>379</v>
      </c>
      <c r="B248">
        <v>46416371</v>
      </c>
      <c r="C248">
        <v>46468711</v>
      </c>
      <c r="D248">
        <v>121548</v>
      </c>
      <c r="E248">
        <v>1</v>
      </c>
      <c r="F248">
        <v>1</v>
      </c>
      <c r="G248">
        <v>1</v>
      </c>
      <c r="H248">
        <v>1</v>
      </c>
      <c r="I248" t="s">
        <v>26</v>
      </c>
      <c r="J248" t="s">
        <v>3</v>
      </c>
      <c r="K248" t="s">
        <v>388</v>
      </c>
      <c r="L248">
        <v>608254</v>
      </c>
      <c r="N248">
        <v>1013</v>
      </c>
      <c r="O248" t="s">
        <v>389</v>
      </c>
      <c r="P248" t="s">
        <v>389</v>
      </c>
      <c r="Q248">
        <v>1</v>
      </c>
      <c r="W248">
        <v>0</v>
      </c>
      <c r="X248">
        <v>-185737400</v>
      </c>
      <c r="Y248">
        <v>0.75900000000000001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34.75</v>
      </c>
      <c r="AL248">
        <v>1</v>
      </c>
      <c r="AN248">
        <v>0</v>
      </c>
      <c r="AO248">
        <v>1</v>
      </c>
      <c r="AP248">
        <v>1</v>
      </c>
      <c r="AQ248">
        <v>0</v>
      </c>
      <c r="AR248">
        <v>0</v>
      </c>
      <c r="AS248" t="s">
        <v>3</v>
      </c>
      <c r="AT248">
        <v>0.66</v>
      </c>
      <c r="AU248" t="s">
        <v>31</v>
      </c>
      <c r="AV248">
        <v>2</v>
      </c>
      <c r="AW248">
        <v>2</v>
      </c>
      <c r="AX248">
        <v>46468712</v>
      </c>
      <c r="AY248">
        <v>1</v>
      </c>
      <c r="AZ248">
        <v>0</v>
      </c>
      <c r="BA248">
        <v>235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Y248*Source!I379</f>
        <v>0.33395999999999998</v>
      </c>
      <c r="CY248">
        <f>AD248</f>
        <v>0</v>
      </c>
      <c r="CZ248">
        <f>AH248</f>
        <v>0</v>
      </c>
      <c r="DA248">
        <f>AL248</f>
        <v>1</v>
      </c>
      <c r="DB248">
        <f>ROUND((ROUND(AT248*CZ248,2)*1.15),6)</f>
        <v>0</v>
      </c>
      <c r="DC248">
        <f>ROUND((ROUND(AT248*AG248,2)*1.15),6)</f>
        <v>0</v>
      </c>
    </row>
    <row r="249" spans="1:107" x14ac:dyDescent="0.2">
      <c r="A249">
        <f>ROW(Source!A379)</f>
        <v>379</v>
      </c>
      <c r="B249">
        <v>46416371</v>
      </c>
      <c r="C249">
        <v>46468711</v>
      </c>
      <c r="D249">
        <v>42568363</v>
      </c>
      <c r="E249">
        <v>1</v>
      </c>
      <c r="F249">
        <v>1</v>
      </c>
      <c r="G249">
        <v>1</v>
      </c>
      <c r="H249">
        <v>2</v>
      </c>
      <c r="I249" t="s">
        <v>600</v>
      </c>
      <c r="J249" t="s">
        <v>601</v>
      </c>
      <c r="K249" t="s">
        <v>602</v>
      </c>
      <c r="L249">
        <v>1368</v>
      </c>
      <c r="N249">
        <v>1011</v>
      </c>
      <c r="O249" t="s">
        <v>393</v>
      </c>
      <c r="P249" t="s">
        <v>393</v>
      </c>
      <c r="Q249">
        <v>1</v>
      </c>
      <c r="W249">
        <v>0</v>
      </c>
      <c r="X249">
        <v>-2017990470</v>
      </c>
      <c r="Y249">
        <v>0.3795</v>
      </c>
      <c r="AA249">
        <v>0</v>
      </c>
      <c r="AB249">
        <v>1513.82</v>
      </c>
      <c r="AC249">
        <v>703.34</v>
      </c>
      <c r="AD249">
        <v>0</v>
      </c>
      <c r="AE249">
        <v>0</v>
      </c>
      <c r="AF249">
        <v>113.31</v>
      </c>
      <c r="AG249">
        <v>20.239999999999998</v>
      </c>
      <c r="AH249">
        <v>0</v>
      </c>
      <c r="AI249">
        <v>1</v>
      </c>
      <c r="AJ249">
        <v>13.36</v>
      </c>
      <c r="AK249">
        <v>34.75</v>
      </c>
      <c r="AL249">
        <v>1</v>
      </c>
      <c r="AN249">
        <v>0</v>
      </c>
      <c r="AO249">
        <v>1</v>
      </c>
      <c r="AP249">
        <v>1</v>
      </c>
      <c r="AQ249">
        <v>0</v>
      </c>
      <c r="AR249">
        <v>0</v>
      </c>
      <c r="AS249" t="s">
        <v>3</v>
      </c>
      <c r="AT249">
        <v>0.33</v>
      </c>
      <c r="AU249" t="s">
        <v>31</v>
      </c>
      <c r="AV249">
        <v>0</v>
      </c>
      <c r="AW249">
        <v>2</v>
      </c>
      <c r="AX249">
        <v>46468713</v>
      </c>
      <c r="AY249">
        <v>1</v>
      </c>
      <c r="AZ249">
        <v>0</v>
      </c>
      <c r="BA249">
        <v>236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Y249*Source!I379</f>
        <v>0.16697999999999999</v>
      </c>
      <c r="CY249">
        <f>AB249</f>
        <v>1513.82</v>
      </c>
      <c r="CZ249">
        <f>AF249</f>
        <v>113.31</v>
      </c>
      <c r="DA249">
        <f>AJ249</f>
        <v>13.36</v>
      </c>
      <c r="DB249">
        <f>ROUND((ROUND(AT249*CZ249,2)*1.15),6)</f>
        <v>42.9985</v>
      </c>
      <c r="DC249">
        <f>ROUND((ROUND(AT249*AG249,2)*1.15),6)</f>
        <v>7.6820000000000004</v>
      </c>
    </row>
    <row r="250" spans="1:107" x14ac:dyDescent="0.2">
      <c r="A250">
        <f>ROW(Source!A379)</f>
        <v>379</v>
      </c>
      <c r="B250">
        <v>46416371</v>
      </c>
      <c r="C250">
        <v>46468711</v>
      </c>
      <c r="D250">
        <v>42594037</v>
      </c>
      <c r="E250">
        <v>1</v>
      </c>
      <c r="F250">
        <v>1</v>
      </c>
      <c r="G250">
        <v>1</v>
      </c>
      <c r="H250">
        <v>3</v>
      </c>
      <c r="I250" t="s">
        <v>603</v>
      </c>
      <c r="J250" t="s">
        <v>604</v>
      </c>
      <c r="K250" t="s">
        <v>605</v>
      </c>
      <c r="L250">
        <v>1348</v>
      </c>
      <c r="N250">
        <v>1009</v>
      </c>
      <c r="O250" t="s">
        <v>184</v>
      </c>
      <c r="P250" t="s">
        <v>184</v>
      </c>
      <c r="Q250">
        <v>1000</v>
      </c>
      <c r="W250">
        <v>0</v>
      </c>
      <c r="X250">
        <v>-967137777</v>
      </c>
      <c r="Y250">
        <v>1.03</v>
      </c>
      <c r="AA250">
        <v>12824.13</v>
      </c>
      <c r="AB250">
        <v>0</v>
      </c>
      <c r="AC250">
        <v>0</v>
      </c>
      <c r="AD250">
        <v>0</v>
      </c>
      <c r="AE250">
        <v>1546.94</v>
      </c>
      <c r="AF250">
        <v>0</v>
      </c>
      <c r="AG250">
        <v>0</v>
      </c>
      <c r="AH250">
        <v>0</v>
      </c>
      <c r="AI250">
        <v>8.2899999999999991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3</v>
      </c>
      <c r="AT250">
        <v>1.03</v>
      </c>
      <c r="AU250" t="s">
        <v>3</v>
      </c>
      <c r="AV250">
        <v>0</v>
      </c>
      <c r="AW250">
        <v>2</v>
      </c>
      <c r="AX250">
        <v>46468714</v>
      </c>
      <c r="AY250">
        <v>1</v>
      </c>
      <c r="AZ250">
        <v>0</v>
      </c>
      <c r="BA250">
        <v>237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Y250*Source!I379</f>
        <v>0.45319999999999999</v>
      </c>
      <c r="CY250">
        <f>AA250</f>
        <v>12824.13</v>
      </c>
      <c r="CZ250">
        <f>AE250</f>
        <v>1546.94</v>
      </c>
      <c r="DA250">
        <f>AI250</f>
        <v>8.2899999999999991</v>
      </c>
      <c r="DB250">
        <f>ROUND(ROUND(AT250*CZ250,2),6)</f>
        <v>1593.35</v>
      </c>
      <c r="DC250">
        <f>ROUND(ROUND(AT250*AG250,2),6)</f>
        <v>0</v>
      </c>
    </row>
    <row r="251" spans="1:107" x14ac:dyDescent="0.2">
      <c r="A251">
        <f>ROW(Source!A380)</f>
        <v>380</v>
      </c>
      <c r="B251">
        <v>46416371</v>
      </c>
      <c r="C251">
        <v>46468715</v>
      </c>
      <c r="D251">
        <v>42646086</v>
      </c>
      <c r="E251">
        <v>1</v>
      </c>
      <c r="F251">
        <v>1</v>
      </c>
      <c r="G251">
        <v>1</v>
      </c>
      <c r="H251">
        <v>1</v>
      </c>
      <c r="I251" t="s">
        <v>440</v>
      </c>
      <c r="J251" t="s">
        <v>3</v>
      </c>
      <c r="K251" t="s">
        <v>441</v>
      </c>
      <c r="L251">
        <v>1369</v>
      </c>
      <c r="N251">
        <v>1013</v>
      </c>
      <c r="O251" t="s">
        <v>387</v>
      </c>
      <c r="P251" t="s">
        <v>387</v>
      </c>
      <c r="Q251">
        <v>1</v>
      </c>
      <c r="W251">
        <v>0</v>
      </c>
      <c r="X251">
        <v>-1538712529</v>
      </c>
      <c r="Y251">
        <v>23.988999999999997</v>
      </c>
      <c r="AA251">
        <v>0</v>
      </c>
      <c r="AB251">
        <v>0</v>
      </c>
      <c r="AC251">
        <v>0</v>
      </c>
      <c r="AD251">
        <v>283.91000000000003</v>
      </c>
      <c r="AE251">
        <v>0</v>
      </c>
      <c r="AF251">
        <v>0</v>
      </c>
      <c r="AG251">
        <v>0</v>
      </c>
      <c r="AH251">
        <v>8.17</v>
      </c>
      <c r="AI251">
        <v>1</v>
      </c>
      <c r="AJ251">
        <v>1</v>
      </c>
      <c r="AK251">
        <v>1</v>
      </c>
      <c r="AL251">
        <v>34.75</v>
      </c>
      <c r="AN251">
        <v>0</v>
      </c>
      <c r="AO251">
        <v>1</v>
      </c>
      <c r="AP251">
        <v>1</v>
      </c>
      <c r="AQ251">
        <v>0</v>
      </c>
      <c r="AR251">
        <v>0</v>
      </c>
      <c r="AS251" t="s">
        <v>3</v>
      </c>
      <c r="AT251">
        <v>20.86</v>
      </c>
      <c r="AU251" t="s">
        <v>31</v>
      </c>
      <c r="AV251">
        <v>1</v>
      </c>
      <c r="AW251">
        <v>2</v>
      </c>
      <c r="AX251">
        <v>46468716</v>
      </c>
      <c r="AY251">
        <v>1</v>
      </c>
      <c r="AZ251">
        <v>0</v>
      </c>
      <c r="BA251">
        <v>238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Y251*Source!I380</f>
        <v>43.468067999999995</v>
      </c>
      <c r="CY251">
        <f>AD251</f>
        <v>283.91000000000003</v>
      </c>
      <c r="CZ251">
        <f>AH251</f>
        <v>8.17</v>
      </c>
      <c r="DA251">
        <f>AL251</f>
        <v>34.75</v>
      </c>
      <c r="DB251">
        <f>ROUND((ROUND(AT251*CZ251,2)*1.15),6)</f>
        <v>195.99449999999999</v>
      </c>
      <c r="DC251">
        <f>ROUND((ROUND(AT251*AG251,2)*1.15),6)</f>
        <v>0</v>
      </c>
    </row>
    <row r="252" spans="1:107" x14ac:dyDescent="0.2">
      <c r="A252">
        <f>ROW(Source!A380)</f>
        <v>380</v>
      </c>
      <c r="B252">
        <v>46416371</v>
      </c>
      <c r="C252">
        <v>46468715</v>
      </c>
      <c r="D252">
        <v>121548</v>
      </c>
      <c r="E252">
        <v>1</v>
      </c>
      <c r="F252">
        <v>1</v>
      </c>
      <c r="G252">
        <v>1</v>
      </c>
      <c r="H252">
        <v>1</v>
      </c>
      <c r="I252" t="s">
        <v>26</v>
      </c>
      <c r="J252" t="s">
        <v>3</v>
      </c>
      <c r="K252" t="s">
        <v>388</v>
      </c>
      <c r="L252">
        <v>608254</v>
      </c>
      <c r="N252">
        <v>1013</v>
      </c>
      <c r="O252" t="s">
        <v>389</v>
      </c>
      <c r="P252" t="s">
        <v>389</v>
      </c>
      <c r="Q252">
        <v>1</v>
      </c>
      <c r="W252">
        <v>0</v>
      </c>
      <c r="X252">
        <v>-185737400</v>
      </c>
      <c r="Y252">
        <v>64.342500000000001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34.75</v>
      </c>
      <c r="AL252">
        <v>1</v>
      </c>
      <c r="AN252">
        <v>0</v>
      </c>
      <c r="AO252">
        <v>1</v>
      </c>
      <c r="AP252">
        <v>1</v>
      </c>
      <c r="AQ252">
        <v>0</v>
      </c>
      <c r="AR252">
        <v>0</v>
      </c>
      <c r="AS252" t="s">
        <v>3</v>
      </c>
      <c r="AT252">
        <v>18.649999999999999</v>
      </c>
      <c r="AU252" t="s">
        <v>286</v>
      </c>
      <c r="AV252">
        <v>2</v>
      </c>
      <c r="AW252">
        <v>2</v>
      </c>
      <c r="AX252">
        <v>46468717</v>
      </c>
      <c r="AY252">
        <v>1</v>
      </c>
      <c r="AZ252">
        <v>0</v>
      </c>
      <c r="BA252">
        <v>239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Y252*Source!I380</f>
        <v>116.58861</v>
      </c>
      <c r="CY252">
        <f>AD252</f>
        <v>0</v>
      </c>
      <c r="CZ252">
        <f>AH252</f>
        <v>0</v>
      </c>
      <c r="DA252">
        <f>AL252</f>
        <v>1</v>
      </c>
      <c r="DB252">
        <f t="shared" ref="DB252:DB266" si="49">ROUND((ROUND(AT252*CZ252,2)*1.15*3),6)</f>
        <v>0</v>
      </c>
      <c r="DC252">
        <f t="shared" ref="DC252:DC266" si="50">ROUND((ROUND(AT252*AG252,2)*1.15*3),6)</f>
        <v>0</v>
      </c>
    </row>
    <row r="253" spans="1:107" x14ac:dyDescent="0.2">
      <c r="A253">
        <f>ROW(Source!A380)</f>
        <v>380</v>
      </c>
      <c r="B253">
        <v>46416371</v>
      </c>
      <c r="C253">
        <v>46468715</v>
      </c>
      <c r="D253">
        <v>42567318</v>
      </c>
      <c r="E253">
        <v>1</v>
      </c>
      <c r="F253">
        <v>1</v>
      </c>
      <c r="G253">
        <v>1</v>
      </c>
      <c r="H253">
        <v>2</v>
      </c>
      <c r="I253" t="s">
        <v>432</v>
      </c>
      <c r="J253" t="s">
        <v>433</v>
      </c>
      <c r="K253" t="s">
        <v>434</v>
      </c>
      <c r="L253">
        <v>1368</v>
      </c>
      <c r="N253">
        <v>1011</v>
      </c>
      <c r="O253" t="s">
        <v>393</v>
      </c>
      <c r="P253" t="s">
        <v>393</v>
      </c>
      <c r="Q253">
        <v>1</v>
      </c>
      <c r="W253">
        <v>0</v>
      </c>
      <c r="X253">
        <v>-197763218</v>
      </c>
      <c r="Y253">
        <v>1.8975</v>
      </c>
      <c r="AA253">
        <v>0</v>
      </c>
      <c r="AB253">
        <v>1187.3</v>
      </c>
      <c r="AC253">
        <v>326.64999999999998</v>
      </c>
      <c r="AD253">
        <v>0</v>
      </c>
      <c r="AE253">
        <v>0</v>
      </c>
      <c r="AF253">
        <v>88.87</v>
      </c>
      <c r="AG253">
        <v>9.4</v>
      </c>
      <c r="AH253">
        <v>0</v>
      </c>
      <c r="AI253">
        <v>1</v>
      </c>
      <c r="AJ253">
        <v>13.36</v>
      </c>
      <c r="AK253">
        <v>34.75</v>
      </c>
      <c r="AL253">
        <v>1</v>
      </c>
      <c r="AN253">
        <v>0</v>
      </c>
      <c r="AO253">
        <v>1</v>
      </c>
      <c r="AP253">
        <v>1</v>
      </c>
      <c r="AQ253">
        <v>0</v>
      </c>
      <c r="AR253">
        <v>0</v>
      </c>
      <c r="AS253" t="s">
        <v>3</v>
      </c>
      <c r="AT253">
        <v>0.55000000000000004</v>
      </c>
      <c r="AU253" t="s">
        <v>286</v>
      </c>
      <c r="AV253">
        <v>0</v>
      </c>
      <c r="AW253">
        <v>2</v>
      </c>
      <c r="AX253">
        <v>46468718</v>
      </c>
      <c r="AY253">
        <v>1</v>
      </c>
      <c r="AZ253">
        <v>0</v>
      </c>
      <c r="BA253">
        <v>240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Y253*Source!I380</f>
        <v>3.4382700000000002</v>
      </c>
      <c r="CY253">
        <f t="shared" ref="CY253:CY266" si="51">AB253</f>
        <v>1187.3</v>
      </c>
      <c r="CZ253">
        <f t="shared" ref="CZ253:CZ266" si="52">AF253</f>
        <v>88.87</v>
      </c>
      <c r="DA253">
        <f t="shared" ref="DA253:DA266" si="53">AJ253</f>
        <v>13.36</v>
      </c>
      <c r="DB253">
        <f t="shared" si="49"/>
        <v>168.636</v>
      </c>
      <c r="DC253">
        <f t="shared" si="50"/>
        <v>17.836500000000001</v>
      </c>
    </row>
    <row r="254" spans="1:107" x14ac:dyDescent="0.2">
      <c r="A254">
        <f>ROW(Source!A380)</f>
        <v>380</v>
      </c>
      <c r="B254">
        <v>46416371</v>
      </c>
      <c r="C254">
        <v>46468715</v>
      </c>
      <c r="D254">
        <v>42567359</v>
      </c>
      <c r="E254">
        <v>1</v>
      </c>
      <c r="F254">
        <v>1</v>
      </c>
      <c r="G254">
        <v>1</v>
      </c>
      <c r="H254">
        <v>2</v>
      </c>
      <c r="I254" t="s">
        <v>606</v>
      </c>
      <c r="J254" t="s">
        <v>607</v>
      </c>
      <c r="K254" t="s">
        <v>608</v>
      </c>
      <c r="L254">
        <v>1368</v>
      </c>
      <c r="N254">
        <v>1011</v>
      </c>
      <c r="O254" t="s">
        <v>393</v>
      </c>
      <c r="P254" t="s">
        <v>393</v>
      </c>
      <c r="Q254">
        <v>1</v>
      </c>
      <c r="W254">
        <v>0</v>
      </c>
      <c r="X254">
        <v>-996458896</v>
      </c>
      <c r="Y254">
        <v>8.4179999999999993</v>
      </c>
      <c r="AA254">
        <v>0</v>
      </c>
      <c r="AB254">
        <v>14.03</v>
      </c>
      <c r="AC254">
        <v>0</v>
      </c>
      <c r="AD254">
        <v>0</v>
      </c>
      <c r="AE254">
        <v>0</v>
      </c>
      <c r="AF254">
        <v>1.05</v>
      </c>
      <c r="AG254">
        <v>0</v>
      </c>
      <c r="AH254">
        <v>0</v>
      </c>
      <c r="AI254">
        <v>1</v>
      </c>
      <c r="AJ254">
        <v>13.36</v>
      </c>
      <c r="AK254">
        <v>34.75</v>
      </c>
      <c r="AL254">
        <v>1</v>
      </c>
      <c r="AN254">
        <v>0</v>
      </c>
      <c r="AO254">
        <v>1</v>
      </c>
      <c r="AP254">
        <v>1</v>
      </c>
      <c r="AQ254">
        <v>0</v>
      </c>
      <c r="AR254">
        <v>0</v>
      </c>
      <c r="AS254" t="s">
        <v>3</v>
      </c>
      <c r="AT254">
        <v>2.44</v>
      </c>
      <c r="AU254" t="s">
        <v>286</v>
      </c>
      <c r="AV254">
        <v>0</v>
      </c>
      <c r="AW254">
        <v>2</v>
      </c>
      <c r="AX254">
        <v>46468719</v>
      </c>
      <c r="AY254">
        <v>1</v>
      </c>
      <c r="AZ254">
        <v>0</v>
      </c>
      <c r="BA254">
        <v>241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Y254*Source!I380</f>
        <v>15.253416</v>
      </c>
      <c r="CY254">
        <f t="shared" si="51"/>
        <v>14.03</v>
      </c>
      <c r="CZ254">
        <f t="shared" si="52"/>
        <v>1.05</v>
      </c>
      <c r="DA254">
        <f t="shared" si="53"/>
        <v>13.36</v>
      </c>
      <c r="DB254">
        <f t="shared" si="49"/>
        <v>8.8320000000000007</v>
      </c>
      <c r="DC254">
        <f t="shared" si="50"/>
        <v>0</v>
      </c>
    </row>
    <row r="255" spans="1:107" x14ac:dyDescent="0.2">
      <c r="A255">
        <f>ROW(Source!A380)</f>
        <v>380</v>
      </c>
      <c r="B255">
        <v>46416371</v>
      </c>
      <c r="C255">
        <v>46468715</v>
      </c>
      <c r="D255">
        <v>42568433</v>
      </c>
      <c r="E255">
        <v>1</v>
      </c>
      <c r="F255">
        <v>1</v>
      </c>
      <c r="G255">
        <v>1</v>
      </c>
      <c r="H255">
        <v>2</v>
      </c>
      <c r="I255" t="s">
        <v>609</v>
      </c>
      <c r="J255" t="s">
        <v>610</v>
      </c>
      <c r="K255" t="s">
        <v>611</v>
      </c>
      <c r="L255">
        <v>1368</v>
      </c>
      <c r="N255">
        <v>1011</v>
      </c>
      <c r="O255" t="s">
        <v>393</v>
      </c>
      <c r="P255" t="s">
        <v>393</v>
      </c>
      <c r="Q255">
        <v>1</v>
      </c>
      <c r="W255">
        <v>0</v>
      </c>
      <c r="X255">
        <v>278313882</v>
      </c>
      <c r="Y255">
        <v>3.3464999999999998</v>
      </c>
      <c r="AA255">
        <v>0</v>
      </c>
      <c r="AB255">
        <v>2611.75</v>
      </c>
      <c r="AC255">
        <v>438.55</v>
      </c>
      <c r="AD255">
        <v>0</v>
      </c>
      <c r="AE255">
        <v>0</v>
      </c>
      <c r="AF255">
        <v>195.49</v>
      </c>
      <c r="AG255">
        <v>12.62</v>
      </c>
      <c r="AH255">
        <v>0</v>
      </c>
      <c r="AI255">
        <v>1</v>
      </c>
      <c r="AJ255">
        <v>13.36</v>
      </c>
      <c r="AK255">
        <v>34.75</v>
      </c>
      <c r="AL255">
        <v>1</v>
      </c>
      <c r="AN255">
        <v>0</v>
      </c>
      <c r="AO255">
        <v>1</v>
      </c>
      <c r="AP255">
        <v>1</v>
      </c>
      <c r="AQ255">
        <v>0</v>
      </c>
      <c r="AR255">
        <v>0</v>
      </c>
      <c r="AS255" t="s">
        <v>3</v>
      </c>
      <c r="AT255">
        <v>0.97</v>
      </c>
      <c r="AU255" t="s">
        <v>286</v>
      </c>
      <c r="AV255">
        <v>0</v>
      </c>
      <c r="AW255">
        <v>2</v>
      </c>
      <c r="AX255">
        <v>46468720</v>
      </c>
      <c r="AY255">
        <v>1</v>
      </c>
      <c r="AZ255">
        <v>0</v>
      </c>
      <c r="BA255">
        <v>242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Y255*Source!I380</f>
        <v>6.0638579999999997</v>
      </c>
      <c r="CY255">
        <f t="shared" si="51"/>
        <v>2611.75</v>
      </c>
      <c r="CZ255">
        <f t="shared" si="52"/>
        <v>195.49</v>
      </c>
      <c r="DA255">
        <f t="shared" si="53"/>
        <v>13.36</v>
      </c>
      <c r="DB255">
        <f t="shared" si="49"/>
        <v>654.22349999999994</v>
      </c>
      <c r="DC255">
        <f t="shared" si="50"/>
        <v>42.228000000000002</v>
      </c>
    </row>
    <row r="256" spans="1:107" x14ac:dyDescent="0.2">
      <c r="A256">
        <f>ROW(Source!A380)</f>
        <v>380</v>
      </c>
      <c r="B256">
        <v>46416371</v>
      </c>
      <c r="C256">
        <v>46468715</v>
      </c>
      <c r="D256">
        <v>42568519</v>
      </c>
      <c r="E256">
        <v>1</v>
      </c>
      <c r="F256">
        <v>1</v>
      </c>
      <c r="G256">
        <v>1</v>
      </c>
      <c r="H256">
        <v>2</v>
      </c>
      <c r="I256" t="s">
        <v>612</v>
      </c>
      <c r="J256" t="s">
        <v>613</v>
      </c>
      <c r="K256" t="s">
        <v>614</v>
      </c>
      <c r="L256">
        <v>1368</v>
      </c>
      <c r="N256">
        <v>1011</v>
      </c>
      <c r="O256" t="s">
        <v>393</v>
      </c>
      <c r="P256" t="s">
        <v>393</v>
      </c>
      <c r="Q256">
        <v>1</v>
      </c>
      <c r="W256">
        <v>0</v>
      </c>
      <c r="X256">
        <v>-572200738</v>
      </c>
      <c r="Y256">
        <v>7.0379999999999985</v>
      </c>
      <c r="AA256">
        <v>0</v>
      </c>
      <c r="AB256">
        <v>19967.86</v>
      </c>
      <c r="AC256">
        <v>467.74</v>
      </c>
      <c r="AD256">
        <v>0</v>
      </c>
      <c r="AE256">
        <v>0</v>
      </c>
      <c r="AF256">
        <v>1494.6</v>
      </c>
      <c r="AG256">
        <v>13.46</v>
      </c>
      <c r="AH256">
        <v>0</v>
      </c>
      <c r="AI256">
        <v>1</v>
      </c>
      <c r="AJ256">
        <v>13.36</v>
      </c>
      <c r="AK256">
        <v>34.75</v>
      </c>
      <c r="AL256">
        <v>1</v>
      </c>
      <c r="AN256">
        <v>0</v>
      </c>
      <c r="AO256">
        <v>1</v>
      </c>
      <c r="AP256">
        <v>1</v>
      </c>
      <c r="AQ256">
        <v>0</v>
      </c>
      <c r="AR256">
        <v>0</v>
      </c>
      <c r="AS256" t="s">
        <v>3</v>
      </c>
      <c r="AT256">
        <v>2.04</v>
      </c>
      <c r="AU256" t="s">
        <v>286</v>
      </c>
      <c r="AV256">
        <v>0</v>
      </c>
      <c r="AW256">
        <v>2</v>
      </c>
      <c r="AX256">
        <v>46468721</v>
      </c>
      <c r="AY256">
        <v>1</v>
      </c>
      <c r="AZ256">
        <v>0</v>
      </c>
      <c r="BA256">
        <v>243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Y256*Source!I380</f>
        <v>12.752855999999998</v>
      </c>
      <c r="CY256">
        <f t="shared" si="51"/>
        <v>19967.86</v>
      </c>
      <c r="CZ256">
        <f t="shared" si="52"/>
        <v>1494.6</v>
      </c>
      <c r="DA256">
        <f t="shared" si="53"/>
        <v>13.36</v>
      </c>
      <c r="DB256">
        <f t="shared" si="49"/>
        <v>10518.981</v>
      </c>
      <c r="DC256">
        <f t="shared" si="50"/>
        <v>94.736999999999995</v>
      </c>
    </row>
    <row r="257" spans="1:107" x14ac:dyDescent="0.2">
      <c r="A257">
        <f>ROW(Source!A380)</f>
        <v>380</v>
      </c>
      <c r="B257">
        <v>46416371</v>
      </c>
      <c r="C257">
        <v>46468715</v>
      </c>
      <c r="D257">
        <v>42568531</v>
      </c>
      <c r="E257">
        <v>1</v>
      </c>
      <c r="F257">
        <v>1</v>
      </c>
      <c r="G257">
        <v>1</v>
      </c>
      <c r="H257">
        <v>2</v>
      </c>
      <c r="I257" t="s">
        <v>615</v>
      </c>
      <c r="J257" t="s">
        <v>616</v>
      </c>
      <c r="K257" t="s">
        <v>592</v>
      </c>
      <c r="L257">
        <v>1368</v>
      </c>
      <c r="N257">
        <v>1011</v>
      </c>
      <c r="O257" t="s">
        <v>393</v>
      </c>
      <c r="P257" t="s">
        <v>393</v>
      </c>
      <c r="Q257">
        <v>1</v>
      </c>
      <c r="W257">
        <v>0</v>
      </c>
      <c r="X257">
        <v>-637576487</v>
      </c>
      <c r="Y257">
        <v>10.695</v>
      </c>
      <c r="AA257">
        <v>0</v>
      </c>
      <c r="AB257">
        <v>1457.04</v>
      </c>
      <c r="AC257">
        <v>376.69</v>
      </c>
      <c r="AD257">
        <v>0</v>
      </c>
      <c r="AE257">
        <v>0</v>
      </c>
      <c r="AF257">
        <v>109.06</v>
      </c>
      <c r="AG257">
        <v>10.84</v>
      </c>
      <c r="AH257">
        <v>0</v>
      </c>
      <c r="AI257">
        <v>1</v>
      </c>
      <c r="AJ257">
        <v>13.36</v>
      </c>
      <c r="AK257">
        <v>34.75</v>
      </c>
      <c r="AL257">
        <v>1</v>
      </c>
      <c r="AN257">
        <v>0</v>
      </c>
      <c r="AO257">
        <v>1</v>
      </c>
      <c r="AP257">
        <v>1</v>
      </c>
      <c r="AQ257">
        <v>0</v>
      </c>
      <c r="AR257">
        <v>0</v>
      </c>
      <c r="AS257" t="s">
        <v>3</v>
      </c>
      <c r="AT257">
        <v>3.1</v>
      </c>
      <c r="AU257" t="s">
        <v>286</v>
      </c>
      <c r="AV257">
        <v>0</v>
      </c>
      <c r="AW257">
        <v>2</v>
      </c>
      <c r="AX257">
        <v>46468722</v>
      </c>
      <c r="AY257">
        <v>1</v>
      </c>
      <c r="AZ257">
        <v>0</v>
      </c>
      <c r="BA257">
        <v>244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Y257*Source!I380</f>
        <v>19.379340000000003</v>
      </c>
      <c r="CY257">
        <f t="shared" si="51"/>
        <v>1457.04</v>
      </c>
      <c r="CZ257">
        <f t="shared" si="52"/>
        <v>109.06</v>
      </c>
      <c r="DA257">
        <f t="shared" si="53"/>
        <v>13.36</v>
      </c>
      <c r="DB257">
        <f t="shared" si="49"/>
        <v>1166.4105</v>
      </c>
      <c r="DC257">
        <f t="shared" si="50"/>
        <v>115.92</v>
      </c>
    </row>
    <row r="258" spans="1:107" x14ac:dyDescent="0.2">
      <c r="A258">
        <f>ROW(Source!A380)</f>
        <v>380</v>
      </c>
      <c r="B258">
        <v>46416371</v>
      </c>
      <c r="C258">
        <v>46468715</v>
      </c>
      <c r="D258">
        <v>42570318</v>
      </c>
      <c r="E258">
        <v>1</v>
      </c>
      <c r="F258">
        <v>1</v>
      </c>
      <c r="G258">
        <v>1</v>
      </c>
      <c r="H258">
        <v>2</v>
      </c>
      <c r="I258" t="s">
        <v>397</v>
      </c>
      <c r="J258" t="s">
        <v>398</v>
      </c>
      <c r="K258" t="s">
        <v>399</v>
      </c>
      <c r="L258">
        <v>1368</v>
      </c>
      <c r="N258">
        <v>1011</v>
      </c>
      <c r="O258" t="s">
        <v>393</v>
      </c>
      <c r="P258" t="s">
        <v>393</v>
      </c>
      <c r="Q258">
        <v>1</v>
      </c>
      <c r="W258">
        <v>0</v>
      </c>
      <c r="X258">
        <v>1513431240</v>
      </c>
      <c r="Y258">
        <v>3.9674999999999994</v>
      </c>
      <c r="AA258">
        <v>0</v>
      </c>
      <c r="AB258">
        <v>20.440000000000001</v>
      </c>
      <c r="AC258">
        <v>0</v>
      </c>
      <c r="AD258">
        <v>0</v>
      </c>
      <c r="AE258">
        <v>0</v>
      </c>
      <c r="AF258">
        <v>1.53</v>
      </c>
      <c r="AG258">
        <v>0</v>
      </c>
      <c r="AH258">
        <v>0</v>
      </c>
      <c r="AI258">
        <v>1</v>
      </c>
      <c r="AJ258">
        <v>13.36</v>
      </c>
      <c r="AK258">
        <v>34.75</v>
      </c>
      <c r="AL258">
        <v>1</v>
      </c>
      <c r="AN258">
        <v>0</v>
      </c>
      <c r="AO258">
        <v>1</v>
      </c>
      <c r="AP258">
        <v>1</v>
      </c>
      <c r="AQ258">
        <v>0</v>
      </c>
      <c r="AR258">
        <v>0</v>
      </c>
      <c r="AS258" t="s">
        <v>3</v>
      </c>
      <c r="AT258">
        <v>1.1499999999999999</v>
      </c>
      <c r="AU258" t="s">
        <v>286</v>
      </c>
      <c r="AV258">
        <v>0</v>
      </c>
      <c r="AW258">
        <v>2</v>
      </c>
      <c r="AX258">
        <v>46468723</v>
      </c>
      <c r="AY258">
        <v>1</v>
      </c>
      <c r="AZ258">
        <v>0</v>
      </c>
      <c r="BA258">
        <v>245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Y258*Source!I380</f>
        <v>7.1891099999999994</v>
      </c>
      <c r="CY258">
        <f t="shared" si="51"/>
        <v>20.440000000000001</v>
      </c>
      <c r="CZ258">
        <f t="shared" si="52"/>
        <v>1.53</v>
      </c>
      <c r="DA258">
        <f t="shared" si="53"/>
        <v>13.36</v>
      </c>
      <c r="DB258">
        <f t="shared" si="49"/>
        <v>6.0720000000000001</v>
      </c>
      <c r="DC258">
        <f t="shared" si="50"/>
        <v>0</v>
      </c>
    </row>
    <row r="259" spans="1:107" x14ac:dyDescent="0.2">
      <c r="A259">
        <f>ROW(Source!A380)</f>
        <v>380</v>
      </c>
      <c r="B259">
        <v>46416371</v>
      </c>
      <c r="C259">
        <v>46468715</v>
      </c>
      <c r="D259">
        <v>42570663</v>
      </c>
      <c r="E259">
        <v>1</v>
      </c>
      <c r="F259">
        <v>1</v>
      </c>
      <c r="G259">
        <v>1</v>
      </c>
      <c r="H259">
        <v>2</v>
      </c>
      <c r="I259" t="s">
        <v>617</v>
      </c>
      <c r="J259" t="s">
        <v>618</v>
      </c>
      <c r="K259" t="s">
        <v>619</v>
      </c>
      <c r="L259">
        <v>1368</v>
      </c>
      <c r="N259">
        <v>1011</v>
      </c>
      <c r="O259" t="s">
        <v>393</v>
      </c>
      <c r="P259" t="s">
        <v>393</v>
      </c>
      <c r="Q259">
        <v>1</v>
      </c>
      <c r="W259">
        <v>0</v>
      </c>
      <c r="X259">
        <v>1358447430</v>
      </c>
      <c r="Y259">
        <v>7.0379999999999985</v>
      </c>
      <c r="AA259">
        <v>0</v>
      </c>
      <c r="AB259">
        <v>9436.0300000000007</v>
      </c>
      <c r="AC259">
        <v>534.11</v>
      </c>
      <c r="AD259">
        <v>0</v>
      </c>
      <c r="AE259">
        <v>0</v>
      </c>
      <c r="AF259">
        <v>706.29</v>
      </c>
      <c r="AG259">
        <v>15.37</v>
      </c>
      <c r="AH259">
        <v>0</v>
      </c>
      <c r="AI259">
        <v>1</v>
      </c>
      <c r="AJ259">
        <v>13.36</v>
      </c>
      <c r="AK259">
        <v>34.75</v>
      </c>
      <c r="AL259">
        <v>1</v>
      </c>
      <c r="AN259">
        <v>0</v>
      </c>
      <c r="AO259">
        <v>1</v>
      </c>
      <c r="AP259">
        <v>1</v>
      </c>
      <c r="AQ259">
        <v>0</v>
      </c>
      <c r="AR259">
        <v>0</v>
      </c>
      <c r="AS259" t="s">
        <v>3</v>
      </c>
      <c r="AT259">
        <v>2.04</v>
      </c>
      <c r="AU259" t="s">
        <v>286</v>
      </c>
      <c r="AV259">
        <v>0</v>
      </c>
      <c r="AW259">
        <v>2</v>
      </c>
      <c r="AX259">
        <v>46468724</v>
      </c>
      <c r="AY259">
        <v>1</v>
      </c>
      <c r="AZ259">
        <v>0</v>
      </c>
      <c r="BA259">
        <v>246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Y259*Source!I380</f>
        <v>12.752855999999998</v>
      </c>
      <c r="CY259">
        <f t="shared" si="51"/>
        <v>9436.0300000000007</v>
      </c>
      <c r="CZ259">
        <f t="shared" si="52"/>
        <v>706.29</v>
      </c>
      <c r="DA259">
        <f t="shared" si="53"/>
        <v>13.36</v>
      </c>
      <c r="DB259">
        <f t="shared" si="49"/>
        <v>4970.8635000000004</v>
      </c>
      <c r="DC259">
        <f t="shared" si="50"/>
        <v>108.1575</v>
      </c>
    </row>
    <row r="260" spans="1:107" x14ac:dyDescent="0.2">
      <c r="A260">
        <f>ROW(Source!A380)</f>
        <v>380</v>
      </c>
      <c r="B260">
        <v>46416371</v>
      </c>
      <c r="C260">
        <v>46468715</v>
      </c>
      <c r="D260">
        <v>42570664</v>
      </c>
      <c r="E260">
        <v>1</v>
      </c>
      <c r="F260">
        <v>1</v>
      </c>
      <c r="G260">
        <v>1</v>
      </c>
      <c r="H260">
        <v>2</v>
      </c>
      <c r="I260" t="s">
        <v>620</v>
      </c>
      <c r="J260" t="s">
        <v>621</v>
      </c>
      <c r="K260" t="s">
        <v>622</v>
      </c>
      <c r="L260">
        <v>1368</v>
      </c>
      <c r="N260">
        <v>1011</v>
      </c>
      <c r="O260" t="s">
        <v>393</v>
      </c>
      <c r="P260" t="s">
        <v>393</v>
      </c>
      <c r="Q260">
        <v>1</v>
      </c>
      <c r="W260">
        <v>0</v>
      </c>
      <c r="X260">
        <v>1067570249</v>
      </c>
      <c r="Y260">
        <v>7.0379999999999985</v>
      </c>
      <c r="AA260">
        <v>0</v>
      </c>
      <c r="AB260">
        <v>259.18</v>
      </c>
      <c r="AC260">
        <v>0</v>
      </c>
      <c r="AD260">
        <v>0</v>
      </c>
      <c r="AE260">
        <v>0</v>
      </c>
      <c r="AF260">
        <v>19.399999999999999</v>
      </c>
      <c r="AG260">
        <v>0</v>
      </c>
      <c r="AH260">
        <v>0</v>
      </c>
      <c r="AI260">
        <v>1</v>
      </c>
      <c r="AJ260">
        <v>13.36</v>
      </c>
      <c r="AK260">
        <v>34.75</v>
      </c>
      <c r="AL260">
        <v>1</v>
      </c>
      <c r="AN260">
        <v>0</v>
      </c>
      <c r="AO260">
        <v>1</v>
      </c>
      <c r="AP260">
        <v>1</v>
      </c>
      <c r="AQ260">
        <v>0</v>
      </c>
      <c r="AR260">
        <v>0</v>
      </c>
      <c r="AS260" t="s">
        <v>3</v>
      </c>
      <c r="AT260">
        <v>2.04</v>
      </c>
      <c r="AU260" t="s">
        <v>286</v>
      </c>
      <c r="AV260">
        <v>0</v>
      </c>
      <c r="AW260">
        <v>2</v>
      </c>
      <c r="AX260">
        <v>46468725</v>
      </c>
      <c r="AY260">
        <v>1</v>
      </c>
      <c r="AZ260">
        <v>0</v>
      </c>
      <c r="BA260">
        <v>247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Y260*Source!I380</f>
        <v>12.752855999999998</v>
      </c>
      <c r="CY260">
        <f t="shared" si="51"/>
        <v>259.18</v>
      </c>
      <c r="CZ260">
        <f t="shared" si="52"/>
        <v>19.399999999999999</v>
      </c>
      <c r="DA260">
        <f t="shared" si="53"/>
        <v>13.36</v>
      </c>
      <c r="DB260">
        <f t="shared" si="49"/>
        <v>136.55099999999999</v>
      </c>
      <c r="DC260">
        <f t="shared" si="50"/>
        <v>0</v>
      </c>
    </row>
    <row r="261" spans="1:107" x14ac:dyDescent="0.2">
      <c r="A261">
        <f>ROW(Source!A380)</f>
        <v>380</v>
      </c>
      <c r="B261">
        <v>46416371</v>
      </c>
      <c r="C261">
        <v>46468715</v>
      </c>
      <c r="D261">
        <v>42570665</v>
      </c>
      <c r="E261">
        <v>1</v>
      </c>
      <c r="F261">
        <v>1</v>
      </c>
      <c r="G261">
        <v>1</v>
      </c>
      <c r="H261">
        <v>2</v>
      </c>
      <c r="I261" t="s">
        <v>623</v>
      </c>
      <c r="J261" t="s">
        <v>624</v>
      </c>
      <c r="K261" t="s">
        <v>625</v>
      </c>
      <c r="L261">
        <v>1368</v>
      </c>
      <c r="N261">
        <v>1011</v>
      </c>
      <c r="O261" t="s">
        <v>393</v>
      </c>
      <c r="P261" t="s">
        <v>393</v>
      </c>
      <c r="Q261">
        <v>1</v>
      </c>
      <c r="W261">
        <v>0</v>
      </c>
      <c r="X261">
        <v>2059506934</v>
      </c>
      <c r="Y261">
        <v>5.2095000000000002</v>
      </c>
      <c r="AA261">
        <v>0</v>
      </c>
      <c r="AB261">
        <v>4006</v>
      </c>
      <c r="AC261">
        <v>438.55</v>
      </c>
      <c r="AD261">
        <v>0</v>
      </c>
      <c r="AE261">
        <v>0</v>
      </c>
      <c r="AF261">
        <v>299.85000000000002</v>
      </c>
      <c r="AG261">
        <v>12.62</v>
      </c>
      <c r="AH261">
        <v>0</v>
      </c>
      <c r="AI261">
        <v>1</v>
      </c>
      <c r="AJ261">
        <v>13.36</v>
      </c>
      <c r="AK261">
        <v>34.75</v>
      </c>
      <c r="AL261">
        <v>1</v>
      </c>
      <c r="AN261">
        <v>0</v>
      </c>
      <c r="AO261">
        <v>1</v>
      </c>
      <c r="AP261">
        <v>1</v>
      </c>
      <c r="AQ261">
        <v>0</v>
      </c>
      <c r="AR261">
        <v>0</v>
      </c>
      <c r="AS261" t="s">
        <v>3</v>
      </c>
      <c r="AT261">
        <v>1.51</v>
      </c>
      <c r="AU261" t="s">
        <v>286</v>
      </c>
      <c r="AV261">
        <v>0</v>
      </c>
      <c r="AW261">
        <v>2</v>
      </c>
      <c r="AX261">
        <v>46468726</v>
      </c>
      <c r="AY261">
        <v>1</v>
      </c>
      <c r="AZ261">
        <v>0</v>
      </c>
      <c r="BA261">
        <v>248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Y261*Source!I380</f>
        <v>9.4396140000000006</v>
      </c>
      <c r="CY261">
        <f t="shared" si="51"/>
        <v>4006</v>
      </c>
      <c r="CZ261">
        <f t="shared" si="52"/>
        <v>299.85000000000002</v>
      </c>
      <c r="DA261">
        <f t="shared" si="53"/>
        <v>13.36</v>
      </c>
      <c r="DB261">
        <f t="shared" si="49"/>
        <v>1562.0564999999999</v>
      </c>
      <c r="DC261">
        <f t="shared" si="50"/>
        <v>65.757000000000005</v>
      </c>
    </row>
    <row r="262" spans="1:107" x14ac:dyDescent="0.2">
      <c r="A262">
        <f>ROW(Source!A380)</f>
        <v>380</v>
      </c>
      <c r="B262">
        <v>46416371</v>
      </c>
      <c r="C262">
        <v>46468715</v>
      </c>
      <c r="D262">
        <v>42570666</v>
      </c>
      <c r="E262">
        <v>1</v>
      </c>
      <c r="F262">
        <v>1</v>
      </c>
      <c r="G262">
        <v>1</v>
      </c>
      <c r="H262">
        <v>2</v>
      </c>
      <c r="I262" t="s">
        <v>626</v>
      </c>
      <c r="J262" t="s">
        <v>627</v>
      </c>
      <c r="K262" t="s">
        <v>628</v>
      </c>
      <c r="L262">
        <v>1368</v>
      </c>
      <c r="N262">
        <v>1011</v>
      </c>
      <c r="O262" t="s">
        <v>393</v>
      </c>
      <c r="P262" t="s">
        <v>393</v>
      </c>
      <c r="Q262">
        <v>1</v>
      </c>
      <c r="W262">
        <v>0</v>
      </c>
      <c r="X262">
        <v>-59408922</v>
      </c>
      <c r="Y262">
        <v>8.9354999999999976</v>
      </c>
      <c r="AA262">
        <v>0</v>
      </c>
      <c r="AB262">
        <v>1591.84</v>
      </c>
      <c r="AC262">
        <v>438.55</v>
      </c>
      <c r="AD262">
        <v>0</v>
      </c>
      <c r="AE262">
        <v>0</v>
      </c>
      <c r="AF262">
        <v>119.15</v>
      </c>
      <c r="AG262">
        <v>12.62</v>
      </c>
      <c r="AH262">
        <v>0</v>
      </c>
      <c r="AI262">
        <v>1</v>
      </c>
      <c r="AJ262">
        <v>13.36</v>
      </c>
      <c r="AK262">
        <v>34.75</v>
      </c>
      <c r="AL262">
        <v>1</v>
      </c>
      <c r="AN262">
        <v>0</v>
      </c>
      <c r="AO262">
        <v>1</v>
      </c>
      <c r="AP262">
        <v>1</v>
      </c>
      <c r="AQ262">
        <v>0</v>
      </c>
      <c r="AR262">
        <v>0</v>
      </c>
      <c r="AS262" t="s">
        <v>3</v>
      </c>
      <c r="AT262">
        <v>2.59</v>
      </c>
      <c r="AU262" t="s">
        <v>286</v>
      </c>
      <c r="AV262">
        <v>0</v>
      </c>
      <c r="AW262">
        <v>2</v>
      </c>
      <c r="AX262">
        <v>46468727</v>
      </c>
      <c r="AY262">
        <v>1</v>
      </c>
      <c r="AZ262">
        <v>0</v>
      </c>
      <c r="BA262">
        <v>249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Y262*Source!I380</f>
        <v>16.191125999999997</v>
      </c>
      <c r="CY262">
        <f t="shared" si="51"/>
        <v>1591.84</v>
      </c>
      <c r="CZ262">
        <f t="shared" si="52"/>
        <v>119.15</v>
      </c>
      <c r="DA262">
        <f t="shared" si="53"/>
        <v>13.36</v>
      </c>
      <c r="DB262">
        <f t="shared" si="49"/>
        <v>1064.67</v>
      </c>
      <c r="DC262">
        <f t="shared" si="50"/>
        <v>112.7805</v>
      </c>
    </row>
    <row r="263" spans="1:107" x14ac:dyDescent="0.2">
      <c r="A263">
        <f>ROW(Source!A380)</f>
        <v>380</v>
      </c>
      <c r="B263">
        <v>46416371</v>
      </c>
      <c r="C263">
        <v>46468715</v>
      </c>
      <c r="D263">
        <v>42570667</v>
      </c>
      <c r="E263">
        <v>1</v>
      </c>
      <c r="F263">
        <v>1</v>
      </c>
      <c r="G263">
        <v>1</v>
      </c>
      <c r="H263">
        <v>2</v>
      </c>
      <c r="I263" t="s">
        <v>629</v>
      </c>
      <c r="J263" t="s">
        <v>630</v>
      </c>
      <c r="K263" t="s">
        <v>631</v>
      </c>
      <c r="L263">
        <v>1368</v>
      </c>
      <c r="N263">
        <v>1011</v>
      </c>
      <c r="O263" t="s">
        <v>393</v>
      </c>
      <c r="P263" t="s">
        <v>393</v>
      </c>
      <c r="Q263">
        <v>1</v>
      </c>
      <c r="W263">
        <v>0</v>
      </c>
      <c r="X263">
        <v>153152238</v>
      </c>
      <c r="Y263">
        <v>7.3829999999999991</v>
      </c>
      <c r="AA263">
        <v>0</v>
      </c>
      <c r="AB263">
        <v>6374.72</v>
      </c>
      <c r="AC263">
        <v>438.55</v>
      </c>
      <c r="AD263">
        <v>0</v>
      </c>
      <c r="AE263">
        <v>0</v>
      </c>
      <c r="AF263">
        <v>477.15</v>
      </c>
      <c r="AG263">
        <v>12.62</v>
      </c>
      <c r="AH263">
        <v>0</v>
      </c>
      <c r="AI263">
        <v>1</v>
      </c>
      <c r="AJ263">
        <v>13.36</v>
      </c>
      <c r="AK263">
        <v>34.75</v>
      </c>
      <c r="AL263">
        <v>1</v>
      </c>
      <c r="AN263">
        <v>0</v>
      </c>
      <c r="AO263">
        <v>1</v>
      </c>
      <c r="AP263">
        <v>1</v>
      </c>
      <c r="AQ263">
        <v>0</v>
      </c>
      <c r="AR263">
        <v>0</v>
      </c>
      <c r="AS263" t="s">
        <v>3</v>
      </c>
      <c r="AT263">
        <v>2.14</v>
      </c>
      <c r="AU263" t="s">
        <v>286</v>
      </c>
      <c r="AV263">
        <v>0</v>
      </c>
      <c r="AW263">
        <v>2</v>
      </c>
      <c r="AX263">
        <v>46468728</v>
      </c>
      <c r="AY263">
        <v>1</v>
      </c>
      <c r="AZ263">
        <v>0</v>
      </c>
      <c r="BA263">
        <v>250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Y263*Source!I380</f>
        <v>13.377996</v>
      </c>
      <c r="CY263">
        <f t="shared" si="51"/>
        <v>6374.72</v>
      </c>
      <c r="CZ263">
        <f t="shared" si="52"/>
        <v>477.15</v>
      </c>
      <c r="DA263">
        <f t="shared" si="53"/>
        <v>13.36</v>
      </c>
      <c r="DB263">
        <f t="shared" si="49"/>
        <v>3522.7950000000001</v>
      </c>
      <c r="DC263">
        <f t="shared" si="50"/>
        <v>93.1845</v>
      </c>
    </row>
    <row r="264" spans="1:107" x14ac:dyDescent="0.2">
      <c r="A264">
        <f>ROW(Source!A380)</f>
        <v>380</v>
      </c>
      <c r="B264">
        <v>46416371</v>
      </c>
      <c r="C264">
        <v>46468715</v>
      </c>
      <c r="D264">
        <v>42570685</v>
      </c>
      <c r="E264">
        <v>1</v>
      </c>
      <c r="F264">
        <v>1</v>
      </c>
      <c r="G264">
        <v>1</v>
      </c>
      <c r="H264">
        <v>2</v>
      </c>
      <c r="I264" t="s">
        <v>632</v>
      </c>
      <c r="J264" t="s">
        <v>633</v>
      </c>
      <c r="K264" t="s">
        <v>634</v>
      </c>
      <c r="L264">
        <v>1368</v>
      </c>
      <c r="N264">
        <v>1011</v>
      </c>
      <c r="O264" t="s">
        <v>393</v>
      </c>
      <c r="P264" t="s">
        <v>393</v>
      </c>
      <c r="Q264">
        <v>1</v>
      </c>
      <c r="W264">
        <v>0</v>
      </c>
      <c r="X264">
        <v>-717460794</v>
      </c>
      <c r="Y264">
        <v>12.799499999999998</v>
      </c>
      <c r="AA264">
        <v>0</v>
      </c>
      <c r="AB264">
        <v>2691.37</v>
      </c>
      <c r="AC264">
        <v>326.64999999999998</v>
      </c>
      <c r="AD264">
        <v>0</v>
      </c>
      <c r="AE264">
        <v>0</v>
      </c>
      <c r="AF264">
        <v>201.45</v>
      </c>
      <c r="AG264">
        <v>9.4</v>
      </c>
      <c r="AH264">
        <v>0</v>
      </c>
      <c r="AI264">
        <v>1</v>
      </c>
      <c r="AJ264">
        <v>13.36</v>
      </c>
      <c r="AK264">
        <v>34.75</v>
      </c>
      <c r="AL264">
        <v>1</v>
      </c>
      <c r="AN264">
        <v>0</v>
      </c>
      <c r="AO264">
        <v>1</v>
      </c>
      <c r="AP264">
        <v>1</v>
      </c>
      <c r="AQ264">
        <v>0</v>
      </c>
      <c r="AR264">
        <v>0</v>
      </c>
      <c r="AS264" t="s">
        <v>3</v>
      </c>
      <c r="AT264">
        <v>3.71</v>
      </c>
      <c r="AU264" t="s">
        <v>286</v>
      </c>
      <c r="AV264">
        <v>0</v>
      </c>
      <c r="AW264">
        <v>2</v>
      </c>
      <c r="AX264">
        <v>46468729</v>
      </c>
      <c r="AY264">
        <v>1</v>
      </c>
      <c r="AZ264">
        <v>0</v>
      </c>
      <c r="BA264">
        <v>251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Y264*Source!I380</f>
        <v>23.192693999999996</v>
      </c>
      <c r="CY264">
        <f t="shared" si="51"/>
        <v>2691.37</v>
      </c>
      <c r="CZ264">
        <f t="shared" si="52"/>
        <v>201.45</v>
      </c>
      <c r="DA264">
        <f t="shared" si="53"/>
        <v>13.36</v>
      </c>
      <c r="DB264">
        <f t="shared" si="49"/>
        <v>2578.4609999999998</v>
      </c>
      <c r="DC264">
        <f t="shared" si="50"/>
        <v>120.3015</v>
      </c>
    </row>
    <row r="265" spans="1:107" x14ac:dyDescent="0.2">
      <c r="A265">
        <f>ROW(Source!A380)</f>
        <v>380</v>
      </c>
      <c r="B265">
        <v>46416371</v>
      </c>
      <c r="C265">
        <v>46468715</v>
      </c>
      <c r="D265">
        <v>42570737</v>
      </c>
      <c r="E265">
        <v>1</v>
      </c>
      <c r="F265">
        <v>1</v>
      </c>
      <c r="G265">
        <v>1</v>
      </c>
      <c r="H265">
        <v>2</v>
      </c>
      <c r="I265" t="s">
        <v>635</v>
      </c>
      <c r="J265" t="s">
        <v>636</v>
      </c>
      <c r="K265" t="s">
        <v>637</v>
      </c>
      <c r="L265">
        <v>1368</v>
      </c>
      <c r="N265">
        <v>1011</v>
      </c>
      <c r="O265" t="s">
        <v>393</v>
      </c>
      <c r="P265" t="s">
        <v>393</v>
      </c>
      <c r="Q265">
        <v>1</v>
      </c>
      <c r="W265">
        <v>0</v>
      </c>
      <c r="X265">
        <v>-356557763</v>
      </c>
      <c r="Y265">
        <v>5.2439999999999998</v>
      </c>
      <c r="AA265">
        <v>0</v>
      </c>
      <c r="AB265">
        <v>254.37</v>
      </c>
      <c r="AC265">
        <v>0</v>
      </c>
      <c r="AD265">
        <v>0</v>
      </c>
      <c r="AE265">
        <v>0</v>
      </c>
      <c r="AF265">
        <v>19.04</v>
      </c>
      <c r="AG265">
        <v>0</v>
      </c>
      <c r="AH265">
        <v>0</v>
      </c>
      <c r="AI265">
        <v>1</v>
      </c>
      <c r="AJ265">
        <v>13.36</v>
      </c>
      <c r="AK265">
        <v>34.75</v>
      </c>
      <c r="AL265">
        <v>1</v>
      </c>
      <c r="AN265">
        <v>0</v>
      </c>
      <c r="AO265">
        <v>1</v>
      </c>
      <c r="AP265">
        <v>1</v>
      </c>
      <c r="AQ265">
        <v>0</v>
      </c>
      <c r="AR265">
        <v>0</v>
      </c>
      <c r="AS265" t="s">
        <v>3</v>
      </c>
      <c r="AT265">
        <v>1.52</v>
      </c>
      <c r="AU265" t="s">
        <v>286</v>
      </c>
      <c r="AV265">
        <v>0</v>
      </c>
      <c r="AW265">
        <v>2</v>
      </c>
      <c r="AX265">
        <v>46468730</v>
      </c>
      <c r="AY265">
        <v>1</v>
      </c>
      <c r="AZ265">
        <v>0</v>
      </c>
      <c r="BA265">
        <v>252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Y265*Source!I380</f>
        <v>9.502127999999999</v>
      </c>
      <c r="CY265">
        <f t="shared" si="51"/>
        <v>254.37</v>
      </c>
      <c r="CZ265">
        <f t="shared" si="52"/>
        <v>19.04</v>
      </c>
      <c r="DA265">
        <f t="shared" si="53"/>
        <v>13.36</v>
      </c>
      <c r="DB265">
        <f t="shared" si="49"/>
        <v>99.843000000000004</v>
      </c>
      <c r="DC265">
        <f t="shared" si="50"/>
        <v>0</v>
      </c>
    </row>
    <row r="266" spans="1:107" x14ac:dyDescent="0.2">
      <c r="A266">
        <f>ROW(Source!A380)</f>
        <v>380</v>
      </c>
      <c r="B266">
        <v>46416371</v>
      </c>
      <c r="C266">
        <v>46468715</v>
      </c>
      <c r="D266">
        <v>42570857</v>
      </c>
      <c r="E266">
        <v>1</v>
      </c>
      <c r="F266">
        <v>1</v>
      </c>
      <c r="G266">
        <v>1</v>
      </c>
      <c r="H266">
        <v>2</v>
      </c>
      <c r="I266" t="s">
        <v>638</v>
      </c>
      <c r="J266" t="s">
        <v>639</v>
      </c>
      <c r="K266" t="s">
        <v>640</v>
      </c>
      <c r="L266">
        <v>1368</v>
      </c>
      <c r="N266">
        <v>1011</v>
      </c>
      <c r="O266" t="s">
        <v>393</v>
      </c>
      <c r="P266" t="s">
        <v>393</v>
      </c>
      <c r="Q266">
        <v>1</v>
      </c>
      <c r="W266">
        <v>0</v>
      </c>
      <c r="X266">
        <v>-1417116154</v>
      </c>
      <c r="Y266">
        <v>0.69</v>
      </c>
      <c r="AA266">
        <v>0</v>
      </c>
      <c r="AB266">
        <v>1492.98</v>
      </c>
      <c r="AC266">
        <v>376.69</v>
      </c>
      <c r="AD266">
        <v>0</v>
      </c>
      <c r="AE266">
        <v>0</v>
      </c>
      <c r="AF266">
        <v>111.75</v>
      </c>
      <c r="AG266">
        <v>10.84</v>
      </c>
      <c r="AH266">
        <v>0</v>
      </c>
      <c r="AI266">
        <v>1</v>
      </c>
      <c r="AJ266">
        <v>13.36</v>
      </c>
      <c r="AK266">
        <v>34.75</v>
      </c>
      <c r="AL266">
        <v>1</v>
      </c>
      <c r="AN266">
        <v>0</v>
      </c>
      <c r="AO266">
        <v>1</v>
      </c>
      <c r="AP266">
        <v>1</v>
      </c>
      <c r="AQ266">
        <v>0</v>
      </c>
      <c r="AR266">
        <v>0</v>
      </c>
      <c r="AS266" t="s">
        <v>3</v>
      </c>
      <c r="AT266">
        <v>0.2</v>
      </c>
      <c r="AU266" t="s">
        <v>286</v>
      </c>
      <c r="AV266">
        <v>0</v>
      </c>
      <c r="AW266">
        <v>2</v>
      </c>
      <c r="AX266">
        <v>46468731</v>
      </c>
      <c r="AY266">
        <v>1</v>
      </c>
      <c r="AZ266">
        <v>0</v>
      </c>
      <c r="BA266">
        <v>253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Y266*Source!I380</f>
        <v>1.2502799999999998</v>
      </c>
      <c r="CY266">
        <f t="shared" si="51"/>
        <v>1492.98</v>
      </c>
      <c r="CZ266">
        <f t="shared" si="52"/>
        <v>111.75</v>
      </c>
      <c r="DA266">
        <f t="shared" si="53"/>
        <v>13.36</v>
      </c>
      <c r="DB266">
        <f t="shared" si="49"/>
        <v>77.107500000000002</v>
      </c>
      <c r="DC266">
        <f t="shared" si="50"/>
        <v>7.4865000000000004</v>
      </c>
    </row>
    <row r="267" spans="1:107" x14ac:dyDescent="0.2">
      <c r="A267">
        <f>ROW(Source!A380)</f>
        <v>380</v>
      </c>
      <c r="B267">
        <v>46416371</v>
      </c>
      <c r="C267">
        <v>46468715</v>
      </c>
      <c r="D267">
        <v>42597873</v>
      </c>
      <c r="E267">
        <v>1</v>
      </c>
      <c r="F267">
        <v>1</v>
      </c>
      <c r="G267">
        <v>1</v>
      </c>
      <c r="H267">
        <v>3</v>
      </c>
      <c r="I267" t="s">
        <v>641</v>
      </c>
      <c r="J267" t="s">
        <v>642</v>
      </c>
      <c r="K267" t="s">
        <v>643</v>
      </c>
      <c r="L267">
        <v>1348</v>
      </c>
      <c r="N267">
        <v>1009</v>
      </c>
      <c r="O267" t="s">
        <v>184</v>
      </c>
      <c r="P267" t="s">
        <v>184</v>
      </c>
      <c r="Q267">
        <v>1000</v>
      </c>
      <c r="W267">
        <v>0</v>
      </c>
      <c r="X267">
        <v>408784318</v>
      </c>
      <c r="Y267">
        <v>8.0000000000000004E-4</v>
      </c>
      <c r="AA267">
        <v>51627.72</v>
      </c>
      <c r="AB267">
        <v>0</v>
      </c>
      <c r="AC267">
        <v>0</v>
      </c>
      <c r="AD267">
        <v>0</v>
      </c>
      <c r="AE267">
        <v>6227.71</v>
      </c>
      <c r="AF267">
        <v>0</v>
      </c>
      <c r="AG267">
        <v>0</v>
      </c>
      <c r="AH267">
        <v>0</v>
      </c>
      <c r="AI267">
        <v>8.2899999999999991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3</v>
      </c>
      <c r="AT267">
        <v>8.0000000000000004E-4</v>
      </c>
      <c r="AU267" t="s">
        <v>3</v>
      </c>
      <c r="AV267">
        <v>0</v>
      </c>
      <c r="AW267">
        <v>2</v>
      </c>
      <c r="AX267">
        <v>46468732</v>
      </c>
      <c r="AY267">
        <v>1</v>
      </c>
      <c r="AZ267">
        <v>0</v>
      </c>
      <c r="BA267">
        <v>254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Y267*Source!I380</f>
        <v>1.4496000000000001E-3</v>
      </c>
      <c r="CY267">
        <f t="shared" ref="CY267:CY275" si="54">AA267</f>
        <v>51627.72</v>
      </c>
      <c r="CZ267">
        <f t="shared" ref="CZ267:CZ275" si="55">AE267</f>
        <v>6227.71</v>
      </c>
      <c r="DA267">
        <f t="shared" ref="DA267:DA275" si="56">AI267</f>
        <v>8.2899999999999991</v>
      </c>
      <c r="DB267">
        <f t="shared" ref="DB267:DB275" si="57">ROUND(ROUND(AT267*CZ267,2),6)</f>
        <v>4.9800000000000004</v>
      </c>
      <c r="DC267">
        <f t="shared" ref="DC267:DC275" si="58">ROUND(ROUND(AT267*AG267,2),6)</f>
        <v>0</v>
      </c>
    </row>
    <row r="268" spans="1:107" x14ac:dyDescent="0.2">
      <c r="A268">
        <f>ROW(Source!A380)</f>
        <v>380</v>
      </c>
      <c r="B268">
        <v>46416371</v>
      </c>
      <c r="C268">
        <v>46468715</v>
      </c>
      <c r="D268">
        <v>42600381</v>
      </c>
      <c r="E268">
        <v>1</v>
      </c>
      <c r="F268">
        <v>1</v>
      </c>
      <c r="G268">
        <v>1</v>
      </c>
      <c r="H268">
        <v>3</v>
      </c>
      <c r="I268" t="s">
        <v>644</v>
      </c>
      <c r="J268" t="s">
        <v>645</v>
      </c>
      <c r="K268" t="s">
        <v>646</v>
      </c>
      <c r="L268">
        <v>1354</v>
      </c>
      <c r="N268">
        <v>1010</v>
      </c>
      <c r="O268" t="s">
        <v>647</v>
      </c>
      <c r="P268" t="s">
        <v>647</v>
      </c>
      <c r="Q268">
        <v>1</v>
      </c>
      <c r="W268">
        <v>0</v>
      </c>
      <c r="X268">
        <v>1071298819</v>
      </c>
      <c r="Y268">
        <v>0.78200000000000003</v>
      </c>
      <c r="AA268">
        <v>7036.3</v>
      </c>
      <c r="AB268">
        <v>0</v>
      </c>
      <c r="AC268">
        <v>0</v>
      </c>
      <c r="AD268">
        <v>0</v>
      </c>
      <c r="AE268">
        <v>848.77</v>
      </c>
      <c r="AF268">
        <v>0</v>
      </c>
      <c r="AG268">
        <v>0</v>
      </c>
      <c r="AH268">
        <v>0</v>
      </c>
      <c r="AI268">
        <v>8.2899999999999991</v>
      </c>
      <c r="AJ268">
        <v>1</v>
      </c>
      <c r="AK268">
        <v>1</v>
      </c>
      <c r="AL268">
        <v>1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3</v>
      </c>
      <c r="AT268">
        <v>0.78200000000000003</v>
      </c>
      <c r="AU268" t="s">
        <v>3</v>
      </c>
      <c r="AV268">
        <v>0</v>
      </c>
      <c r="AW268">
        <v>2</v>
      </c>
      <c r="AX268">
        <v>46468733</v>
      </c>
      <c r="AY268">
        <v>1</v>
      </c>
      <c r="AZ268">
        <v>0</v>
      </c>
      <c r="BA268">
        <v>255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Y268*Source!I380</f>
        <v>1.416984</v>
      </c>
      <c r="CY268">
        <f t="shared" si="54"/>
        <v>7036.3</v>
      </c>
      <c r="CZ268">
        <f t="shared" si="55"/>
        <v>848.77</v>
      </c>
      <c r="DA268">
        <f t="shared" si="56"/>
        <v>8.2899999999999991</v>
      </c>
      <c r="DB268">
        <f t="shared" si="57"/>
        <v>663.74</v>
      </c>
      <c r="DC268">
        <f t="shared" si="58"/>
        <v>0</v>
      </c>
    </row>
    <row r="269" spans="1:107" x14ac:dyDescent="0.2">
      <c r="A269">
        <f>ROW(Source!A380)</f>
        <v>380</v>
      </c>
      <c r="B269">
        <v>46416371</v>
      </c>
      <c r="C269">
        <v>46468715</v>
      </c>
      <c r="D269">
        <v>42594004</v>
      </c>
      <c r="E269">
        <v>1</v>
      </c>
      <c r="F269">
        <v>1</v>
      </c>
      <c r="G269">
        <v>1</v>
      </c>
      <c r="H269">
        <v>3</v>
      </c>
      <c r="I269" t="s">
        <v>648</v>
      </c>
      <c r="J269" t="s">
        <v>649</v>
      </c>
      <c r="K269" t="s">
        <v>650</v>
      </c>
      <c r="L269">
        <v>1348</v>
      </c>
      <c r="N269">
        <v>1009</v>
      </c>
      <c r="O269" t="s">
        <v>184</v>
      </c>
      <c r="P269" t="s">
        <v>184</v>
      </c>
      <c r="Q269">
        <v>1000</v>
      </c>
      <c r="W269">
        <v>0</v>
      </c>
      <c r="X269">
        <v>-1158338057</v>
      </c>
      <c r="Y269">
        <v>2.3999999999999998E-3</v>
      </c>
      <c r="AA269">
        <v>380973.66</v>
      </c>
      <c r="AB269">
        <v>0</v>
      </c>
      <c r="AC269">
        <v>0</v>
      </c>
      <c r="AD269">
        <v>0</v>
      </c>
      <c r="AE269">
        <v>45955.81</v>
      </c>
      <c r="AF269">
        <v>0</v>
      </c>
      <c r="AG269">
        <v>0</v>
      </c>
      <c r="AH269">
        <v>0</v>
      </c>
      <c r="AI269">
        <v>8.2899999999999991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3</v>
      </c>
      <c r="AT269">
        <v>2.3999999999999998E-3</v>
      </c>
      <c r="AU269" t="s">
        <v>3</v>
      </c>
      <c r="AV269">
        <v>0</v>
      </c>
      <c r="AW269">
        <v>2</v>
      </c>
      <c r="AX269">
        <v>46468734</v>
      </c>
      <c r="AY269">
        <v>1</v>
      </c>
      <c r="AZ269">
        <v>0</v>
      </c>
      <c r="BA269">
        <v>256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Y269*Source!I380</f>
        <v>4.3487999999999999E-3</v>
      </c>
      <c r="CY269">
        <f t="shared" si="54"/>
        <v>380973.66</v>
      </c>
      <c r="CZ269">
        <f t="shared" si="55"/>
        <v>45955.81</v>
      </c>
      <c r="DA269">
        <f t="shared" si="56"/>
        <v>8.2899999999999991</v>
      </c>
      <c r="DB269">
        <f t="shared" si="57"/>
        <v>110.29</v>
      </c>
      <c r="DC269">
        <f t="shared" si="58"/>
        <v>0</v>
      </c>
    </row>
    <row r="270" spans="1:107" x14ac:dyDescent="0.2">
      <c r="A270">
        <f>ROW(Source!A380)</f>
        <v>380</v>
      </c>
      <c r="B270">
        <v>46416371</v>
      </c>
      <c r="C270">
        <v>46468715</v>
      </c>
      <c r="D270">
        <v>42594116</v>
      </c>
      <c r="E270">
        <v>1</v>
      </c>
      <c r="F270">
        <v>1</v>
      </c>
      <c r="G270">
        <v>1</v>
      </c>
      <c r="H270">
        <v>3</v>
      </c>
      <c r="I270" t="s">
        <v>651</v>
      </c>
      <c r="J270" t="s">
        <v>652</v>
      </c>
      <c r="K270" t="s">
        <v>653</v>
      </c>
      <c r="L270">
        <v>1348</v>
      </c>
      <c r="N270">
        <v>1009</v>
      </c>
      <c r="O270" t="s">
        <v>184</v>
      </c>
      <c r="P270" t="s">
        <v>184</v>
      </c>
      <c r="Q270">
        <v>1000</v>
      </c>
      <c r="W270">
        <v>0</v>
      </c>
      <c r="X270">
        <v>1622604025</v>
      </c>
      <c r="Y270">
        <v>4.0000000000000001E-3</v>
      </c>
      <c r="AA270">
        <v>14557.24</v>
      </c>
      <c r="AB270">
        <v>0</v>
      </c>
      <c r="AC270">
        <v>0</v>
      </c>
      <c r="AD270">
        <v>0</v>
      </c>
      <c r="AE270">
        <v>1756</v>
      </c>
      <c r="AF270">
        <v>0</v>
      </c>
      <c r="AG270">
        <v>0</v>
      </c>
      <c r="AH270">
        <v>0</v>
      </c>
      <c r="AI270">
        <v>8.2899999999999991</v>
      </c>
      <c r="AJ270">
        <v>1</v>
      </c>
      <c r="AK270">
        <v>1</v>
      </c>
      <c r="AL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3</v>
      </c>
      <c r="AT270">
        <v>4.0000000000000001E-3</v>
      </c>
      <c r="AU270" t="s">
        <v>3</v>
      </c>
      <c r="AV270">
        <v>0</v>
      </c>
      <c r="AW270">
        <v>2</v>
      </c>
      <c r="AX270">
        <v>46468735</v>
      </c>
      <c r="AY270">
        <v>1</v>
      </c>
      <c r="AZ270">
        <v>0</v>
      </c>
      <c r="BA270">
        <v>257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Y270*Source!I380</f>
        <v>7.2480000000000001E-3</v>
      </c>
      <c r="CY270">
        <f t="shared" si="54"/>
        <v>14557.24</v>
      </c>
      <c r="CZ270">
        <f t="shared" si="55"/>
        <v>1756</v>
      </c>
      <c r="DA270">
        <f t="shared" si="56"/>
        <v>8.2899999999999991</v>
      </c>
      <c r="DB270">
        <f t="shared" si="57"/>
        <v>7.02</v>
      </c>
      <c r="DC270">
        <f t="shared" si="58"/>
        <v>0</v>
      </c>
    </row>
    <row r="271" spans="1:107" x14ac:dyDescent="0.2">
      <c r="A271">
        <f>ROW(Source!A380)</f>
        <v>380</v>
      </c>
      <c r="B271">
        <v>46416371</v>
      </c>
      <c r="C271">
        <v>46468715</v>
      </c>
      <c r="D271">
        <v>42599478</v>
      </c>
      <c r="E271">
        <v>1</v>
      </c>
      <c r="F271">
        <v>1</v>
      </c>
      <c r="G271">
        <v>1</v>
      </c>
      <c r="H271">
        <v>3</v>
      </c>
      <c r="I271" t="s">
        <v>654</v>
      </c>
      <c r="J271" t="s">
        <v>655</v>
      </c>
      <c r="K271" t="s">
        <v>656</v>
      </c>
      <c r="L271">
        <v>1348</v>
      </c>
      <c r="N271">
        <v>1009</v>
      </c>
      <c r="O271" t="s">
        <v>184</v>
      </c>
      <c r="P271" t="s">
        <v>184</v>
      </c>
      <c r="Q271">
        <v>1000</v>
      </c>
      <c r="W271">
        <v>0</v>
      </c>
      <c r="X271">
        <v>332691481</v>
      </c>
      <c r="Y271">
        <v>1.2E-2</v>
      </c>
      <c r="AA271">
        <v>86794.97</v>
      </c>
      <c r="AB271">
        <v>0</v>
      </c>
      <c r="AC271">
        <v>0</v>
      </c>
      <c r="AD271">
        <v>0</v>
      </c>
      <c r="AE271">
        <v>10469.84</v>
      </c>
      <c r="AF271">
        <v>0</v>
      </c>
      <c r="AG271">
        <v>0</v>
      </c>
      <c r="AH271">
        <v>0</v>
      </c>
      <c r="AI271">
        <v>8.2899999999999991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3</v>
      </c>
      <c r="AT271">
        <v>1.2E-2</v>
      </c>
      <c r="AU271" t="s">
        <v>3</v>
      </c>
      <c r="AV271">
        <v>0</v>
      </c>
      <c r="AW271">
        <v>2</v>
      </c>
      <c r="AX271">
        <v>46468736</v>
      </c>
      <c r="AY271">
        <v>1</v>
      </c>
      <c r="AZ271">
        <v>0</v>
      </c>
      <c r="BA271">
        <v>258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Y271*Source!I380</f>
        <v>2.1743999999999999E-2</v>
      </c>
      <c r="CY271">
        <f t="shared" si="54"/>
        <v>86794.97</v>
      </c>
      <c r="CZ271">
        <f t="shared" si="55"/>
        <v>10469.84</v>
      </c>
      <c r="DA271">
        <f t="shared" si="56"/>
        <v>8.2899999999999991</v>
      </c>
      <c r="DB271">
        <f t="shared" si="57"/>
        <v>125.64</v>
      </c>
      <c r="DC271">
        <f t="shared" si="58"/>
        <v>0</v>
      </c>
    </row>
    <row r="272" spans="1:107" x14ac:dyDescent="0.2">
      <c r="A272">
        <f>ROW(Source!A380)</f>
        <v>380</v>
      </c>
      <c r="B272">
        <v>46416371</v>
      </c>
      <c r="C272">
        <v>46468715</v>
      </c>
      <c r="D272">
        <v>42589220</v>
      </c>
      <c r="E272">
        <v>1</v>
      </c>
      <c r="F272">
        <v>1</v>
      </c>
      <c r="G272">
        <v>1</v>
      </c>
      <c r="H272">
        <v>3</v>
      </c>
      <c r="I272" t="s">
        <v>657</v>
      </c>
      <c r="J272" t="s">
        <v>658</v>
      </c>
      <c r="K272" t="s">
        <v>659</v>
      </c>
      <c r="L272">
        <v>1348</v>
      </c>
      <c r="N272">
        <v>1009</v>
      </c>
      <c r="O272" t="s">
        <v>184</v>
      </c>
      <c r="P272" t="s">
        <v>184</v>
      </c>
      <c r="Q272">
        <v>1000</v>
      </c>
      <c r="W272">
        <v>0</v>
      </c>
      <c r="X272">
        <v>-63817536</v>
      </c>
      <c r="Y272">
        <v>8.0000000000000004E-4</v>
      </c>
      <c r="AA272">
        <v>43867.61</v>
      </c>
      <c r="AB272">
        <v>0</v>
      </c>
      <c r="AC272">
        <v>0</v>
      </c>
      <c r="AD272">
        <v>0</v>
      </c>
      <c r="AE272">
        <v>5291.63</v>
      </c>
      <c r="AF272">
        <v>0</v>
      </c>
      <c r="AG272">
        <v>0</v>
      </c>
      <c r="AH272">
        <v>0</v>
      </c>
      <c r="AI272">
        <v>8.2899999999999991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3</v>
      </c>
      <c r="AT272">
        <v>8.0000000000000004E-4</v>
      </c>
      <c r="AU272" t="s">
        <v>3</v>
      </c>
      <c r="AV272">
        <v>0</v>
      </c>
      <c r="AW272">
        <v>2</v>
      </c>
      <c r="AX272">
        <v>46468737</v>
      </c>
      <c r="AY272">
        <v>1</v>
      </c>
      <c r="AZ272">
        <v>0</v>
      </c>
      <c r="BA272">
        <v>259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Y272*Source!I380</f>
        <v>1.4496000000000001E-3</v>
      </c>
      <c r="CY272">
        <f t="shared" si="54"/>
        <v>43867.61</v>
      </c>
      <c r="CZ272">
        <f t="shared" si="55"/>
        <v>5291.63</v>
      </c>
      <c r="DA272">
        <f t="shared" si="56"/>
        <v>8.2899999999999991</v>
      </c>
      <c r="DB272">
        <f t="shared" si="57"/>
        <v>4.2300000000000004</v>
      </c>
      <c r="DC272">
        <f t="shared" si="58"/>
        <v>0</v>
      </c>
    </row>
    <row r="273" spans="1:107" x14ac:dyDescent="0.2">
      <c r="A273">
        <f>ROW(Source!A380)</f>
        <v>380</v>
      </c>
      <c r="B273">
        <v>46416371</v>
      </c>
      <c r="C273">
        <v>46468715</v>
      </c>
      <c r="D273">
        <v>42581991</v>
      </c>
      <c r="E273">
        <v>1</v>
      </c>
      <c r="F273">
        <v>1</v>
      </c>
      <c r="G273">
        <v>1</v>
      </c>
      <c r="H273">
        <v>3</v>
      </c>
      <c r="I273" t="s">
        <v>287</v>
      </c>
      <c r="J273" t="s">
        <v>289</v>
      </c>
      <c r="K273" t="s">
        <v>288</v>
      </c>
      <c r="L273">
        <v>1348</v>
      </c>
      <c r="N273">
        <v>1009</v>
      </c>
      <c r="O273" t="s">
        <v>184</v>
      </c>
      <c r="P273" t="s">
        <v>184</v>
      </c>
      <c r="Q273">
        <v>1000</v>
      </c>
      <c r="W273">
        <v>1</v>
      </c>
      <c r="X273">
        <v>1746175502</v>
      </c>
      <c r="Y273">
        <v>-105.26</v>
      </c>
      <c r="AA273">
        <v>2835.93</v>
      </c>
      <c r="AB273">
        <v>0</v>
      </c>
      <c r="AC273">
        <v>0</v>
      </c>
      <c r="AD273">
        <v>0</v>
      </c>
      <c r="AE273">
        <v>342.09</v>
      </c>
      <c r="AF273">
        <v>0</v>
      </c>
      <c r="AG273">
        <v>0</v>
      </c>
      <c r="AH273">
        <v>0</v>
      </c>
      <c r="AI273">
        <v>8.2899999999999991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3</v>
      </c>
      <c r="AT273">
        <v>-105.26</v>
      </c>
      <c r="AU273" t="s">
        <v>3</v>
      </c>
      <c r="AV273">
        <v>0</v>
      </c>
      <c r="AW273">
        <v>2</v>
      </c>
      <c r="AX273">
        <v>46468738</v>
      </c>
      <c r="AY273">
        <v>1</v>
      </c>
      <c r="AZ273">
        <v>6144</v>
      </c>
      <c r="BA273">
        <v>260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Y273*Source!I380</f>
        <v>-190.73112</v>
      </c>
      <c r="CY273">
        <f t="shared" si="54"/>
        <v>2835.93</v>
      </c>
      <c r="CZ273">
        <f t="shared" si="55"/>
        <v>342.09</v>
      </c>
      <c r="DA273">
        <f t="shared" si="56"/>
        <v>8.2899999999999991</v>
      </c>
      <c r="DB273">
        <f t="shared" si="57"/>
        <v>-36008.39</v>
      </c>
      <c r="DC273">
        <f t="shared" si="58"/>
        <v>0</v>
      </c>
    </row>
    <row r="274" spans="1:107" x14ac:dyDescent="0.2">
      <c r="A274">
        <f>ROW(Source!A380)</f>
        <v>380</v>
      </c>
      <c r="B274">
        <v>46416371</v>
      </c>
      <c r="C274">
        <v>46468715</v>
      </c>
      <c r="D274">
        <v>42582071</v>
      </c>
      <c r="E274">
        <v>1</v>
      </c>
      <c r="F274">
        <v>1</v>
      </c>
      <c r="G274">
        <v>1</v>
      </c>
      <c r="H274">
        <v>3</v>
      </c>
      <c r="I274" t="s">
        <v>660</v>
      </c>
      <c r="J274" t="s">
        <v>661</v>
      </c>
      <c r="K274" t="s">
        <v>662</v>
      </c>
      <c r="L274">
        <v>1339</v>
      </c>
      <c r="N274">
        <v>1007</v>
      </c>
      <c r="O274" t="s">
        <v>139</v>
      </c>
      <c r="P274" t="s">
        <v>139</v>
      </c>
      <c r="Q274">
        <v>1</v>
      </c>
      <c r="W274">
        <v>0</v>
      </c>
      <c r="X274">
        <v>644117468</v>
      </c>
      <c r="Y274">
        <v>20.52</v>
      </c>
      <c r="AA274">
        <v>12.44</v>
      </c>
      <c r="AB274">
        <v>0</v>
      </c>
      <c r="AC274">
        <v>0</v>
      </c>
      <c r="AD274">
        <v>0</v>
      </c>
      <c r="AE274">
        <v>1.5</v>
      </c>
      <c r="AF274">
        <v>0</v>
      </c>
      <c r="AG274">
        <v>0</v>
      </c>
      <c r="AH274">
        <v>0</v>
      </c>
      <c r="AI274">
        <v>8.2899999999999991</v>
      </c>
      <c r="AJ274">
        <v>1</v>
      </c>
      <c r="AK274">
        <v>1</v>
      </c>
      <c r="AL274">
        <v>1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3</v>
      </c>
      <c r="AT274">
        <v>20.52</v>
      </c>
      <c r="AU274" t="s">
        <v>3</v>
      </c>
      <c r="AV274">
        <v>0</v>
      </c>
      <c r="AW274">
        <v>2</v>
      </c>
      <c r="AX274">
        <v>46468739</v>
      </c>
      <c r="AY274">
        <v>1</v>
      </c>
      <c r="AZ274">
        <v>0</v>
      </c>
      <c r="BA274">
        <v>261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Y274*Source!I380</f>
        <v>37.18224</v>
      </c>
      <c r="CY274">
        <f t="shared" si="54"/>
        <v>12.44</v>
      </c>
      <c r="CZ274">
        <f t="shared" si="55"/>
        <v>1.5</v>
      </c>
      <c r="DA274">
        <f t="shared" si="56"/>
        <v>8.2899999999999991</v>
      </c>
      <c r="DB274">
        <f t="shared" si="57"/>
        <v>30.78</v>
      </c>
      <c r="DC274">
        <f t="shared" si="58"/>
        <v>0</v>
      </c>
    </row>
    <row r="275" spans="1:107" x14ac:dyDescent="0.2">
      <c r="A275">
        <f>ROW(Source!A380)</f>
        <v>380</v>
      </c>
      <c r="B275">
        <v>46416371</v>
      </c>
      <c r="C275">
        <v>46468715</v>
      </c>
      <c r="D275">
        <v>0</v>
      </c>
      <c r="E275">
        <v>0</v>
      </c>
      <c r="F275">
        <v>1</v>
      </c>
      <c r="G275">
        <v>1</v>
      </c>
      <c r="H275">
        <v>3</v>
      </c>
      <c r="I275" t="s">
        <v>145</v>
      </c>
      <c r="J275" t="s">
        <v>3</v>
      </c>
      <c r="K275" t="s">
        <v>290</v>
      </c>
      <c r="L275">
        <v>1348</v>
      </c>
      <c r="N275">
        <v>1009</v>
      </c>
      <c r="O275" t="s">
        <v>184</v>
      </c>
      <c r="P275" t="s">
        <v>184</v>
      </c>
      <c r="Q275">
        <v>1000</v>
      </c>
      <c r="W275">
        <v>0</v>
      </c>
      <c r="X275">
        <v>2054945668</v>
      </c>
      <c r="Y275">
        <v>105.16934000000001</v>
      </c>
      <c r="AA275">
        <v>4892.5</v>
      </c>
      <c r="AB275">
        <v>0</v>
      </c>
      <c r="AC275">
        <v>0</v>
      </c>
      <c r="AD275">
        <v>0</v>
      </c>
      <c r="AE275">
        <v>4892.5</v>
      </c>
      <c r="AF275">
        <v>0</v>
      </c>
      <c r="AG275">
        <v>0</v>
      </c>
      <c r="AH275">
        <v>0</v>
      </c>
      <c r="AI275">
        <v>1</v>
      </c>
      <c r="AJ275">
        <v>1</v>
      </c>
      <c r="AK275">
        <v>1</v>
      </c>
      <c r="AL275">
        <v>1</v>
      </c>
      <c r="AN275">
        <v>0</v>
      </c>
      <c r="AO275">
        <v>0</v>
      </c>
      <c r="AP275">
        <v>0</v>
      </c>
      <c r="AQ275">
        <v>0</v>
      </c>
      <c r="AR275">
        <v>0</v>
      </c>
      <c r="AS275" t="s">
        <v>3</v>
      </c>
      <c r="AT275">
        <v>105.16934000000001</v>
      </c>
      <c r="AU275" t="s">
        <v>3</v>
      </c>
      <c r="AV275">
        <v>0</v>
      </c>
      <c r="AW275">
        <v>1</v>
      </c>
      <c r="AX275">
        <v>-1</v>
      </c>
      <c r="AY275">
        <v>0</v>
      </c>
      <c r="AZ275">
        <v>0</v>
      </c>
      <c r="BA275" t="s">
        <v>3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Y275*Source!I380</f>
        <v>190.56684408000001</v>
      </c>
      <c r="CY275">
        <f t="shared" si="54"/>
        <v>4892.5</v>
      </c>
      <c r="CZ275">
        <f t="shared" si="55"/>
        <v>4892.5</v>
      </c>
      <c r="DA275">
        <f t="shared" si="56"/>
        <v>1</v>
      </c>
      <c r="DB275">
        <f t="shared" si="57"/>
        <v>514541</v>
      </c>
      <c r="DC275">
        <f t="shared" si="58"/>
        <v>0</v>
      </c>
    </row>
    <row r="276" spans="1:107" x14ac:dyDescent="0.2">
      <c r="A276">
        <f>ROW(Source!A383)</f>
        <v>383</v>
      </c>
      <c r="B276">
        <v>46416371</v>
      </c>
      <c r="C276">
        <v>46468743</v>
      </c>
      <c r="D276">
        <v>42640504</v>
      </c>
      <c r="E276">
        <v>1</v>
      </c>
      <c r="F276">
        <v>1</v>
      </c>
      <c r="G276">
        <v>1</v>
      </c>
      <c r="H276">
        <v>1</v>
      </c>
      <c r="I276" t="s">
        <v>663</v>
      </c>
      <c r="J276" t="s">
        <v>3</v>
      </c>
      <c r="K276" t="s">
        <v>664</v>
      </c>
      <c r="L276">
        <v>1369</v>
      </c>
      <c r="N276">
        <v>1013</v>
      </c>
      <c r="O276" t="s">
        <v>387</v>
      </c>
      <c r="P276" t="s">
        <v>387</v>
      </c>
      <c r="Q276">
        <v>1</v>
      </c>
      <c r="W276">
        <v>0</v>
      </c>
      <c r="X276">
        <v>-1409900704</v>
      </c>
      <c r="Y276">
        <v>0.40249999999999997</v>
      </c>
      <c r="AA276">
        <v>0</v>
      </c>
      <c r="AB276">
        <v>0</v>
      </c>
      <c r="AC276">
        <v>0</v>
      </c>
      <c r="AD276">
        <v>305.45</v>
      </c>
      <c r="AE276">
        <v>0</v>
      </c>
      <c r="AF276">
        <v>0</v>
      </c>
      <c r="AG276">
        <v>0</v>
      </c>
      <c r="AH276">
        <v>8.7899999999999991</v>
      </c>
      <c r="AI276">
        <v>1</v>
      </c>
      <c r="AJ276">
        <v>1</v>
      </c>
      <c r="AK276">
        <v>1</v>
      </c>
      <c r="AL276">
        <v>34.75</v>
      </c>
      <c r="AN276">
        <v>0</v>
      </c>
      <c r="AO276">
        <v>1</v>
      </c>
      <c r="AP276">
        <v>1</v>
      </c>
      <c r="AQ276">
        <v>0</v>
      </c>
      <c r="AR276">
        <v>0</v>
      </c>
      <c r="AS276" t="s">
        <v>3</v>
      </c>
      <c r="AT276">
        <v>0.35</v>
      </c>
      <c r="AU276" t="s">
        <v>31</v>
      </c>
      <c r="AV276">
        <v>1</v>
      </c>
      <c r="AW276">
        <v>2</v>
      </c>
      <c r="AX276">
        <v>46468744</v>
      </c>
      <c r="AY276">
        <v>1</v>
      </c>
      <c r="AZ276">
        <v>0</v>
      </c>
      <c r="BA276">
        <v>262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Y276*Source!I383</f>
        <v>0.72932999999999992</v>
      </c>
      <c r="CY276">
        <f>AD276</f>
        <v>305.45</v>
      </c>
      <c r="CZ276">
        <f>AH276</f>
        <v>8.7899999999999991</v>
      </c>
      <c r="DA276">
        <f>AL276</f>
        <v>34.75</v>
      </c>
      <c r="DB276">
        <f>ROUND((ROUND(AT276*CZ276,2)*1.15),6)</f>
        <v>3.5419999999999998</v>
      </c>
      <c r="DC276">
        <f>ROUND((ROUND(AT276*AG276,2)*1.15),6)</f>
        <v>0</v>
      </c>
    </row>
    <row r="277" spans="1:107" x14ac:dyDescent="0.2">
      <c r="A277">
        <f>ROW(Source!A383)</f>
        <v>383</v>
      </c>
      <c r="B277">
        <v>46416371</v>
      </c>
      <c r="C277">
        <v>46468743</v>
      </c>
      <c r="D277">
        <v>121548</v>
      </c>
      <c r="E277">
        <v>1</v>
      </c>
      <c r="F277">
        <v>1</v>
      </c>
      <c r="G277">
        <v>1</v>
      </c>
      <c r="H277">
        <v>1</v>
      </c>
      <c r="I277" t="s">
        <v>26</v>
      </c>
      <c r="J277" t="s">
        <v>3</v>
      </c>
      <c r="K277" t="s">
        <v>388</v>
      </c>
      <c r="L277">
        <v>608254</v>
      </c>
      <c r="N277">
        <v>1013</v>
      </c>
      <c r="O277" t="s">
        <v>389</v>
      </c>
      <c r="P277" t="s">
        <v>389</v>
      </c>
      <c r="Q277">
        <v>1</v>
      </c>
      <c r="W277">
        <v>0</v>
      </c>
      <c r="X277">
        <v>-185737400</v>
      </c>
      <c r="Y277">
        <v>5.4049999999999994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1</v>
      </c>
      <c r="AJ277">
        <v>1</v>
      </c>
      <c r="AK277">
        <v>34.75</v>
      </c>
      <c r="AL277">
        <v>1</v>
      </c>
      <c r="AN277">
        <v>0</v>
      </c>
      <c r="AO277">
        <v>1</v>
      </c>
      <c r="AP277">
        <v>1</v>
      </c>
      <c r="AQ277">
        <v>0</v>
      </c>
      <c r="AR277">
        <v>0</v>
      </c>
      <c r="AS277" t="s">
        <v>3</v>
      </c>
      <c r="AT277">
        <v>0.47</v>
      </c>
      <c r="AU277" t="s">
        <v>296</v>
      </c>
      <c r="AV277">
        <v>2</v>
      </c>
      <c r="AW277">
        <v>2</v>
      </c>
      <c r="AX277">
        <v>46468745</v>
      </c>
      <c r="AY277">
        <v>1</v>
      </c>
      <c r="AZ277">
        <v>0</v>
      </c>
      <c r="BA277">
        <v>263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Y277*Source!I383</f>
        <v>9.7938599999999987</v>
      </c>
      <c r="CY277">
        <f>AD277</f>
        <v>0</v>
      </c>
      <c r="CZ277">
        <f>AH277</f>
        <v>0</v>
      </c>
      <c r="DA277">
        <f>AL277</f>
        <v>1</v>
      </c>
      <c r="DB277">
        <f t="shared" ref="DB277:DB283" si="59">ROUND((ROUND(AT277*CZ277,2)*1.15*10),6)</f>
        <v>0</v>
      </c>
      <c r="DC277">
        <f t="shared" ref="DC277:DC283" si="60">ROUND((ROUND(AT277*AG277,2)*1.15*10),6)</f>
        <v>0</v>
      </c>
    </row>
    <row r="278" spans="1:107" x14ac:dyDescent="0.2">
      <c r="A278">
        <f>ROW(Source!A383)</f>
        <v>383</v>
      </c>
      <c r="B278">
        <v>46416371</v>
      </c>
      <c r="C278">
        <v>46468743</v>
      </c>
      <c r="D278">
        <v>42567318</v>
      </c>
      <c r="E278">
        <v>1</v>
      </c>
      <c r="F278">
        <v>1</v>
      </c>
      <c r="G278">
        <v>1</v>
      </c>
      <c r="H278">
        <v>2</v>
      </c>
      <c r="I278" t="s">
        <v>432</v>
      </c>
      <c r="J278" t="s">
        <v>433</v>
      </c>
      <c r="K278" t="s">
        <v>434</v>
      </c>
      <c r="L278">
        <v>1368</v>
      </c>
      <c r="N278">
        <v>1011</v>
      </c>
      <c r="O278" t="s">
        <v>393</v>
      </c>
      <c r="P278" t="s">
        <v>393</v>
      </c>
      <c r="Q278">
        <v>1</v>
      </c>
      <c r="W278">
        <v>0</v>
      </c>
      <c r="X278">
        <v>-197763218</v>
      </c>
      <c r="Y278">
        <v>1.2650000000000001</v>
      </c>
      <c r="AA278">
        <v>0</v>
      </c>
      <c r="AB278">
        <v>1187.3</v>
      </c>
      <c r="AC278">
        <v>326.64999999999998</v>
      </c>
      <c r="AD278">
        <v>0</v>
      </c>
      <c r="AE278">
        <v>0</v>
      </c>
      <c r="AF278">
        <v>88.87</v>
      </c>
      <c r="AG278">
        <v>9.4</v>
      </c>
      <c r="AH278">
        <v>0</v>
      </c>
      <c r="AI278">
        <v>1</v>
      </c>
      <c r="AJ278">
        <v>13.36</v>
      </c>
      <c r="AK278">
        <v>34.75</v>
      </c>
      <c r="AL278">
        <v>1</v>
      </c>
      <c r="AN278">
        <v>0</v>
      </c>
      <c r="AO278">
        <v>1</v>
      </c>
      <c r="AP278">
        <v>1</v>
      </c>
      <c r="AQ278">
        <v>0</v>
      </c>
      <c r="AR278">
        <v>0</v>
      </c>
      <c r="AS278" t="s">
        <v>3</v>
      </c>
      <c r="AT278">
        <v>0.11</v>
      </c>
      <c r="AU278" t="s">
        <v>296</v>
      </c>
      <c r="AV278">
        <v>0</v>
      </c>
      <c r="AW278">
        <v>2</v>
      </c>
      <c r="AX278">
        <v>46468746</v>
      </c>
      <c r="AY278">
        <v>1</v>
      </c>
      <c r="AZ278">
        <v>0</v>
      </c>
      <c r="BA278">
        <v>264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Y278*Source!I383</f>
        <v>2.2921800000000001</v>
      </c>
      <c r="CY278">
        <f t="shared" ref="CY278:CY283" si="61">AB278</f>
        <v>1187.3</v>
      </c>
      <c r="CZ278">
        <f t="shared" ref="CZ278:CZ283" si="62">AF278</f>
        <v>88.87</v>
      </c>
      <c r="DA278">
        <f t="shared" ref="DA278:DA283" si="63">AJ278</f>
        <v>13.36</v>
      </c>
      <c r="DB278">
        <f t="shared" si="59"/>
        <v>112.47</v>
      </c>
      <c r="DC278">
        <f t="shared" si="60"/>
        <v>11.845000000000001</v>
      </c>
    </row>
    <row r="279" spans="1:107" x14ac:dyDescent="0.2">
      <c r="A279">
        <f>ROW(Source!A383)</f>
        <v>383</v>
      </c>
      <c r="B279">
        <v>46416371</v>
      </c>
      <c r="C279">
        <v>46468743</v>
      </c>
      <c r="D279">
        <v>42568519</v>
      </c>
      <c r="E279">
        <v>1</v>
      </c>
      <c r="F279">
        <v>1</v>
      </c>
      <c r="G279">
        <v>1</v>
      </c>
      <c r="H279">
        <v>2</v>
      </c>
      <c r="I279" t="s">
        <v>612</v>
      </c>
      <c r="J279" t="s">
        <v>613</v>
      </c>
      <c r="K279" t="s">
        <v>614</v>
      </c>
      <c r="L279">
        <v>1368</v>
      </c>
      <c r="N279">
        <v>1011</v>
      </c>
      <c r="O279" t="s">
        <v>393</v>
      </c>
      <c r="P279" t="s">
        <v>393</v>
      </c>
      <c r="Q279">
        <v>1</v>
      </c>
      <c r="W279">
        <v>0</v>
      </c>
      <c r="X279">
        <v>-572200738</v>
      </c>
      <c r="Y279">
        <v>1.1499999999999999</v>
      </c>
      <c r="AA279">
        <v>0</v>
      </c>
      <c r="AB279">
        <v>19967.86</v>
      </c>
      <c r="AC279">
        <v>467.74</v>
      </c>
      <c r="AD279">
        <v>0</v>
      </c>
      <c r="AE279">
        <v>0</v>
      </c>
      <c r="AF279">
        <v>1494.6</v>
      </c>
      <c r="AG279">
        <v>13.46</v>
      </c>
      <c r="AH279">
        <v>0</v>
      </c>
      <c r="AI279">
        <v>1</v>
      </c>
      <c r="AJ279">
        <v>13.36</v>
      </c>
      <c r="AK279">
        <v>34.75</v>
      </c>
      <c r="AL279">
        <v>1</v>
      </c>
      <c r="AN279">
        <v>0</v>
      </c>
      <c r="AO279">
        <v>1</v>
      </c>
      <c r="AP279">
        <v>1</v>
      </c>
      <c r="AQ279">
        <v>0</v>
      </c>
      <c r="AR279">
        <v>0</v>
      </c>
      <c r="AS279" t="s">
        <v>3</v>
      </c>
      <c r="AT279">
        <v>0.1</v>
      </c>
      <c r="AU279" t="s">
        <v>296</v>
      </c>
      <c r="AV279">
        <v>0</v>
      </c>
      <c r="AW279">
        <v>2</v>
      </c>
      <c r="AX279">
        <v>46468747</v>
      </c>
      <c r="AY279">
        <v>1</v>
      </c>
      <c r="AZ279">
        <v>0</v>
      </c>
      <c r="BA279">
        <v>265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Y279*Source!I383</f>
        <v>2.0838000000000001</v>
      </c>
      <c r="CY279">
        <f t="shared" si="61"/>
        <v>19967.86</v>
      </c>
      <c r="CZ279">
        <f t="shared" si="62"/>
        <v>1494.6</v>
      </c>
      <c r="DA279">
        <f t="shared" si="63"/>
        <v>13.36</v>
      </c>
      <c r="DB279">
        <f t="shared" si="59"/>
        <v>1718.79</v>
      </c>
      <c r="DC279">
        <f t="shared" si="60"/>
        <v>15.525</v>
      </c>
    </row>
    <row r="280" spans="1:107" x14ac:dyDescent="0.2">
      <c r="A280">
        <f>ROW(Source!A383)</f>
        <v>383</v>
      </c>
      <c r="B280">
        <v>46416371</v>
      </c>
      <c r="C280">
        <v>46468743</v>
      </c>
      <c r="D280">
        <v>42568531</v>
      </c>
      <c r="E280">
        <v>1</v>
      </c>
      <c r="F280">
        <v>1</v>
      </c>
      <c r="G280">
        <v>1</v>
      </c>
      <c r="H280">
        <v>2</v>
      </c>
      <c r="I280" t="s">
        <v>615</v>
      </c>
      <c r="J280" t="s">
        <v>616</v>
      </c>
      <c r="K280" t="s">
        <v>592</v>
      </c>
      <c r="L280">
        <v>1368</v>
      </c>
      <c r="N280">
        <v>1011</v>
      </c>
      <c r="O280" t="s">
        <v>393</v>
      </c>
      <c r="P280" t="s">
        <v>393</v>
      </c>
      <c r="Q280">
        <v>1</v>
      </c>
      <c r="W280">
        <v>0</v>
      </c>
      <c r="X280">
        <v>-637576487</v>
      </c>
      <c r="Y280">
        <v>1.1499999999999999</v>
      </c>
      <c r="AA280">
        <v>0</v>
      </c>
      <c r="AB280">
        <v>1457.04</v>
      </c>
      <c r="AC280">
        <v>376.69</v>
      </c>
      <c r="AD280">
        <v>0</v>
      </c>
      <c r="AE280">
        <v>0</v>
      </c>
      <c r="AF280">
        <v>109.06</v>
      </c>
      <c r="AG280">
        <v>10.84</v>
      </c>
      <c r="AH280">
        <v>0</v>
      </c>
      <c r="AI280">
        <v>1</v>
      </c>
      <c r="AJ280">
        <v>13.36</v>
      </c>
      <c r="AK280">
        <v>34.75</v>
      </c>
      <c r="AL280">
        <v>1</v>
      </c>
      <c r="AN280">
        <v>0</v>
      </c>
      <c r="AO280">
        <v>1</v>
      </c>
      <c r="AP280">
        <v>1</v>
      </c>
      <c r="AQ280">
        <v>0</v>
      </c>
      <c r="AR280">
        <v>0</v>
      </c>
      <c r="AS280" t="s">
        <v>3</v>
      </c>
      <c r="AT280">
        <v>0.1</v>
      </c>
      <c r="AU280" t="s">
        <v>296</v>
      </c>
      <c r="AV280">
        <v>0</v>
      </c>
      <c r="AW280">
        <v>2</v>
      </c>
      <c r="AX280">
        <v>46468748</v>
      </c>
      <c r="AY280">
        <v>1</v>
      </c>
      <c r="AZ280">
        <v>0</v>
      </c>
      <c r="BA280">
        <v>266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Y280*Source!I383</f>
        <v>2.0838000000000001</v>
      </c>
      <c r="CY280">
        <f t="shared" si="61"/>
        <v>1457.04</v>
      </c>
      <c r="CZ280">
        <f t="shared" si="62"/>
        <v>109.06</v>
      </c>
      <c r="DA280">
        <f t="shared" si="63"/>
        <v>13.36</v>
      </c>
      <c r="DB280">
        <f t="shared" si="59"/>
        <v>125.465</v>
      </c>
      <c r="DC280">
        <f t="shared" si="60"/>
        <v>12.42</v>
      </c>
    </row>
    <row r="281" spans="1:107" x14ac:dyDescent="0.2">
      <c r="A281">
        <f>ROW(Source!A383)</f>
        <v>383</v>
      </c>
      <c r="B281">
        <v>46416371</v>
      </c>
      <c r="C281">
        <v>46468743</v>
      </c>
      <c r="D281">
        <v>42570663</v>
      </c>
      <c r="E281">
        <v>1</v>
      </c>
      <c r="F281">
        <v>1</v>
      </c>
      <c r="G281">
        <v>1</v>
      </c>
      <c r="H281">
        <v>2</v>
      </c>
      <c r="I281" t="s">
        <v>617</v>
      </c>
      <c r="J281" t="s">
        <v>618</v>
      </c>
      <c r="K281" t="s">
        <v>619</v>
      </c>
      <c r="L281">
        <v>1368</v>
      </c>
      <c r="N281">
        <v>1011</v>
      </c>
      <c r="O281" t="s">
        <v>393</v>
      </c>
      <c r="P281" t="s">
        <v>393</v>
      </c>
      <c r="Q281">
        <v>1</v>
      </c>
      <c r="W281">
        <v>0</v>
      </c>
      <c r="X281">
        <v>1358447430</v>
      </c>
      <c r="Y281">
        <v>1.1499999999999999</v>
      </c>
      <c r="AA281">
        <v>0</v>
      </c>
      <c r="AB281">
        <v>9436.0300000000007</v>
      </c>
      <c r="AC281">
        <v>534.11</v>
      </c>
      <c r="AD281">
        <v>0</v>
      </c>
      <c r="AE281">
        <v>0</v>
      </c>
      <c r="AF281">
        <v>706.29</v>
      </c>
      <c r="AG281">
        <v>15.37</v>
      </c>
      <c r="AH281">
        <v>0</v>
      </c>
      <c r="AI281">
        <v>1</v>
      </c>
      <c r="AJ281">
        <v>13.36</v>
      </c>
      <c r="AK281">
        <v>34.75</v>
      </c>
      <c r="AL281">
        <v>1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3</v>
      </c>
      <c r="AT281">
        <v>0.1</v>
      </c>
      <c r="AU281" t="s">
        <v>296</v>
      </c>
      <c r="AV281">
        <v>0</v>
      </c>
      <c r="AW281">
        <v>2</v>
      </c>
      <c r="AX281">
        <v>46468749</v>
      </c>
      <c r="AY281">
        <v>1</v>
      </c>
      <c r="AZ281">
        <v>0</v>
      </c>
      <c r="BA281">
        <v>267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Y281*Source!I383</f>
        <v>2.0838000000000001</v>
      </c>
      <c r="CY281">
        <f t="shared" si="61"/>
        <v>9436.0300000000007</v>
      </c>
      <c r="CZ281">
        <f t="shared" si="62"/>
        <v>706.29</v>
      </c>
      <c r="DA281">
        <f t="shared" si="63"/>
        <v>13.36</v>
      </c>
      <c r="DB281">
        <f t="shared" si="59"/>
        <v>812.245</v>
      </c>
      <c r="DC281">
        <f t="shared" si="60"/>
        <v>17.71</v>
      </c>
    </row>
    <row r="282" spans="1:107" x14ac:dyDescent="0.2">
      <c r="A282">
        <f>ROW(Source!A383)</f>
        <v>383</v>
      </c>
      <c r="B282">
        <v>46416371</v>
      </c>
      <c r="C282">
        <v>46468743</v>
      </c>
      <c r="D282">
        <v>42570664</v>
      </c>
      <c r="E282">
        <v>1</v>
      </c>
      <c r="F282">
        <v>1</v>
      </c>
      <c r="G282">
        <v>1</v>
      </c>
      <c r="H282">
        <v>2</v>
      </c>
      <c r="I282" t="s">
        <v>620</v>
      </c>
      <c r="J282" t="s">
        <v>621</v>
      </c>
      <c r="K282" t="s">
        <v>622</v>
      </c>
      <c r="L282">
        <v>1368</v>
      </c>
      <c r="N282">
        <v>1011</v>
      </c>
      <c r="O282" t="s">
        <v>393</v>
      </c>
      <c r="P282" t="s">
        <v>393</v>
      </c>
      <c r="Q282">
        <v>1</v>
      </c>
      <c r="W282">
        <v>0</v>
      </c>
      <c r="X282">
        <v>1067570249</v>
      </c>
      <c r="Y282">
        <v>1.1499999999999999</v>
      </c>
      <c r="AA282">
        <v>0</v>
      </c>
      <c r="AB282">
        <v>259.18</v>
      </c>
      <c r="AC282">
        <v>0</v>
      </c>
      <c r="AD282">
        <v>0</v>
      </c>
      <c r="AE282">
        <v>0</v>
      </c>
      <c r="AF282">
        <v>19.399999999999999</v>
      </c>
      <c r="AG282">
        <v>0</v>
      </c>
      <c r="AH282">
        <v>0</v>
      </c>
      <c r="AI282">
        <v>1</v>
      </c>
      <c r="AJ282">
        <v>13.36</v>
      </c>
      <c r="AK282">
        <v>34.75</v>
      </c>
      <c r="AL282">
        <v>1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3</v>
      </c>
      <c r="AT282">
        <v>0.1</v>
      </c>
      <c r="AU282" t="s">
        <v>296</v>
      </c>
      <c r="AV282">
        <v>0</v>
      </c>
      <c r="AW282">
        <v>2</v>
      </c>
      <c r="AX282">
        <v>46468750</v>
      </c>
      <c r="AY282">
        <v>1</v>
      </c>
      <c r="AZ282">
        <v>0</v>
      </c>
      <c r="BA282">
        <v>268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Y282*Source!I383</f>
        <v>2.0838000000000001</v>
      </c>
      <c r="CY282">
        <f t="shared" si="61"/>
        <v>259.18</v>
      </c>
      <c r="CZ282">
        <f t="shared" si="62"/>
        <v>19.399999999999999</v>
      </c>
      <c r="DA282">
        <f t="shared" si="63"/>
        <v>13.36</v>
      </c>
      <c r="DB282">
        <f t="shared" si="59"/>
        <v>22.31</v>
      </c>
      <c r="DC282">
        <f t="shared" si="60"/>
        <v>0</v>
      </c>
    </row>
    <row r="283" spans="1:107" x14ac:dyDescent="0.2">
      <c r="A283">
        <f>ROW(Source!A383)</f>
        <v>383</v>
      </c>
      <c r="B283">
        <v>46416371</v>
      </c>
      <c r="C283">
        <v>46468743</v>
      </c>
      <c r="D283">
        <v>42570685</v>
      </c>
      <c r="E283">
        <v>1</v>
      </c>
      <c r="F283">
        <v>1</v>
      </c>
      <c r="G283">
        <v>1</v>
      </c>
      <c r="H283">
        <v>2</v>
      </c>
      <c r="I283" t="s">
        <v>632</v>
      </c>
      <c r="J283" t="s">
        <v>633</v>
      </c>
      <c r="K283" t="s">
        <v>634</v>
      </c>
      <c r="L283">
        <v>1368</v>
      </c>
      <c r="N283">
        <v>1011</v>
      </c>
      <c r="O283" t="s">
        <v>393</v>
      </c>
      <c r="P283" t="s">
        <v>393</v>
      </c>
      <c r="Q283">
        <v>1</v>
      </c>
      <c r="W283">
        <v>0</v>
      </c>
      <c r="X283">
        <v>-717460794</v>
      </c>
      <c r="Y283">
        <v>0.69</v>
      </c>
      <c r="AA283">
        <v>0</v>
      </c>
      <c r="AB283">
        <v>2691.37</v>
      </c>
      <c r="AC283">
        <v>326.64999999999998</v>
      </c>
      <c r="AD283">
        <v>0</v>
      </c>
      <c r="AE283">
        <v>0</v>
      </c>
      <c r="AF283">
        <v>201.45</v>
      </c>
      <c r="AG283">
        <v>9.4</v>
      </c>
      <c r="AH283">
        <v>0</v>
      </c>
      <c r="AI283">
        <v>1</v>
      </c>
      <c r="AJ283">
        <v>13.36</v>
      </c>
      <c r="AK283">
        <v>34.75</v>
      </c>
      <c r="AL283">
        <v>1</v>
      </c>
      <c r="AN283">
        <v>0</v>
      </c>
      <c r="AO283">
        <v>1</v>
      </c>
      <c r="AP283">
        <v>1</v>
      </c>
      <c r="AQ283">
        <v>0</v>
      </c>
      <c r="AR283">
        <v>0</v>
      </c>
      <c r="AS283" t="s">
        <v>3</v>
      </c>
      <c r="AT283">
        <v>0.06</v>
      </c>
      <c r="AU283" t="s">
        <v>296</v>
      </c>
      <c r="AV283">
        <v>0</v>
      </c>
      <c r="AW283">
        <v>2</v>
      </c>
      <c r="AX283">
        <v>46468751</v>
      </c>
      <c r="AY283">
        <v>1</v>
      </c>
      <c r="AZ283">
        <v>0</v>
      </c>
      <c r="BA283">
        <v>269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Y283*Source!I383</f>
        <v>1.2502799999999998</v>
      </c>
      <c r="CY283">
        <f t="shared" si="61"/>
        <v>2691.37</v>
      </c>
      <c r="CZ283">
        <f t="shared" si="62"/>
        <v>201.45</v>
      </c>
      <c r="DA283">
        <f t="shared" si="63"/>
        <v>13.36</v>
      </c>
      <c r="DB283">
        <f t="shared" si="59"/>
        <v>139.035</v>
      </c>
      <c r="DC283">
        <f t="shared" si="60"/>
        <v>6.44</v>
      </c>
    </row>
    <row r="284" spans="1:107" x14ac:dyDescent="0.2">
      <c r="A284">
        <f>ROW(Source!A383)</f>
        <v>383</v>
      </c>
      <c r="B284">
        <v>46416371</v>
      </c>
      <c r="C284">
        <v>46468743</v>
      </c>
      <c r="D284">
        <v>42594116</v>
      </c>
      <c r="E284">
        <v>1</v>
      </c>
      <c r="F284">
        <v>1</v>
      </c>
      <c r="G284">
        <v>1</v>
      </c>
      <c r="H284">
        <v>3</v>
      </c>
      <c r="I284" t="s">
        <v>651</v>
      </c>
      <c r="J284" t="s">
        <v>652</v>
      </c>
      <c r="K284" t="s">
        <v>653</v>
      </c>
      <c r="L284">
        <v>1348</v>
      </c>
      <c r="N284">
        <v>1009</v>
      </c>
      <c r="O284" t="s">
        <v>184</v>
      </c>
      <c r="P284" t="s">
        <v>184</v>
      </c>
      <c r="Q284">
        <v>1000</v>
      </c>
      <c r="W284">
        <v>0</v>
      </c>
      <c r="X284">
        <v>1622604025</v>
      </c>
      <c r="Y284">
        <v>4.0000000000000001E-3</v>
      </c>
      <c r="AA284">
        <v>14557.24</v>
      </c>
      <c r="AB284">
        <v>0</v>
      </c>
      <c r="AC284">
        <v>0</v>
      </c>
      <c r="AD284">
        <v>0</v>
      </c>
      <c r="AE284">
        <v>1756</v>
      </c>
      <c r="AF284">
        <v>0</v>
      </c>
      <c r="AG284">
        <v>0</v>
      </c>
      <c r="AH284">
        <v>0</v>
      </c>
      <c r="AI284">
        <v>8.2899999999999991</v>
      </c>
      <c r="AJ284">
        <v>1</v>
      </c>
      <c r="AK284">
        <v>1</v>
      </c>
      <c r="AL284">
        <v>1</v>
      </c>
      <c r="AN284">
        <v>0</v>
      </c>
      <c r="AO284">
        <v>1</v>
      </c>
      <c r="AP284">
        <v>1</v>
      </c>
      <c r="AQ284">
        <v>0</v>
      </c>
      <c r="AR284">
        <v>0</v>
      </c>
      <c r="AS284" t="s">
        <v>3</v>
      </c>
      <c r="AT284">
        <v>1E-3</v>
      </c>
      <c r="AU284" t="s">
        <v>295</v>
      </c>
      <c r="AV284">
        <v>0</v>
      </c>
      <c r="AW284">
        <v>2</v>
      </c>
      <c r="AX284">
        <v>46468752</v>
      </c>
      <c r="AY284">
        <v>1</v>
      </c>
      <c r="AZ284">
        <v>0</v>
      </c>
      <c r="BA284">
        <v>270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Y284*Source!I383</f>
        <v>7.2480000000000001E-3</v>
      </c>
      <c r="CY284">
        <f>AA284</f>
        <v>14557.24</v>
      </c>
      <c r="CZ284">
        <f>AE284</f>
        <v>1756</v>
      </c>
      <c r="DA284">
        <f>AI284</f>
        <v>8.2899999999999991</v>
      </c>
      <c r="DB284">
        <f>ROUND((ROUND(AT284*CZ284,2)*4),6)</f>
        <v>7.04</v>
      </c>
      <c r="DC284">
        <f>ROUND((ROUND(AT284*AG284,2)*4),6)</f>
        <v>0</v>
      </c>
    </row>
    <row r="285" spans="1:107" x14ac:dyDescent="0.2">
      <c r="A285">
        <f>ROW(Source!A383)</f>
        <v>383</v>
      </c>
      <c r="B285">
        <v>46416371</v>
      </c>
      <c r="C285">
        <v>46468743</v>
      </c>
      <c r="D285">
        <v>42581991</v>
      </c>
      <c r="E285">
        <v>1</v>
      </c>
      <c r="F285">
        <v>1</v>
      </c>
      <c r="G285">
        <v>1</v>
      </c>
      <c r="H285">
        <v>3</v>
      </c>
      <c r="I285" t="s">
        <v>287</v>
      </c>
      <c r="J285" t="s">
        <v>289</v>
      </c>
      <c r="K285" t="s">
        <v>288</v>
      </c>
      <c r="L285">
        <v>1348</v>
      </c>
      <c r="N285">
        <v>1009</v>
      </c>
      <c r="O285" t="s">
        <v>184</v>
      </c>
      <c r="P285" t="s">
        <v>184</v>
      </c>
      <c r="Q285">
        <v>1000</v>
      </c>
      <c r="W285">
        <v>1</v>
      </c>
      <c r="X285">
        <v>1746175502</v>
      </c>
      <c r="Y285">
        <v>-52.8</v>
      </c>
      <c r="AA285">
        <v>2835.93</v>
      </c>
      <c r="AB285">
        <v>0</v>
      </c>
      <c r="AC285">
        <v>0</v>
      </c>
      <c r="AD285">
        <v>0</v>
      </c>
      <c r="AE285">
        <v>342.09</v>
      </c>
      <c r="AF285">
        <v>0</v>
      </c>
      <c r="AG285">
        <v>0</v>
      </c>
      <c r="AH285">
        <v>0</v>
      </c>
      <c r="AI285">
        <v>8.2899999999999991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1</v>
      </c>
      <c r="AQ285">
        <v>0</v>
      </c>
      <c r="AR285">
        <v>0</v>
      </c>
      <c r="AS285" t="s">
        <v>3</v>
      </c>
      <c r="AT285">
        <v>-13.2</v>
      </c>
      <c r="AU285" t="s">
        <v>295</v>
      </c>
      <c r="AV285">
        <v>0</v>
      </c>
      <c r="AW285">
        <v>2</v>
      </c>
      <c r="AX285">
        <v>46468753</v>
      </c>
      <c r="AY285">
        <v>1</v>
      </c>
      <c r="AZ285">
        <v>6144</v>
      </c>
      <c r="BA285">
        <v>271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Y285*Source!I383</f>
        <v>-95.673599999999993</v>
      </c>
      <c r="CY285">
        <f>AA285</f>
        <v>2835.93</v>
      </c>
      <c r="CZ285">
        <f>AE285</f>
        <v>342.09</v>
      </c>
      <c r="DA285">
        <f>AI285</f>
        <v>8.2899999999999991</v>
      </c>
      <c r="DB285">
        <f>ROUND((ROUND(AT285*CZ285,2)*4),6)</f>
        <v>-18062.36</v>
      </c>
      <c r="DC285">
        <f>ROUND((ROUND(AT285*AG285,2)*4),6)</f>
        <v>0</v>
      </c>
    </row>
    <row r="286" spans="1:107" x14ac:dyDescent="0.2">
      <c r="A286">
        <f>ROW(Source!A383)</f>
        <v>383</v>
      </c>
      <c r="B286">
        <v>46416371</v>
      </c>
      <c r="C286">
        <v>46468743</v>
      </c>
      <c r="D286">
        <v>42582071</v>
      </c>
      <c r="E286">
        <v>1</v>
      </c>
      <c r="F286">
        <v>1</v>
      </c>
      <c r="G286">
        <v>1</v>
      </c>
      <c r="H286">
        <v>3</v>
      </c>
      <c r="I286" t="s">
        <v>660</v>
      </c>
      <c r="J286" t="s">
        <v>661</v>
      </c>
      <c r="K286" t="s">
        <v>662</v>
      </c>
      <c r="L286">
        <v>1339</v>
      </c>
      <c r="N286">
        <v>1007</v>
      </c>
      <c r="O286" t="s">
        <v>139</v>
      </c>
      <c r="P286" t="s">
        <v>139</v>
      </c>
      <c r="Q286">
        <v>1</v>
      </c>
      <c r="W286">
        <v>0</v>
      </c>
      <c r="X286">
        <v>644117468</v>
      </c>
      <c r="Y286">
        <v>1.76</v>
      </c>
      <c r="AA286">
        <v>12.44</v>
      </c>
      <c r="AB286">
        <v>0</v>
      </c>
      <c r="AC286">
        <v>0</v>
      </c>
      <c r="AD286">
        <v>0</v>
      </c>
      <c r="AE286">
        <v>1.5</v>
      </c>
      <c r="AF286">
        <v>0</v>
      </c>
      <c r="AG286">
        <v>0</v>
      </c>
      <c r="AH286">
        <v>0</v>
      </c>
      <c r="AI286">
        <v>8.2899999999999991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1</v>
      </c>
      <c r="AQ286">
        <v>0</v>
      </c>
      <c r="AR286">
        <v>0</v>
      </c>
      <c r="AS286" t="s">
        <v>3</v>
      </c>
      <c r="AT286">
        <v>0.44</v>
      </c>
      <c r="AU286" t="s">
        <v>295</v>
      </c>
      <c r="AV286">
        <v>0</v>
      </c>
      <c r="AW286">
        <v>2</v>
      </c>
      <c r="AX286">
        <v>46468754</v>
      </c>
      <c r="AY286">
        <v>1</v>
      </c>
      <c r="AZ286">
        <v>0</v>
      </c>
      <c r="BA286">
        <v>272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Y286*Source!I383</f>
        <v>3.18912</v>
      </c>
      <c r="CY286">
        <f>AA286</f>
        <v>12.44</v>
      </c>
      <c r="CZ286">
        <f>AE286</f>
        <v>1.5</v>
      </c>
      <c r="DA286">
        <f>AI286</f>
        <v>8.2899999999999991</v>
      </c>
      <c r="DB286">
        <f>ROUND((ROUND(AT286*CZ286,2)*4),6)</f>
        <v>2.64</v>
      </c>
      <c r="DC286">
        <f>ROUND((ROUND(AT286*AG286,2)*4),6)</f>
        <v>0</v>
      </c>
    </row>
    <row r="287" spans="1:107" x14ac:dyDescent="0.2">
      <c r="A287">
        <f>ROW(Source!A383)</f>
        <v>383</v>
      </c>
      <c r="B287">
        <v>46416371</v>
      </c>
      <c r="C287">
        <v>46468743</v>
      </c>
      <c r="D287">
        <v>0</v>
      </c>
      <c r="E287">
        <v>1</v>
      </c>
      <c r="F287">
        <v>1</v>
      </c>
      <c r="G287">
        <v>1</v>
      </c>
      <c r="H287">
        <v>3</v>
      </c>
      <c r="I287" t="s">
        <v>145</v>
      </c>
      <c r="J287" t="s">
        <v>3</v>
      </c>
      <c r="K287" t="s">
        <v>290</v>
      </c>
      <c r="L287">
        <v>1348</v>
      </c>
      <c r="N287">
        <v>1009</v>
      </c>
      <c r="O287" t="s">
        <v>184</v>
      </c>
      <c r="P287" t="s">
        <v>184</v>
      </c>
      <c r="Q287">
        <v>1000</v>
      </c>
      <c r="W287">
        <v>0</v>
      </c>
      <c r="X287">
        <v>2054945668</v>
      </c>
      <c r="Y287">
        <v>52.798574000000002</v>
      </c>
      <c r="AA287">
        <v>4892.5</v>
      </c>
      <c r="AB287">
        <v>0</v>
      </c>
      <c r="AC287">
        <v>0</v>
      </c>
      <c r="AD287">
        <v>0</v>
      </c>
      <c r="AE287">
        <v>4892.5</v>
      </c>
      <c r="AF287">
        <v>0</v>
      </c>
      <c r="AG287">
        <v>0</v>
      </c>
      <c r="AH287">
        <v>0</v>
      </c>
      <c r="AI287">
        <v>1</v>
      </c>
      <c r="AJ287">
        <v>1</v>
      </c>
      <c r="AK287">
        <v>1</v>
      </c>
      <c r="AL287">
        <v>1</v>
      </c>
      <c r="AN287">
        <v>0</v>
      </c>
      <c r="AO287">
        <v>0</v>
      </c>
      <c r="AP287">
        <v>0</v>
      </c>
      <c r="AQ287">
        <v>0</v>
      </c>
      <c r="AR287">
        <v>0</v>
      </c>
      <c r="AS287" t="s">
        <v>3</v>
      </c>
      <c r="AT287">
        <v>52.798574000000002</v>
      </c>
      <c r="AU287" t="s">
        <v>3</v>
      </c>
      <c r="AV287">
        <v>0</v>
      </c>
      <c r="AW287">
        <v>1</v>
      </c>
      <c r="AX287">
        <v>-1</v>
      </c>
      <c r="AY287">
        <v>0</v>
      </c>
      <c r="AZ287">
        <v>0</v>
      </c>
      <c r="BA287" t="s">
        <v>3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Y287*Source!I383</f>
        <v>95.671016088000002</v>
      </c>
      <c r="CY287">
        <f>AA287</f>
        <v>4892.5</v>
      </c>
      <c r="CZ287">
        <f>AE287</f>
        <v>4892.5</v>
      </c>
      <c r="DA287">
        <f>AI287</f>
        <v>1</v>
      </c>
      <c r="DB287">
        <f>ROUND(ROUND(AT287*CZ287,2),6)</f>
        <v>258317.02</v>
      </c>
      <c r="DC287">
        <f>ROUND(ROUND(AT287*AG287,2),6)</f>
        <v>0</v>
      </c>
    </row>
    <row r="288" spans="1:107" x14ac:dyDescent="0.2">
      <c r="A288">
        <f>ROW(Source!A386)</f>
        <v>386</v>
      </c>
      <c r="B288">
        <v>46416371</v>
      </c>
      <c r="C288">
        <v>46468758</v>
      </c>
      <c r="D288">
        <v>121548</v>
      </c>
      <c r="E288">
        <v>1</v>
      </c>
      <c r="F288">
        <v>1</v>
      </c>
      <c r="G288">
        <v>1</v>
      </c>
      <c r="H288">
        <v>1</v>
      </c>
      <c r="I288" t="s">
        <v>26</v>
      </c>
      <c r="J288" t="s">
        <v>3</v>
      </c>
      <c r="K288" t="s">
        <v>388</v>
      </c>
      <c r="L288">
        <v>608254</v>
      </c>
      <c r="N288">
        <v>1013</v>
      </c>
      <c r="O288" t="s">
        <v>389</v>
      </c>
      <c r="P288" t="s">
        <v>389</v>
      </c>
      <c r="Q288">
        <v>1</v>
      </c>
      <c r="W288">
        <v>0</v>
      </c>
      <c r="X288">
        <v>-185737400</v>
      </c>
      <c r="Y288">
        <v>0.75900000000000001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34.75</v>
      </c>
      <c r="AL288">
        <v>1</v>
      </c>
      <c r="AN288">
        <v>0</v>
      </c>
      <c r="AO288">
        <v>1</v>
      </c>
      <c r="AP288">
        <v>1</v>
      </c>
      <c r="AQ288">
        <v>0</v>
      </c>
      <c r="AR288">
        <v>0</v>
      </c>
      <c r="AS288" t="s">
        <v>3</v>
      </c>
      <c r="AT288">
        <v>0.66</v>
      </c>
      <c r="AU288" t="s">
        <v>31</v>
      </c>
      <c r="AV288">
        <v>2</v>
      </c>
      <c r="AW288">
        <v>2</v>
      </c>
      <c r="AX288">
        <v>46468762</v>
      </c>
      <c r="AY288">
        <v>1</v>
      </c>
      <c r="AZ288">
        <v>0</v>
      </c>
      <c r="BA288">
        <v>273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Y288*Source!I386</f>
        <v>0.12751200000000001</v>
      </c>
      <c r="CY288">
        <f>AD288</f>
        <v>0</v>
      </c>
      <c r="CZ288">
        <f>AH288</f>
        <v>0</v>
      </c>
      <c r="DA288">
        <f>AL288</f>
        <v>1</v>
      </c>
      <c r="DB288">
        <f>ROUND((ROUND(AT288*CZ288,2)*1.15),6)</f>
        <v>0</v>
      </c>
      <c r="DC288">
        <f>ROUND((ROUND(AT288*AG288,2)*1.15),6)</f>
        <v>0</v>
      </c>
    </row>
    <row r="289" spans="1:107" x14ac:dyDescent="0.2">
      <c r="A289">
        <f>ROW(Source!A386)</f>
        <v>386</v>
      </c>
      <c r="B289">
        <v>46416371</v>
      </c>
      <c r="C289">
        <v>46468758</v>
      </c>
      <c r="D289">
        <v>42568363</v>
      </c>
      <c r="E289">
        <v>1</v>
      </c>
      <c r="F289">
        <v>1</v>
      </c>
      <c r="G289">
        <v>1</v>
      </c>
      <c r="H289">
        <v>2</v>
      </c>
      <c r="I289" t="s">
        <v>600</v>
      </c>
      <c r="J289" t="s">
        <v>601</v>
      </c>
      <c r="K289" t="s">
        <v>602</v>
      </c>
      <c r="L289">
        <v>1368</v>
      </c>
      <c r="N289">
        <v>1011</v>
      </c>
      <c r="O289" t="s">
        <v>393</v>
      </c>
      <c r="P289" t="s">
        <v>393</v>
      </c>
      <c r="Q289">
        <v>1</v>
      </c>
      <c r="W289">
        <v>0</v>
      </c>
      <c r="X289">
        <v>-2017990470</v>
      </c>
      <c r="Y289">
        <v>0.3795</v>
      </c>
      <c r="AA289">
        <v>0</v>
      </c>
      <c r="AB289">
        <v>1513.82</v>
      </c>
      <c r="AC289">
        <v>703.34</v>
      </c>
      <c r="AD289">
        <v>0</v>
      </c>
      <c r="AE289">
        <v>0</v>
      </c>
      <c r="AF289">
        <v>113.31</v>
      </c>
      <c r="AG289">
        <v>20.239999999999998</v>
      </c>
      <c r="AH289">
        <v>0</v>
      </c>
      <c r="AI289">
        <v>1</v>
      </c>
      <c r="AJ289">
        <v>13.36</v>
      </c>
      <c r="AK289">
        <v>34.75</v>
      </c>
      <c r="AL289">
        <v>1</v>
      </c>
      <c r="AN289">
        <v>0</v>
      </c>
      <c r="AO289">
        <v>1</v>
      </c>
      <c r="AP289">
        <v>1</v>
      </c>
      <c r="AQ289">
        <v>0</v>
      </c>
      <c r="AR289">
        <v>0</v>
      </c>
      <c r="AS289" t="s">
        <v>3</v>
      </c>
      <c r="AT289">
        <v>0.33</v>
      </c>
      <c r="AU289" t="s">
        <v>31</v>
      </c>
      <c r="AV289">
        <v>0</v>
      </c>
      <c r="AW289">
        <v>2</v>
      </c>
      <c r="AX289">
        <v>46468763</v>
      </c>
      <c r="AY289">
        <v>1</v>
      </c>
      <c r="AZ289">
        <v>0</v>
      </c>
      <c r="BA289">
        <v>274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Y289*Source!I386</f>
        <v>6.3756000000000007E-2</v>
      </c>
      <c r="CY289">
        <f>AB289</f>
        <v>1513.82</v>
      </c>
      <c r="CZ289">
        <f>AF289</f>
        <v>113.31</v>
      </c>
      <c r="DA289">
        <f>AJ289</f>
        <v>13.36</v>
      </c>
      <c r="DB289">
        <f>ROUND((ROUND(AT289*CZ289,2)*1.15),6)</f>
        <v>42.9985</v>
      </c>
      <c r="DC289">
        <f>ROUND((ROUND(AT289*AG289,2)*1.15),6)</f>
        <v>7.6820000000000004</v>
      </c>
    </row>
    <row r="290" spans="1:107" x14ac:dyDescent="0.2">
      <c r="A290">
        <f>ROW(Source!A386)</f>
        <v>386</v>
      </c>
      <c r="B290">
        <v>46416371</v>
      </c>
      <c r="C290">
        <v>46468758</v>
      </c>
      <c r="D290">
        <v>42594037</v>
      </c>
      <c r="E290">
        <v>1</v>
      </c>
      <c r="F290">
        <v>1</v>
      </c>
      <c r="G290">
        <v>1</v>
      </c>
      <c r="H290">
        <v>3</v>
      </c>
      <c r="I290" t="s">
        <v>603</v>
      </c>
      <c r="J290" t="s">
        <v>604</v>
      </c>
      <c r="K290" t="s">
        <v>605</v>
      </c>
      <c r="L290">
        <v>1348</v>
      </c>
      <c r="N290">
        <v>1009</v>
      </c>
      <c r="O290" t="s">
        <v>184</v>
      </c>
      <c r="P290" t="s">
        <v>184</v>
      </c>
      <c r="Q290">
        <v>1000</v>
      </c>
      <c r="W290">
        <v>0</v>
      </c>
      <c r="X290">
        <v>-967137777</v>
      </c>
      <c r="Y290">
        <v>1.03</v>
      </c>
      <c r="AA290">
        <v>12824.13</v>
      </c>
      <c r="AB290">
        <v>0</v>
      </c>
      <c r="AC290">
        <v>0</v>
      </c>
      <c r="AD290">
        <v>0</v>
      </c>
      <c r="AE290">
        <v>1546.94</v>
      </c>
      <c r="AF290">
        <v>0</v>
      </c>
      <c r="AG290">
        <v>0</v>
      </c>
      <c r="AH290">
        <v>0</v>
      </c>
      <c r="AI290">
        <v>8.2899999999999991</v>
      </c>
      <c r="AJ290">
        <v>1</v>
      </c>
      <c r="AK290">
        <v>1</v>
      </c>
      <c r="AL290">
        <v>1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3</v>
      </c>
      <c r="AT290">
        <v>1.03</v>
      </c>
      <c r="AU290" t="s">
        <v>3</v>
      </c>
      <c r="AV290">
        <v>0</v>
      </c>
      <c r="AW290">
        <v>2</v>
      </c>
      <c r="AX290">
        <v>46468764</v>
      </c>
      <c r="AY290">
        <v>1</v>
      </c>
      <c r="AZ290">
        <v>0</v>
      </c>
      <c r="BA290">
        <v>275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Y290*Source!I386</f>
        <v>0.17304000000000003</v>
      </c>
      <c r="CY290">
        <f>AA290</f>
        <v>12824.13</v>
      </c>
      <c r="CZ290">
        <f>AE290</f>
        <v>1546.94</v>
      </c>
      <c r="DA290">
        <f>AI290</f>
        <v>8.2899999999999991</v>
      </c>
      <c r="DB290">
        <f>ROUND(ROUND(AT290*CZ290,2),6)</f>
        <v>1593.35</v>
      </c>
      <c r="DC290">
        <f>ROUND(ROUND(AT290*AG290,2),6)</f>
        <v>0</v>
      </c>
    </row>
    <row r="291" spans="1:107" x14ac:dyDescent="0.2">
      <c r="A291">
        <f>ROW(Source!A387)</f>
        <v>387</v>
      </c>
      <c r="B291">
        <v>46416371</v>
      </c>
      <c r="C291">
        <v>46468765</v>
      </c>
      <c r="D291">
        <v>42646086</v>
      </c>
      <c r="E291">
        <v>1</v>
      </c>
      <c r="F291">
        <v>1</v>
      </c>
      <c r="G291">
        <v>1</v>
      </c>
      <c r="H291">
        <v>1</v>
      </c>
      <c r="I291" t="s">
        <v>440</v>
      </c>
      <c r="J291" t="s">
        <v>3</v>
      </c>
      <c r="K291" t="s">
        <v>441</v>
      </c>
      <c r="L291">
        <v>1369</v>
      </c>
      <c r="N291">
        <v>1013</v>
      </c>
      <c r="O291" t="s">
        <v>387</v>
      </c>
      <c r="P291" t="s">
        <v>387</v>
      </c>
      <c r="Q291">
        <v>1</v>
      </c>
      <c r="W291">
        <v>0</v>
      </c>
      <c r="X291">
        <v>-1538712529</v>
      </c>
      <c r="Y291">
        <v>23.988999999999997</v>
      </c>
      <c r="AA291">
        <v>0</v>
      </c>
      <c r="AB291">
        <v>0</v>
      </c>
      <c r="AC291">
        <v>0</v>
      </c>
      <c r="AD291">
        <v>283.91000000000003</v>
      </c>
      <c r="AE291">
        <v>0</v>
      </c>
      <c r="AF291">
        <v>0</v>
      </c>
      <c r="AG291">
        <v>0</v>
      </c>
      <c r="AH291">
        <v>8.17</v>
      </c>
      <c r="AI291">
        <v>1</v>
      </c>
      <c r="AJ291">
        <v>1</v>
      </c>
      <c r="AK291">
        <v>1</v>
      </c>
      <c r="AL291">
        <v>34.75</v>
      </c>
      <c r="AN291">
        <v>0</v>
      </c>
      <c r="AO291">
        <v>1</v>
      </c>
      <c r="AP291">
        <v>1</v>
      </c>
      <c r="AQ291">
        <v>0</v>
      </c>
      <c r="AR291">
        <v>0</v>
      </c>
      <c r="AS291" t="s">
        <v>3</v>
      </c>
      <c r="AT291">
        <v>20.86</v>
      </c>
      <c r="AU291" t="s">
        <v>31</v>
      </c>
      <c r="AV291">
        <v>1</v>
      </c>
      <c r="AW291">
        <v>2</v>
      </c>
      <c r="AX291">
        <v>46468766</v>
      </c>
      <c r="AY291">
        <v>1</v>
      </c>
      <c r="AZ291">
        <v>0</v>
      </c>
      <c r="BA291">
        <v>276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Y291*Source!I387</f>
        <v>43.468067999999995</v>
      </c>
      <c r="CY291">
        <f>AD291</f>
        <v>283.91000000000003</v>
      </c>
      <c r="CZ291">
        <f>AH291</f>
        <v>8.17</v>
      </c>
      <c r="DA291">
        <f>AL291</f>
        <v>34.75</v>
      </c>
      <c r="DB291">
        <f>ROUND((ROUND(AT291*CZ291,2)*1.15),6)</f>
        <v>195.99449999999999</v>
      </c>
      <c r="DC291">
        <f>ROUND((ROUND(AT291*AG291,2)*1.15),6)</f>
        <v>0</v>
      </c>
    </row>
    <row r="292" spans="1:107" x14ac:dyDescent="0.2">
      <c r="A292">
        <f>ROW(Source!A387)</f>
        <v>387</v>
      </c>
      <c r="B292">
        <v>46416371</v>
      </c>
      <c r="C292">
        <v>46468765</v>
      </c>
      <c r="D292">
        <v>121548</v>
      </c>
      <c r="E292">
        <v>1</v>
      </c>
      <c r="F292">
        <v>1</v>
      </c>
      <c r="G292">
        <v>1</v>
      </c>
      <c r="H292">
        <v>1</v>
      </c>
      <c r="I292" t="s">
        <v>26</v>
      </c>
      <c r="J292" t="s">
        <v>3</v>
      </c>
      <c r="K292" t="s">
        <v>388</v>
      </c>
      <c r="L292">
        <v>608254</v>
      </c>
      <c r="N292">
        <v>1013</v>
      </c>
      <c r="O292" t="s">
        <v>389</v>
      </c>
      <c r="P292" t="s">
        <v>389</v>
      </c>
      <c r="Q292">
        <v>1</v>
      </c>
      <c r="W292">
        <v>0</v>
      </c>
      <c r="X292">
        <v>-185737400</v>
      </c>
      <c r="Y292">
        <v>128.685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1</v>
      </c>
      <c r="AJ292">
        <v>1</v>
      </c>
      <c r="AK292">
        <v>34.75</v>
      </c>
      <c r="AL292">
        <v>1</v>
      </c>
      <c r="AN292">
        <v>0</v>
      </c>
      <c r="AO292">
        <v>1</v>
      </c>
      <c r="AP292">
        <v>1</v>
      </c>
      <c r="AQ292">
        <v>0</v>
      </c>
      <c r="AR292">
        <v>0</v>
      </c>
      <c r="AS292" t="s">
        <v>3</v>
      </c>
      <c r="AT292">
        <v>18.649999999999999</v>
      </c>
      <c r="AU292" t="s">
        <v>300</v>
      </c>
      <c r="AV292">
        <v>2</v>
      </c>
      <c r="AW292">
        <v>2</v>
      </c>
      <c r="AX292">
        <v>46468767</v>
      </c>
      <c r="AY292">
        <v>1</v>
      </c>
      <c r="AZ292">
        <v>0</v>
      </c>
      <c r="BA292">
        <v>277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Y292*Source!I387</f>
        <v>233.17722000000001</v>
      </c>
      <c r="CY292">
        <f>AD292</f>
        <v>0</v>
      </c>
      <c r="CZ292">
        <f>AH292</f>
        <v>0</v>
      </c>
      <c r="DA292">
        <f>AL292</f>
        <v>1</v>
      </c>
      <c r="DB292">
        <f t="shared" ref="DB292:DB306" si="64">ROUND((ROUND(AT292*CZ292,2)*1.15*6),6)</f>
        <v>0</v>
      </c>
      <c r="DC292">
        <f t="shared" ref="DC292:DC306" si="65">ROUND((ROUND(AT292*AG292,2)*1.15*6),6)</f>
        <v>0</v>
      </c>
    </row>
    <row r="293" spans="1:107" x14ac:dyDescent="0.2">
      <c r="A293">
        <f>ROW(Source!A387)</f>
        <v>387</v>
      </c>
      <c r="B293">
        <v>46416371</v>
      </c>
      <c r="C293">
        <v>46468765</v>
      </c>
      <c r="D293">
        <v>42567318</v>
      </c>
      <c r="E293">
        <v>1</v>
      </c>
      <c r="F293">
        <v>1</v>
      </c>
      <c r="G293">
        <v>1</v>
      </c>
      <c r="H293">
        <v>2</v>
      </c>
      <c r="I293" t="s">
        <v>432</v>
      </c>
      <c r="J293" t="s">
        <v>433</v>
      </c>
      <c r="K293" t="s">
        <v>434</v>
      </c>
      <c r="L293">
        <v>1368</v>
      </c>
      <c r="N293">
        <v>1011</v>
      </c>
      <c r="O293" t="s">
        <v>393</v>
      </c>
      <c r="P293" t="s">
        <v>393</v>
      </c>
      <c r="Q293">
        <v>1</v>
      </c>
      <c r="W293">
        <v>0</v>
      </c>
      <c r="X293">
        <v>-197763218</v>
      </c>
      <c r="Y293">
        <v>3.7949999999999999</v>
      </c>
      <c r="AA293">
        <v>0</v>
      </c>
      <c r="AB293">
        <v>1187.3</v>
      </c>
      <c r="AC293">
        <v>326.64999999999998</v>
      </c>
      <c r="AD293">
        <v>0</v>
      </c>
      <c r="AE293">
        <v>0</v>
      </c>
      <c r="AF293">
        <v>88.87</v>
      </c>
      <c r="AG293">
        <v>9.4</v>
      </c>
      <c r="AH293">
        <v>0</v>
      </c>
      <c r="AI293">
        <v>1</v>
      </c>
      <c r="AJ293">
        <v>13.36</v>
      </c>
      <c r="AK293">
        <v>34.75</v>
      </c>
      <c r="AL293">
        <v>1</v>
      </c>
      <c r="AN293">
        <v>0</v>
      </c>
      <c r="AO293">
        <v>1</v>
      </c>
      <c r="AP293">
        <v>1</v>
      </c>
      <c r="AQ293">
        <v>0</v>
      </c>
      <c r="AR293">
        <v>0</v>
      </c>
      <c r="AS293" t="s">
        <v>3</v>
      </c>
      <c r="AT293">
        <v>0.55000000000000004</v>
      </c>
      <c r="AU293" t="s">
        <v>300</v>
      </c>
      <c r="AV293">
        <v>0</v>
      </c>
      <c r="AW293">
        <v>2</v>
      </c>
      <c r="AX293">
        <v>46468768</v>
      </c>
      <c r="AY293">
        <v>1</v>
      </c>
      <c r="AZ293">
        <v>0</v>
      </c>
      <c r="BA293">
        <v>278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Y293*Source!I387</f>
        <v>6.8765400000000003</v>
      </c>
      <c r="CY293">
        <f t="shared" ref="CY293:CY306" si="66">AB293</f>
        <v>1187.3</v>
      </c>
      <c r="CZ293">
        <f t="shared" ref="CZ293:CZ306" si="67">AF293</f>
        <v>88.87</v>
      </c>
      <c r="DA293">
        <f t="shared" ref="DA293:DA306" si="68">AJ293</f>
        <v>13.36</v>
      </c>
      <c r="DB293">
        <f t="shared" si="64"/>
        <v>337.27199999999999</v>
      </c>
      <c r="DC293">
        <f t="shared" si="65"/>
        <v>35.673000000000002</v>
      </c>
    </row>
    <row r="294" spans="1:107" x14ac:dyDescent="0.2">
      <c r="A294">
        <f>ROW(Source!A387)</f>
        <v>387</v>
      </c>
      <c r="B294">
        <v>46416371</v>
      </c>
      <c r="C294">
        <v>46468765</v>
      </c>
      <c r="D294">
        <v>42567359</v>
      </c>
      <c r="E294">
        <v>1</v>
      </c>
      <c r="F294">
        <v>1</v>
      </c>
      <c r="G294">
        <v>1</v>
      </c>
      <c r="H294">
        <v>2</v>
      </c>
      <c r="I294" t="s">
        <v>606</v>
      </c>
      <c r="J294" t="s">
        <v>607</v>
      </c>
      <c r="K294" t="s">
        <v>608</v>
      </c>
      <c r="L294">
        <v>1368</v>
      </c>
      <c r="N294">
        <v>1011</v>
      </c>
      <c r="O294" t="s">
        <v>393</v>
      </c>
      <c r="P294" t="s">
        <v>393</v>
      </c>
      <c r="Q294">
        <v>1</v>
      </c>
      <c r="W294">
        <v>0</v>
      </c>
      <c r="X294">
        <v>-996458896</v>
      </c>
      <c r="Y294">
        <v>16.835999999999999</v>
      </c>
      <c r="AA294">
        <v>0</v>
      </c>
      <c r="AB294">
        <v>14.03</v>
      </c>
      <c r="AC294">
        <v>0</v>
      </c>
      <c r="AD294">
        <v>0</v>
      </c>
      <c r="AE294">
        <v>0</v>
      </c>
      <c r="AF294">
        <v>1.05</v>
      </c>
      <c r="AG294">
        <v>0</v>
      </c>
      <c r="AH294">
        <v>0</v>
      </c>
      <c r="AI294">
        <v>1</v>
      </c>
      <c r="AJ294">
        <v>13.36</v>
      </c>
      <c r="AK294">
        <v>34.75</v>
      </c>
      <c r="AL294">
        <v>1</v>
      </c>
      <c r="AN294">
        <v>0</v>
      </c>
      <c r="AO294">
        <v>1</v>
      </c>
      <c r="AP294">
        <v>1</v>
      </c>
      <c r="AQ294">
        <v>0</v>
      </c>
      <c r="AR294">
        <v>0</v>
      </c>
      <c r="AS294" t="s">
        <v>3</v>
      </c>
      <c r="AT294">
        <v>2.44</v>
      </c>
      <c r="AU294" t="s">
        <v>300</v>
      </c>
      <c r="AV294">
        <v>0</v>
      </c>
      <c r="AW294">
        <v>2</v>
      </c>
      <c r="AX294">
        <v>46468769</v>
      </c>
      <c r="AY294">
        <v>1</v>
      </c>
      <c r="AZ294">
        <v>0</v>
      </c>
      <c r="BA294">
        <v>279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Y294*Source!I387</f>
        <v>30.506831999999999</v>
      </c>
      <c r="CY294">
        <f t="shared" si="66"/>
        <v>14.03</v>
      </c>
      <c r="CZ294">
        <f t="shared" si="67"/>
        <v>1.05</v>
      </c>
      <c r="DA294">
        <f t="shared" si="68"/>
        <v>13.36</v>
      </c>
      <c r="DB294">
        <f t="shared" si="64"/>
        <v>17.664000000000001</v>
      </c>
      <c r="DC294">
        <f t="shared" si="65"/>
        <v>0</v>
      </c>
    </row>
    <row r="295" spans="1:107" x14ac:dyDescent="0.2">
      <c r="A295">
        <f>ROW(Source!A387)</f>
        <v>387</v>
      </c>
      <c r="B295">
        <v>46416371</v>
      </c>
      <c r="C295">
        <v>46468765</v>
      </c>
      <c r="D295">
        <v>42568433</v>
      </c>
      <c r="E295">
        <v>1</v>
      </c>
      <c r="F295">
        <v>1</v>
      </c>
      <c r="G295">
        <v>1</v>
      </c>
      <c r="H295">
        <v>2</v>
      </c>
      <c r="I295" t="s">
        <v>609</v>
      </c>
      <c r="J295" t="s">
        <v>610</v>
      </c>
      <c r="K295" t="s">
        <v>611</v>
      </c>
      <c r="L295">
        <v>1368</v>
      </c>
      <c r="N295">
        <v>1011</v>
      </c>
      <c r="O295" t="s">
        <v>393</v>
      </c>
      <c r="P295" t="s">
        <v>393</v>
      </c>
      <c r="Q295">
        <v>1</v>
      </c>
      <c r="W295">
        <v>0</v>
      </c>
      <c r="X295">
        <v>278313882</v>
      </c>
      <c r="Y295">
        <v>6.6929999999999996</v>
      </c>
      <c r="AA295">
        <v>0</v>
      </c>
      <c r="AB295">
        <v>2611.75</v>
      </c>
      <c r="AC295">
        <v>438.55</v>
      </c>
      <c r="AD295">
        <v>0</v>
      </c>
      <c r="AE295">
        <v>0</v>
      </c>
      <c r="AF295">
        <v>195.49</v>
      </c>
      <c r="AG295">
        <v>12.62</v>
      </c>
      <c r="AH295">
        <v>0</v>
      </c>
      <c r="AI295">
        <v>1</v>
      </c>
      <c r="AJ295">
        <v>13.36</v>
      </c>
      <c r="AK295">
        <v>34.75</v>
      </c>
      <c r="AL295">
        <v>1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3</v>
      </c>
      <c r="AT295">
        <v>0.97</v>
      </c>
      <c r="AU295" t="s">
        <v>300</v>
      </c>
      <c r="AV295">
        <v>0</v>
      </c>
      <c r="AW295">
        <v>2</v>
      </c>
      <c r="AX295">
        <v>46468770</v>
      </c>
      <c r="AY295">
        <v>1</v>
      </c>
      <c r="AZ295">
        <v>0</v>
      </c>
      <c r="BA295">
        <v>280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Y295*Source!I387</f>
        <v>12.127715999999999</v>
      </c>
      <c r="CY295">
        <f t="shared" si="66"/>
        <v>2611.75</v>
      </c>
      <c r="CZ295">
        <f t="shared" si="67"/>
        <v>195.49</v>
      </c>
      <c r="DA295">
        <f t="shared" si="68"/>
        <v>13.36</v>
      </c>
      <c r="DB295">
        <f t="shared" si="64"/>
        <v>1308.4469999999999</v>
      </c>
      <c r="DC295">
        <f t="shared" si="65"/>
        <v>84.456000000000003</v>
      </c>
    </row>
    <row r="296" spans="1:107" x14ac:dyDescent="0.2">
      <c r="A296">
        <f>ROW(Source!A387)</f>
        <v>387</v>
      </c>
      <c r="B296">
        <v>46416371</v>
      </c>
      <c r="C296">
        <v>46468765</v>
      </c>
      <c r="D296">
        <v>42568519</v>
      </c>
      <c r="E296">
        <v>1</v>
      </c>
      <c r="F296">
        <v>1</v>
      </c>
      <c r="G296">
        <v>1</v>
      </c>
      <c r="H296">
        <v>2</v>
      </c>
      <c r="I296" t="s">
        <v>612</v>
      </c>
      <c r="J296" t="s">
        <v>613</v>
      </c>
      <c r="K296" t="s">
        <v>614</v>
      </c>
      <c r="L296">
        <v>1368</v>
      </c>
      <c r="N296">
        <v>1011</v>
      </c>
      <c r="O296" t="s">
        <v>393</v>
      </c>
      <c r="P296" t="s">
        <v>393</v>
      </c>
      <c r="Q296">
        <v>1</v>
      </c>
      <c r="W296">
        <v>0</v>
      </c>
      <c r="X296">
        <v>-572200738</v>
      </c>
      <c r="Y296">
        <v>14.075999999999997</v>
      </c>
      <c r="AA296">
        <v>0</v>
      </c>
      <c r="AB296">
        <v>19967.86</v>
      </c>
      <c r="AC296">
        <v>467.74</v>
      </c>
      <c r="AD296">
        <v>0</v>
      </c>
      <c r="AE296">
        <v>0</v>
      </c>
      <c r="AF296">
        <v>1494.6</v>
      </c>
      <c r="AG296">
        <v>13.46</v>
      </c>
      <c r="AH296">
        <v>0</v>
      </c>
      <c r="AI296">
        <v>1</v>
      </c>
      <c r="AJ296">
        <v>13.36</v>
      </c>
      <c r="AK296">
        <v>34.75</v>
      </c>
      <c r="AL296">
        <v>1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3</v>
      </c>
      <c r="AT296">
        <v>2.04</v>
      </c>
      <c r="AU296" t="s">
        <v>300</v>
      </c>
      <c r="AV296">
        <v>0</v>
      </c>
      <c r="AW296">
        <v>2</v>
      </c>
      <c r="AX296">
        <v>46468771</v>
      </c>
      <c r="AY296">
        <v>1</v>
      </c>
      <c r="AZ296">
        <v>0</v>
      </c>
      <c r="BA296">
        <v>281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Y296*Source!I387</f>
        <v>25.505711999999995</v>
      </c>
      <c r="CY296">
        <f t="shared" si="66"/>
        <v>19967.86</v>
      </c>
      <c r="CZ296">
        <f t="shared" si="67"/>
        <v>1494.6</v>
      </c>
      <c r="DA296">
        <f t="shared" si="68"/>
        <v>13.36</v>
      </c>
      <c r="DB296">
        <f t="shared" si="64"/>
        <v>21037.962</v>
      </c>
      <c r="DC296">
        <f t="shared" si="65"/>
        <v>189.47399999999999</v>
      </c>
    </row>
    <row r="297" spans="1:107" x14ac:dyDescent="0.2">
      <c r="A297">
        <f>ROW(Source!A387)</f>
        <v>387</v>
      </c>
      <c r="B297">
        <v>46416371</v>
      </c>
      <c r="C297">
        <v>46468765</v>
      </c>
      <c r="D297">
        <v>42568531</v>
      </c>
      <c r="E297">
        <v>1</v>
      </c>
      <c r="F297">
        <v>1</v>
      </c>
      <c r="G297">
        <v>1</v>
      </c>
      <c r="H297">
        <v>2</v>
      </c>
      <c r="I297" t="s">
        <v>615</v>
      </c>
      <c r="J297" t="s">
        <v>616</v>
      </c>
      <c r="K297" t="s">
        <v>592</v>
      </c>
      <c r="L297">
        <v>1368</v>
      </c>
      <c r="N297">
        <v>1011</v>
      </c>
      <c r="O297" t="s">
        <v>393</v>
      </c>
      <c r="P297" t="s">
        <v>393</v>
      </c>
      <c r="Q297">
        <v>1</v>
      </c>
      <c r="W297">
        <v>0</v>
      </c>
      <c r="X297">
        <v>-637576487</v>
      </c>
      <c r="Y297">
        <v>21.39</v>
      </c>
      <c r="AA297">
        <v>0</v>
      </c>
      <c r="AB297">
        <v>1457.04</v>
      </c>
      <c r="AC297">
        <v>376.69</v>
      </c>
      <c r="AD297">
        <v>0</v>
      </c>
      <c r="AE297">
        <v>0</v>
      </c>
      <c r="AF297">
        <v>109.06</v>
      </c>
      <c r="AG297">
        <v>10.84</v>
      </c>
      <c r="AH297">
        <v>0</v>
      </c>
      <c r="AI297">
        <v>1</v>
      </c>
      <c r="AJ297">
        <v>13.36</v>
      </c>
      <c r="AK297">
        <v>34.75</v>
      </c>
      <c r="AL297">
        <v>1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3</v>
      </c>
      <c r="AT297">
        <v>3.1</v>
      </c>
      <c r="AU297" t="s">
        <v>300</v>
      </c>
      <c r="AV297">
        <v>0</v>
      </c>
      <c r="AW297">
        <v>2</v>
      </c>
      <c r="AX297">
        <v>46468772</v>
      </c>
      <c r="AY297">
        <v>1</v>
      </c>
      <c r="AZ297">
        <v>0</v>
      </c>
      <c r="BA297">
        <v>282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Y297*Source!I387</f>
        <v>38.758680000000005</v>
      </c>
      <c r="CY297">
        <f t="shared" si="66"/>
        <v>1457.04</v>
      </c>
      <c r="CZ297">
        <f t="shared" si="67"/>
        <v>109.06</v>
      </c>
      <c r="DA297">
        <f t="shared" si="68"/>
        <v>13.36</v>
      </c>
      <c r="DB297">
        <f t="shared" si="64"/>
        <v>2332.8209999999999</v>
      </c>
      <c r="DC297">
        <f t="shared" si="65"/>
        <v>231.84</v>
      </c>
    </row>
    <row r="298" spans="1:107" x14ac:dyDescent="0.2">
      <c r="A298">
        <f>ROW(Source!A387)</f>
        <v>387</v>
      </c>
      <c r="B298">
        <v>46416371</v>
      </c>
      <c r="C298">
        <v>46468765</v>
      </c>
      <c r="D298">
        <v>42570318</v>
      </c>
      <c r="E298">
        <v>1</v>
      </c>
      <c r="F298">
        <v>1</v>
      </c>
      <c r="G298">
        <v>1</v>
      </c>
      <c r="H298">
        <v>2</v>
      </c>
      <c r="I298" t="s">
        <v>397</v>
      </c>
      <c r="J298" t="s">
        <v>398</v>
      </c>
      <c r="K298" t="s">
        <v>399</v>
      </c>
      <c r="L298">
        <v>1368</v>
      </c>
      <c r="N298">
        <v>1011</v>
      </c>
      <c r="O298" t="s">
        <v>393</v>
      </c>
      <c r="P298" t="s">
        <v>393</v>
      </c>
      <c r="Q298">
        <v>1</v>
      </c>
      <c r="W298">
        <v>0</v>
      </c>
      <c r="X298">
        <v>1513431240</v>
      </c>
      <c r="Y298">
        <v>7.9349999999999987</v>
      </c>
      <c r="AA298">
        <v>0</v>
      </c>
      <c r="AB298">
        <v>20.440000000000001</v>
      </c>
      <c r="AC298">
        <v>0</v>
      </c>
      <c r="AD298">
        <v>0</v>
      </c>
      <c r="AE298">
        <v>0</v>
      </c>
      <c r="AF298">
        <v>1.53</v>
      </c>
      <c r="AG298">
        <v>0</v>
      </c>
      <c r="AH298">
        <v>0</v>
      </c>
      <c r="AI298">
        <v>1</v>
      </c>
      <c r="AJ298">
        <v>13.36</v>
      </c>
      <c r="AK298">
        <v>34.75</v>
      </c>
      <c r="AL298">
        <v>1</v>
      </c>
      <c r="AN298">
        <v>0</v>
      </c>
      <c r="AO298">
        <v>1</v>
      </c>
      <c r="AP298">
        <v>1</v>
      </c>
      <c r="AQ298">
        <v>0</v>
      </c>
      <c r="AR298">
        <v>0</v>
      </c>
      <c r="AS298" t="s">
        <v>3</v>
      </c>
      <c r="AT298">
        <v>1.1499999999999999</v>
      </c>
      <c r="AU298" t="s">
        <v>300</v>
      </c>
      <c r="AV298">
        <v>0</v>
      </c>
      <c r="AW298">
        <v>2</v>
      </c>
      <c r="AX298">
        <v>46468773</v>
      </c>
      <c r="AY298">
        <v>1</v>
      </c>
      <c r="AZ298">
        <v>0</v>
      </c>
      <c r="BA298">
        <v>283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Y298*Source!I387</f>
        <v>14.378219999999999</v>
      </c>
      <c r="CY298">
        <f t="shared" si="66"/>
        <v>20.440000000000001</v>
      </c>
      <c r="CZ298">
        <f t="shared" si="67"/>
        <v>1.53</v>
      </c>
      <c r="DA298">
        <f t="shared" si="68"/>
        <v>13.36</v>
      </c>
      <c r="DB298">
        <f t="shared" si="64"/>
        <v>12.144</v>
      </c>
      <c r="DC298">
        <f t="shared" si="65"/>
        <v>0</v>
      </c>
    </row>
    <row r="299" spans="1:107" x14ac:dyDescent="0.2">
      <c r="A299">
        <f>ROW(Source!A387)</f>
        <v>387</v>
      </c>
      <c r="B299">
        <v>46416371</v>
      </c>
      <c r="C299">
        <v>46468765</v>
      </c>
      <c r="D299">
        <v>42570663</v>
      </c>
      <c r="E299">
        <v>1</v>
      </c>
      <c r="F299">
        <v>1</v>
      </c>
      <c r="G299">
        <v>1</v>
      </c>
      <c r="H299">
        <v>2</v>
      </c>
      <c r="I299" t="s">
        <v>617</v>
      </c>
      <c r="J299" t="s">
        <v>618</v>
      </c>
      <c r="K299" t="s">
        <v>619</v>
      </c>
      <c r="L299">
        <v>1368</v>
      </c>
      <c r="N299">
        <v>1011</v>
      </c>
      <c r="O299" t="s">
        <v>393</v>
      </c>
      <c r="P299" t="s">
        <v>393</v>
      </c>
      <c r="Q299">
        <v>1</v>
      </c>
      <c r="W299">
        <v>0</v>
      </c>
      <c r="X299">
        <v>1358447430</v>
      </c>
      <c r="Y299">
        <v>14.075999999999997</v>
      </c>
      <c r="AA299">
        <v>0</v>
      </c>
      <c r="AB299">
        <v>9436.0300000000007</v>
      </c>
      <c r="AC299">
        <v>534.11</v>
      </c>
      <c r="AD299">
        <v>0</v>
      </c>
      <c r="AE299">
        <v>0</v>
      </c>
      <c r="AF299">
        <v>706.29</v>
      </c>
      <c r="AG299">
        <v>15.37</v>
      </c>
      <c r="AH299">
        <v>0</v>
      </c>
      <c r="AI299">
        <v>1</v>
      </c>
      <c r="AJ299">
        <v>13.36</v>
      </c>
      <c r="AK299">
        <v>34.75</v>
      </c>
      <c r="AL299">
        <v>1</v>
      </c>
      <c r="AN299">
        <v>0</v>
      </c>
      <c r="AO299">
        <v>1</v>
      </c>
      <c r="AP299">
        <v>1</v>
      </c>
      <c r="AQ299">
        <v>0</v>
      </c>
      <c r="AR299">
        <v>0</v>
      </c>
      <c r="AS299" t="s">
        <v>3</v>
      </c>
      <c r="AT299">
        <v>2.04</v>
      </c>
      <c r="AU299" t="s">
        <v>300</v>
      </c>
      <c r="AV299">
        <v>0</v>
      </c>
      <c r="AW299">
        <v>2</v>
      </c>
      <c r="AX299">
        <v>46468774</v>
      </c>
      <c r="AY299">
        <v>1</v>
      </c>
      <c r="AZ299">
        <v>0</v>
      </c>
      <c r="BA299">
        <v>284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Y299*Source!I387</f>
        <v>25.505711999999995</v>
      </c>
      <c r="CY299">
        <f t="shared" si="66"/>
        <v>9436.0300000000007</v>
      </c>
      <c r="CZ299">
        <f t="shared" si="67"/>
        <v>706.29</v>
      </c>
      <c r="DA299">
        <f t="shared" si="68"/>
        <v>13.36</v>
      </c>
      <c r="DB299">
        <f t="shared" si="64"/>
        <v>9941.7270000000008</v>
      </c>
      <c r="DC299">
        <f t="shared" si="65"/>
        <v>216.315</v>
      </c>
    </row>
    <row r="300" spans="1:107" x14ac:dyDescent="0.2">
      <c r="A300">
        <f>ROW(Source!A387)</f>
        <v>387</v>
      </c>
      <c r="B300">
        <v>46416371</v>
      </c>
      <c r="C300">
        <v>46468765</v>
      </c>
      <c r="D300">
        <v>42570664</v>
      </c>
      <c r="E300">
        <v>1</v>
      </c>
      <c r="F300">
        <v>1</v>
      </c>
      <c r="G300">
        <v>1</v>
      </c>
      <c r="H300">
        <v>2</v>
      </c>
      <c r="I300" t="s">
        <v>620</v>
      </c>
      <c r="J300" t="s">
        <v>621</v>
      </c>
      <c r="K300" t="s">
        <v>622</v>
      </c>
      <c r="L300">
        <v>1368</v>
      </c>
      <c r="N300">
        <v>1011</v>
      </c>
      <c r="O300" t="s">
        <v>393</v>
      </c>
      <c r="P300" t="s">
        <v>393</v>
      </c>
      <c r="Q300">
        <v>1</v>
      </c>
      <c r="W300">
        <v>0</v>
      </c>
      <c r="X300">
        <v>1067570249</v>
      </c>
      <c r="Y300">
        <v>14.075999999999997</v>
      </c>
      <c r="AA300">
        <v>0</v>
      </c>
      <c r="AB300">
        <v>259.18</v>
      </c>
      <c r="AC300">
        <v>0</v>
      </c>
      <c r="AD300">
        <v>0</v>
      </c>
      <c r="AE300">
        <v>0</v>
      </c>
      <c r="AF300">
        <v>19.399999999999999</v>
      </c>
      <c r="AG300">
        <v>0</v>
      </c>
      <c r="AH300">
        <v>0</v>
      </c>
      <c r="AI300">
        <v>1</v>
      </c>
      <c r="AJ300">
        <v>13.36</v>
      </c>
      <c r="AK300">
        <v>34.75</v>
      </c>
      <c r="AL300">
        <v>1</v>
      </c>
      <c r="AN300">
        <v>0</v>
      </c>
      <c r="AO300">
        <v>1</v>
      </c>
      <c r="AP300">
        <v>1</v>
      </c>
      <c r="AQ300">
        <v>0</v>
      </c>
      <c r="AR300">
        <v>0</v>
      </c>
      <c r="AS300" t="s">
        <v>3</v>
      </c>
      <c r="AT300">
        <v>2.04</v>
      </c>
      <c r="AU300" t="s">
        <v>300</v>
      </c>
      <c r="AV300">
        <v>0</v>
      </c>
      <c r="AW300">
        <v>2</v>
      </c>
      <c r="AX300">
        <v>46468775</v>
      </c>
      <c r="AY300">
        <v>1</v>
      </c>
      <c r="AZ300">
        <v>0</v>
      </c>
      <c r="BA300">
        <v>285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Y300*Source!I387</f>
        <v>25.505711999999995</v>
      </c>
      <c r="CY300">
        <f t="shared" si="66"/>
        <v>259.18</v>
      </c>
      <c r="CZ300">
        <f t="shared" si="67"/>
        <v>19.399999999999999</v>
      </c>
      <c r="DA300">
        <f t="shared" si="68"/>
        <v>13.36</v>
      </c>
      <c r="DB300">
        <f t="shared" si="64"/>
        <v>273.10199999999998</v>
      </c>
      <c r="DC300">
        <f t="shared" si="65"/>
        <v>0</v>
      </c>
    </row>
    <row r="301" spans="1:107" x14ac:dyDescent="0.2">
      <c r="A301">
        <f>ROW(Source!A387)</f>
        <v>387</v>
      </c>
      <c r="B301">
        <v>46416371</v>
      </c>
      <c r="C301">
        <v>46468765</v>
      </c>
      <c r="D301">
        <v>42570665</v>
      </c>
      <c r="E301">
        <v>1</v>
      </c>
      <c r="F301">
        <v>1</v>
      </c>
      <c r="G301">
        <v>1</v>
      </c>
      <c r="H301">
        <v>2</v>
      </c>
      <c r="I301" t="s">
        <v>623</v>
      </c>
      <c r="J301" t="s">
        <v>624</v>
      </c>
      <c r="K301" t="s">
        <v>625</v>
      </c>
      <c r="L301">
        <v>1368</v>
      </c>
      <c r="N301">
        <v>1011</v>
      </c>
      <c r="O301" t="s">
        <v>393</v>
      </c>
      <c r="P301" t="s">
        <v>393</v>
      </c>
      <c r="Q301">
        <v>1</v>
      </c>
      <c r="W301">
        <v>0</v>
      </c>
      <c r="X301">
        <v>2059506934</v>
      </c>
      <c r="Y301">
        <v>10.419</v>
      </c>
      <c r="AA301">
        <v>0</v>
      </c>
      <c r="AB301">
        <v>4006</v>
      </c>
      <c r="AC301">
        <v>438.55</v>
      </c>
      <c r="AD301">
        <v>0</v>
      </c>
      <c r="AE301">
        <v>0</v>
      </c>
      <c r="AF301">
        <v>299.85000000000002</v>
      </c>
      <c r="AG301">
        <v>12.62</v>
      </c>
      <c r="AH301">
        <v>0</v>
      </c>
      <c r="AI301">
        <v>1</v>
      </c>
      <c r="AJ301">
        <v>13.36</v>
      </c>
      <c r="AK301">
        <v>34.75</v>
      </c>
      <c r="AL301">
        <v>1</v>
      </c>
      <c r="AN301">
        <v>0</v>
      </c>
      <c r="AO301">
        <v>1</v>
      </c>
      <c r="AP301">
        <v>1</v>
      </c>
      <c r="AQ301">
        <v>0</v>
      </c>
      <c r="AR301">
        <v>0</v>
      </c>
      <c r="AS301" t="s">
        <v>3</v>
      </c>
      <c r="AT301">
        <v>1.51</v>
      </c>
      <c r="AU301" t="s">
        <v>300</v>
      </c>
      <c r="AV301">
        <v>0</v>
      </c>
      <c r="AW301">
        <v>2</v>
      </c>
      <c r="AX301">
        <v>46468776</v>
      </c>
      <c r="AY301">
        <v>1</v>
      </c>
      <c r="AZ301">
        <v>0</v>
      </c>
      <c r="BA301">
        <v>286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Y301*Source!I387</f>
        <v>18.879228000000001</v>
      </c>
      <c r="CY301">
        <f t="shared" si="66"/>
        <v>4006</v>
      </c>
      <c r="CZ301">
        <f t="shared" si="67"/>
        <v>299.85000000000002</v>
      </c>
      <c r="DA301">
        <f t="shared" si="68"/>
        <v>13.36</v>
      </c>
      <c r="DB301">
        <f t="shared" si="64"/>
        <v>3124.1129999999998</v>
      </c>
      <c r="DC301">
        <f t="shared" si="65"/>
        <v>131.51400000000001</v>
      </c>
    </row>
    <row r="302" spans="1:107" x14ac:dyDescent="0.2">
      <c r="A302">
        <f>ROW(Source!A387)</f>
        <v>387</v>
      </c>
      <c r="B302">
        <v>46416371</v>
      </c>
      <c r="C302">
        <v>46468765</v>
      </c>
      <c r="D302">
        <v>42570666</v>
      </c>
      <c r="E302">
        <v>1</v>
      </c>
      <c r="F302">
        <v>1</v>
      </c>
      <c r="G302">
        <v>1</v>
      </c>
      <c r="H302">
        <v>2</v>
      </c>
      <c r="I302" t="s">
        <v>626</v>
      </c>
      <c r="J302" t="s">
        <v>627</v>
      </c>
      <c r="K302" t="s">
        <v>628</v>
      </c>
      <c r="L302">
        <v>1368</v>
      </c>
      <c r="N302">
        <v>1011</v>
      </c>
      <c r="O302" t="s">
        <v>393</v>
      </c>
      <c r="P302" t="s">
        <v>393</v>
      </c>
      <c r="Q302">
        <v>1</v>
      </c>
      <c r="W302">
        <v>0</v>
      </c>
      <c r="X302">
        <v>-59408922</v>
      </c>
      <c r="Y302">
        <v>17.870999999999995</v>
      </c>
      <c r="AA302">
        <v>0</v>
      </c>
      <c r="AB302">
        <v>1591.84</v>
      </c>
      <c r="AC302">
        <v>438.55</v>
      </c>
      <c r="AD302">
        <v>0</v>
      </c>
      <c r="AE302">
        <v>0</v>
      </c>
      <c r="AF302">
        <v>119.15</v>
      </c>
      <c r="AG302">
        <v>12.62</v>
      </c>
      <c r="AH302">
        <v>0</v>
      </c>
      <c r="AI302">
        <v>1</v>
      </c>
      <c r="AJ302">
        <v>13.36</v>
      </c>
      <c r="AK302">
        <v>34.75</v>
      </c>
      <c r="AL302">
        <v>1</v>
      </c>
      <c r="AN302">
        <v>0</v>
      </c>
      <c r="AO302">
        <v>1</v>
      </c>
      <c r="AP302">
        <v>1</v>
      </c>
      <c r="AQ302">
        <v>0</v>
      </c>
      <c r="AR302">
        <v>0</v>
      </c>
      <c r="AS302" t="s">
        <v>3</v>
      </c>
      <c r="AT302">
        <v>2.59</v>
      </c>
      <c r="AU302" t="s">
        <v>300</v>
      </c>
      <c r="AV302">
        <v>0</v>
      </c>
      <c r="AW302">
        <v>2</v>
      </c>
      <c r="AX302">
        <v>46468777</v>
      </c>
      <c r="AY302">
        <v>1</v>
      </c>
      <c r="AZ302">
        <v>0</v>
      </c>
      <c r="BA302">
        <v>287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Y302*Source!I387</f>
        <v>32.382251999999994</v>
      </c>
      <c r="CY302">
        <f t="shared" si="66"/>
        <v>1591.84</v>
      </c>
      <c r="CZ302">
        <f t="shared" si="67"/>
        <v>119.15</v>
      </c>
      <c r="DA302">
        <f t="shared" si="68"/>
        <v>13.36</v>
      </c>
      <c r="DB302">
        <f t="shared" si="64"/>
        <v>2129.34</v>
      </c>
      <c r="DC302">
        <f t="shared" si="65"/>
        <v>225.56100000000001</v>
      </c>
    </row>
    <row r="303" spans="1:107" x14ac:dyDescent="0.2">
      <c r="A303">
        <f>ROW(Source!A387)</f>
        <v>387</v>
      </c>
      <c r="B303">
        <v>46416371</v>
      </c>
      <c r="C303">
        <v>46468765</v>
      </c>
      <c r="D303">
        <v>42570667</v>
      </c>
      <c r="E303">
        <v>1</v>
      </c>
      <c r="F303">
        <v>1</v>
      </c>
      <c r="G303">
        <v>1</v>
      </c>
      <c r="H303">
        <v>2</v>
      </c>
      <c r="I303" t="s">
        <v>629</v>
      </c>
      <c r="J303" t="s">
        <v>630</v>
      </c>
      <c r="K303" t="s">
        <v>631</v>
      </c>
      <c r="L303">
        <v>1368</v>
      </c>
      <c r="N303">
        <v>1011</v>
      </c>
      <c r="O303" t="s">
        <v>393</v>
      </c>
      <c r="P303" t="s">
        <v>393</v>
      </c>
      <c r="Q303">
        <v>1</v>
      </c>
      <c r="W303">
        <v>0</v>
      </c>
      <c r="X303">
        <v>153152238</v>
      </c>
      <c r="Y303">
        <v>14.765999999999998</v>
      </c>
      <c r="AA303">
        <v>0</v>
      </c>
      <c r="AB303">
        <v>6374.72</v>
      </c>
      <c r="AC303">
        <v>438.55</v>
      </c>
      <c r="AD303">
        <v>0</v>
      </c>
      <c r="AE303">
        <v>0</v>
      </c>
      <c r="AF303">
        <v>477.15</v>
      </c>
      <c r="AG303">
        <v>12.62</v>
      </c>
      <c r="AH303">
        <v>0</v>
      </c>
      <c r="AI303">
        <v>1</v>
      </c>
      <c r="AJ303">
        <v>13.36</v>
      </c>
      <c r="AK303">
        <v>34.75</v>
      </c>
      <c r="AL303">
        <v>1</v>
      </c>
      <c r="AN303">
        <v>0</v>
      </c>
      <c r="AO303">
        <v>1</v>
      </c>
      <c r="AP303">
        <v>1</v>
      </c>
      <c r="AQ303">
        <v>0</v>
      </c>
      <c r="AR303">
        <v>0</v>
      </c>
      <c r="AS303" t="s">
        <v>3</v>
      </c>
      <c r="AT303">
        <v>2.14</v>
      </c>
      <c r="AU303" t="s">
        <v>300</v>
      </c>
      <c r="AV303">
        <v>0</v>
      </c>
      <c r="AW303">
        <v>2</v>
      </c>
      <c r="AX303">
        <v>46468778</v>
      </c>
      <c r="AY303">
        <v>1</v>
      </c>
      <c r="AZ303">
        <v>0</v>
      </c>
      <c r="BA303">
        <v>288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Y303*Source!I387</f>
        <v>26.755991999999999</v>
      </c>
      <c r="CY303">
        <f t="shared" si="66"/>
        <v>6374.72</v>
      </c>
      <c r="CZ303">
        <f t="shared" si="67"/>
        <v>477.15</v>
      </c>
      <c r="DA303">
        <f t="shared" si="68"/>
        <v>13.36</v>
      </c>
      <c r="DB303">
        <f t="shared" si="64"/>
        <v>7045.59</v>
      </c>
      <c r="DC303">
        <f t="shared" si="65"/>
        <v>186.369</v>
      </c>
    </row>
    <row r="304" spans="1:107" x14ac:dyDescent="0.2">
      <c r="A304">
        <f>ROW(Source!A387)</f>
        <v>387</v>
      </c>
      <c r="B304">
        <v>46416371</v>
      </c>
      <c r="C304">
        <v>46468765</v>
      </c>
      <c r="D304">
        <v>42570685</v>
      </c>
      <c r="E304">
        <v>1</v>
      </c>
      <c r="F304">
        <v>1</v>
      </c>
      <c r="G304">
        <v>1</v>
      </c>
      <c r="H304">
        <v>2</v>
      </c>
      <c r="I304" t="s">
        <v>632</v>
      </c>
      <c r="J304" t="s">
        <v>633</v>
      </c>
      <c r="K304" t="s">
        <v>634</v>
      </c>
      <c r="L304">
        <v>1368</v>
      </c>
      <c r="N304">
        <v>1011</v>
      </c>
      <c r="O304" t="s">
        <v>393</v>
      </c>
      <c r="P304" t="s">
        <v>393</v>
      </c>
      <c r="Q304">
        <v>1</v>
      </c>
      <c r="W304">
        <v>0</v>
      </c>
      <c r="X304">
        <v>-717460794</v>
      </c>
      <c r="Y304">
        <v>25.598999999999997</v>
      </c>
      <c r="AA304">
        <v>0</v>
      </c>
      <c r="AB304">
        <v>2691.37</v>
      </c>
      <c r="AC304">
        <v>326.64999999999998</v>
      </c>
      <c r="AD304">
        <v>0</v>
      </c>
      <c r="AE304">
        <v>0</v>
      </c>
      <c r="AF304">
        <v>201.45</v>
      </c>
      <c r="AG304">
        <v>9.4</v>
      </c>
      <c r="AH304">
        <v>0</v>
      </c>
      <c r="AI304">
        <v>1</v>
      </c>
      <c r="AJ304">
        <v>13.36</v>
      </c>
      <c r="AK304">
        <v>34.75</v>
      </c>
      <c r="AL304">
        <v>1</v>
      </c>
      <c r="AN304">
        <v>0</v>
      </c>
      <c r="AO304">
        <v>1</v>
      </c>
      <c r="AP304">
        <v>1</v>
      </c>
      <c r="AQ304">
        <v>0</v>
      </c>
      <c r="AR304">
        <v>0</v>
      </c>
      <c r="AS304" t="s">
        <v>3</v>
      </c>
      <c r="AT304">
        <v>3.71</v>
      </c>
      <c r="AU304" t="s">
        <v>300</v>
      </c>
      <c r="AV304">
        <v>0</v>
      </c>
      <c r="AW304">
        <v>2</v>
      </c>
      <c r="AX304">
        <v>46468779</v>
      </c>
      <c r="AY304">
        <v>1</v>
      </c>
      <c r="AZ304">
        <v>0</v>
      </c>
      <c r="BA304">
        <v>289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Y304*Source!I387</f>
        <v>46.385387999999992</v>
      </c>
      <c r="CY304">
        <f t="shared" si="66"/>
        <v>2691.37</v>
      </c>
      <c r="CZ304">
        <f t="shared" si="67"/>
        <v>201.45</v>
      </c>
      <c r="DA304">
        <f t="shared" si="68"/>
        <v>13.36</v>
      </c>
      <c r="DB304">
        <f t="shared" si="64"/>
        <v>5156.9219999999996</v>
      </c>
      <c r="DC304">
        <f t="shared" si="65"/>
        <v>240.60300000000001</v>
      </c>
    </row>
    <row r="305" spans="1:107" x14ac:dyDescent="0.2">
      <c r="A305">
        <f>ROW(Source!A387)</f>
        <v>387</v>
      </c>
      <c r="B305">
        <v>46416371</v>
      </c>
      <c r="C305">
        <v>46468765</v>
      </c>
      <c r="D305">
        <v>42570737</v>
      </c>
      <c r="E305">
        <v>1</v>
      </c>
      <c r="F305">
        <v>1</v>
      </c>
      <c r="G305">
        <v>1</v>
      </c>
      <c r="H305">
        <v>2</v>
      </c>
      <c r="I305" t="s">
        <v>635</v>
      </c>
      <c r="J305" t="s">
        <v>636</v>
      </c>
      <c r="K305" t="s">
        <v>637</v>
      </c>
      <c r="L305">
        <v>1368</v>
      </c>
      <c r="N305">
        <v>1011</v>
      </c>
      <c r="O305" t="s">
        <v>393</v>
      </c>
      <c r="P305" t="s">
        <v>393</v>
      </c>
      <c r="Q305">
        <v>1</v>
      </c>
      <c r="W305">
        <v>0</v>
      </c>
      <c r="X305">
        <v>-356557763</v>
      </c>
      <c r="Y305">
        <v>10.488</v>
      </c>
      <c r="AA305">
        <v>0</v>
      </c>
      <c r="AB305">
        <v>254.37</v>
      </c>
      <c r="AC305">
        <v>0</v>
      </c>
      <c r="AD305">
        <v>0</v>
      </c>
      <c r="AE305">
        <v>0</v>
      </c>
      <c r="AF305">
        <v>19.04</v>
      </c>
      <c r="AG305">
        <v>0</v>
      </c>
      <c r="AH305">
        <v>0</v>
      </c>
      <c r="AI305">
        <v>1</v>
      </c>
      <c r="AJ305">
        <v>13.36</v>
      </c>
      <c r="AK305">
        <v>34.75</v>
      </c>
      <c r="AL305">
        <v>1</v>
      </c>
      <c r="AN305">
        <v>0</v>
      </c>
      <c r="AO305">
        <v>1</v>
      </c>
      <c r="AP305">
        <v>1</v>
      </c>
      <c r="AQ305">
        <v>0</v>
      </c>
      <c r="AR305">
        <v>0</v>
      </c>
      <c r="AS305" t="s">
        <v>3</v>
      </c>
      <c r="AT305">
        <v>1.52</v>
      </c>
      <c r="AU305" t="s">
        <v>300</v>
      </c>
      <c r="AV305">
        <v>0</v>
      </c>
      <c r="AW305">
        <v>2</v>
      </c>
      <c r="AX305">
        <v>46468780</v>
      </c>
      <c r="AY305">
        <v>1</v>
      </c>
      <c r="AZ305">
        <v>0</v>
      </c>
      <c r="BA305">
        <v>290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Y305*Source!I387</f>
        <v>19.004255999999998</v>
      </c>
      <c r="CY305">
        <f t="shared" si="66"/>
        <v>254.37</v>
      </c>
      <c r="CZ305">
        <f t="shared" si="67"/>
        <v>19.04</v>
      </c>
      <c r="DA305">
        <f t="shared" si="68"/>
        <v>13.36</v>
      </c>
      <c r="DB305">
        <f t="shared" si="64"/>
        <v>199.68600000000001</v>
      </c>
      <c r="DC305">
        <f t="shared" si="65"/>
        <v>0</v>
      </c>
    </row>
    <row r="306" spans="1:107" x14ac:dyDescent="0.2">
      <c r="A306">
        <f>ROW(Source!A387)</f>
        <v>387</v>
      </c>
      <c r="B306">
        <v>46416371</v>
      </c>
      <c r="C306">
        <v>46468765</v>
      </c>
      <c r="D306">
        <v>42570857</v>
      </c>
      <c r="E306">
        <v>1</v>
      </c>
      <c r="F306">
        <v>1</v>
      </c>
      <c r="G306">
        <v>1</v>
      </c>
      <c r="H306">
        <v>2</v>
      </c>
      <c r="I306" t="s">
        <v>638</v>
      </c>
      <c r="J306" t="s">
        <v>639</v>
      </c>
      <c r="K306" t="s">
        <v>640</v>
      </c>
      <c r="L306">
        <v>1368</v>
      </c>
      <c r="N306">
        <v>1011</v>
      </c>
      <c r="O306" t="s">
        <v>393</v>
      </c>
      <c r="P306" t="s">
        <v>393</v>
      </c>
      <c r="Q306">
        <v>1</v>
      </c>
      <c r="W306">
        <v>0</v>
      </c>
      <c r="X306">
        <v>-1417116154</v>
      </c>
      <c r="Y306">
        <v>1.38</v>
      </c>
      <c r="AA306">
        <v>0</v>
      </c>
      <c r="AB306">
        <v>1492.98</v>
      </c>
      <c r="AC306">
        <v>376.69</v>
      </c>
      <c r="AD306">
        <v>0</v>
      </c>
      <c r="AE306">
        <v>0</v>
      </c>
      <c r="AF306">
        <v>111.75</v>
      </c>
      <c r="AG306">
        <v>10.84</v>
      </c>
      <c r="AH306">
        <v>0</v>
      </c>
      <c r="AI306">
        <v>1</v>
      </c>
      <c r="AJ306">
        <v>13.36</v>
      </c>
      <c r="AK306">
        <v>34.75</v>
      </c>
      <c r="AL306">
        <v>1</v>
      </c>
      <c r="AN306">
        <v>0</v>
      </c>
      <c r="AO306">
        <v>1</v>
      </c>
      <c r="AP306">
        <v>1</v>
      </c>
      <c r="AQ306">
        <v>0</v>
      </c>
      <c r="AR306">
        <v>0</v>
      </c>
      <c r="AS306" t="s">
        <v>3</v>
      </c>
      <c r="AT306">
        <v>0.2</v>
      </c>
      <c r="AU306" t="s">
        <v>300</v>
      </c>
      <c r="AV306">
        <v>0</v>
      </c>
      <c r="AW306">
        <v>2</v>
      </c>
      <c r="AX306">
        <v>46468781</v>
      </c>
      <c r="AY306">
        <v>1</v>
      </c>
      <c r="AZ306">
        <v>0</v>
      </c>
      <c r="BA306">
        <v>291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Y306*Source!I387</f>
        <v>2.5005599999999997</v>
      </c>
      <c r="CY306">
        <f t="shared" si="66"/>
        <v>1492.98</v>
      </c>
      <c r="CZ306">
        <f t="shared" si="67"/>
        <v>111.75</v>
      </c>
      <c r="DA306">
        <f t="shared" si="68"/>
        <v>13.36</v>
      </c>
      <c r="DB306">
        <f t="shared" si="64"/>
        <v>154.215</v>
      </c>
      <c r="DC306">
        <f t="shared" si="65"/>
        <v>14.973000000000001</v>
      </c>
    </row>
    <row r="307" spans="1:107" x14ac:dyDescent="0.2">
      <c r="A307">
        <f>ROW(Source!A387)</f>
        <v>387</v>
      </c>
      <c r="B307">
        <v>46416371</v>
      </c>
      <c r="C307">
        <v>46468765</v>
      </c>
      <c r="D307">
        <v>42597873</v>
      </c>
      <c r="E307">
        <v>1</v>
      </c>
      <c r="F307">
        <v>1</v>
      </c>
      <c r="G307">
        <v>1</v>
      </c>
      <c r="H307">
        <v>3</v>
      </c>
      <c r="I307" t="s">
        <v>641</v>
      </c>
      <c r="J307" t="s">
        <v>642</v>
      </c>
      <c r="K307" t="s">
        <v>643</v>
      </c>
      <c r="L307">
        <v>1348</v>
      </c>
      <c r="N307">
        <v>1009</v>
      </c>
      <c r="O307" t="s">
        <v>184</v>
      </c>
      <c r="P307" t="s">
        <v>184</v>
      </c>
      <c r="Q307">
        <v>1000</v>
      </c>
      <c r="W307">
        <v>0</v>
      </c>
      <c r="X307">
        <v>408784318</v>
      </c>
      <c r="Y307">
        <v>8.0000000000000004E-4</v>
      </c>
      <c r="AA307">
        <v>51627.72</v>
      </c>
      <c r="AB307">
        <v>0</v>
      </c>
      <c r="AC307">
        <v>0</v>
      </c>
      <c r="AD307">
        <v>0</v>
      </c>
      <c r="AE307">
        <v>6227.71</v>
      </c>
      <c r="AF307">
        <v>0</v>
      </c>
      <c r="AG307">
        <v>0</v>
      </c>
      <c r="AH307">
        <v>0</v>
      </c>
      <c r="AI307">
        <v>8.2899999999999991</v>
      </c>
      <c r="AJ307">
        <v>1</v>
      </c>
      <c r="AK307">
        <v>1</v>
      </c>
      <c r="AL307">
        <v>1</v>
      </c>
      <c r="AN307">
        <v>0</v>
      </c>
      <c r="AO307">
        <v>1</v>
      </c>
      <c r="AP307">
        <v>0</v>
      </c>
      <c r="AQ307">
        <v>0</v>
      </c>
      <c r="AR307">
        <v>0</v>
      </c>
      <c r="AS307" t="s">
        <v>3</v>
      </c>
      <c r="AT307">
        <v>8.0000000000000004E-4</v>
      </c>
      <c r="AU307" t="s">
        <v>3</v>
      </c>
      <c r="AV307">
        <v>0</v>
      </c>
      <c r="AW307">
        <v>2</v>
      </c>
      <c r="AX307">
        <v>46468782</v>
      </c>
      <c r="AY307">
        <v>1</v>
      </c>
      <c r="AZ307">
        <v>0</v>
      </c>
      <c r="BA307">
        <v>292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Y307*Source!I387</f>
        <v>1.4496000000000001E-3</v>
      </c>
      <c r="CY307">
        <f t="shared" ref="CY307:CY315" si="69">AA307</f>
        <v>51627.72</v>
      </c>
      <c r="CZ307">
        <f t="shared" ref="CZ307:CZ315" si="70">AE307</f>
        <v>6227.71</v>
      </c>
      <c r="DA307">
        <f t="shared" ref="DA307:DA315" si="71">AI307</f>
        <v>8.2899999999999991</v>
      </c>
      <c r="DB307">
        <f t="shared" ref="DB307:DB315" si="72">ROUND(ROUND(AT307*CZ307,2),6)</f>
        <v>4.9800000000000004</v>
      </c>
      <c r="DC307">
        <f t="shared" ref="DC307:DC315" si="73">ROUND(ROUND(AT307*AG307,2),6)</f>
        <v>0</v>
      </c>
    </row>
    <row r="308" spans="1:107" x14ac:dyDescent="0.2">
      <c r="A308">
        <f>ROW(Source!A387)</f>
        <v>387</v>
      </c>
      <c r="B308">
        <v>46416371</v>
      </c>
      <c r="C308">
        <v>46468765</v>
      </c>
      <c r="D308">
        <v>42600381</v>
      </c>
      <c r="E308">
        <v>1</v>
      </c>
      <c r="F308">
        <v>1</v>
      </c>
      <c r="G308">
        <v>1</v>
      </c>
      <c r="H308">
        <v>3</v>
      </c>
      <c r="I308" t="s">
        <v>644</v>
      </c>
      <c r="J308" t="s">
        <v>645</v>
      </c>
      <c r="K308" t="s">
        <v>646</v>
      </c>
      <c r="L308">
        <v>1354</v>
      </c>
      <c r="N308">
        <v>1010</v>
      </c>
      <c r="O308" t="s">
        <v>647</v>
      </c>
      <c r="P308" t="s">
        <v>647</v>
      </c>
      <c r="Q308">
        <v>1</v>
      </c>
      <c r="W308">
        <v>0</v>
      </c>
      <c r="X308">
        <v>1071298819</v>
      </c>
      <c r="Y308">
        <v>0.78200000000000003</v>
      </c>
      <c r="AA308">
        <v>7036.3</v>
      </c>
      <c r="AB308">
        <v>0</v>
      </c>
      <c r="AC308">
        <v>0</v>
      </c>
      <c r="AD308">
        <v>0</v>
      </c>
      <c r="AE308">
        <v>848.77</v>
      </c>
      <c r="AF308">
        <v>0</v>
      </c>
      <c r="AG308">
        <v>0</v>
      </c>
      <c r="AH308">
        <v>0</v>
      </c>
      <c r="AI308">
        <v>8.2899999999999991</v>
      </c>
      <c r="AJ308">
        <v>1</v>
      </c>
      <c r="AK308">
        <v>1</v>
      </c>
      <c r="AL308">
        <v>1</v>
      </c>
      <c r="AN308">
        <v>0</v>
      </c>
      <c r="AO308">
        <v>1</v>
      </c>
      <c r="AP308">
        <v>0</v>
      </c>
      <c r="AQ308">
        <v>0</v>
      </c>
      <c r="AR308">
        <v>0</v>
      </c>
      <c r="AS308" t="s">
        <v>3</v>
      </c>
      <c r="AT308">
        <v>0.78200000000000003</v>
      </c>
      <c r="AU308" t="s">
        <v>3</v>
      </c>
      <c r="AV308">
        <v>0</v>
      </c>
      <c r="AW308">
        <v>2</v>
      </c>
      <c r="AX308">
        <v>46468783</v>
      </c>
      <c r="AY308">
        <v>1</v>
      </c>
      <c r="AZ308">
        <v>0</v>
      </c>
      <c r="BA308">
        <v>293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Y308*Source!I387</f>
        <v>1.416984</v>
      </c>
      <c r="CY308">
        <f t="shared" si="69"/>
        <v>7036.3</v>
      </c>
      <c r="CZ308">
        <f t="shared" si="70"/>
        <v>848.77</v>
      </c>
      <c r="DA308">
        <f t="shared" si="71"/>
        <v>8.2899999999999991</v>
      </c>
      <c r="DB308">
        <f t="shared" si="72"/>
        <v>663.74</v>
      </c>
      <c r="DC308">
        <f t="shared" si="73"/>
        <v>0</v>
      </c>
    </row>
    <row r="309" spans="1:107" x14ac:dyDescent="0.2">
      <c r="A309">
        <f>ROW(Source!A387)</f>
        <v>387</v>
      </c>
      <c r="B309">
        <v>46416371</v>
      </c>
      <c r="C309">
        <v>46468765</v>
      </c>
      <c r="D309">
        <v>42594004</v>
      </c>
      <c r="E309">
        <v>1</v>
      </c>
      <c r="F309">
        <v>1</v>
      </c>
      <c r="G309">
        <v>1</v>
      </c>
      <c r="H309">
        <v>3</v>
      </c>
      <c r="I309" t="s">
        <v>648</v>
      </c>
      <c r="J309" t="s">
        <v>649</v>
      </c>
      <c r="K309" t="s">
        <v>650</v>
      </c>
      <c r="L309">
        <v>1348</v>
      </c>
      <c r="N309">
        <v>1009</v>
      </c>
      <c r="O309" t="s">
        <v>184</v>
      </c>
      <c r="P309" t="s">
        <v>184</v>
      </c>
      <c r="Q309">
        <v>1000</v>
      </c>
      <c r="W309">
        <v>0</v>
      </c>
      <c r="X309">
        <v>-1158338057</v>
      </c>
      <c r="Y309">
        <v>2.3999999999999998E-3</v>
      </c>
      <c r="AA309">
        <v>380973.66</v>
      </c>
      <c r="AB309">
        <v>0</v>
      </c>
      <c r="AC309">
        <v>0</v>
      </c>
      <c r="AD309">
        <v>0</v>
      </c>
      <c r="AE309">
        <v>45955.81</v>
      </c>
      <c r="AF309">
        <v>0</v>
      </c>
      <c r="AG309">
        <v>0</v>
      </c>
      <c r="AH309">
        <v>0</v>
      </c>
      <c r="AI309">
        <v>8.2899999999999991</v>
      </c>
      <c r="AJ309">
        <v>1</v>
      </c>
      <c r="AK309">
        <v>1</v>
      </c>
      <c r="AL309">
        <v>1</v>
      </c>
      <c r="AN309">
        <v>0</v>
      </c>
      <c r="AO309">
        <v>1</v>
      </c>
      <c r="AP309">
        <v>0</v>
      </c>
      <c r="AQ309">
        <v>0</v>
      </c>
      <c r="AR309">
        <v>0</v>
      </c>
      <c r="AS309" t="s">
        <v>3</v>
      </c>
      <c r="AT309">
        <v>2.3999999999999998E-3</v>
      </c>
      <c r="AU309" t="s">
        <v>3</v>
      </c>
      <c r="AV309">
        <v>0</v>
      </c>
      <c r="AW309">
        <v>2</v>
      </c>
      <c r="AX309">
        <v>46468784</v>
      </c>
      <c r="AY309">
        <v>1</v>
      </c>
      <c r="AZ309">
        <v>0</v>
      </c>
      <c r="BA309">
        <v>294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Y309*Source!I387</f>
        <v>4.3487999999999999E-3</v>
      </c>
      <c r="CY309">
        <f t="shared" si="69"/>
        <v>380973.66</v>
      </c>
      <c r="CZ309">
        <f t="shared" si="70"/>
        <v>45955.81</v>
      </c>
      <c r="DA309">
        <f t="shared" si="71"/>
        <v>8.2899999999999991</v>
      </c>
      <c r="DB309">
        <f t="shared" si="72"/>
        <v>110.29</v>
      </c>
      <c r="DC309">
        <f t="shared" si="73"/>
        <v>0</v>
      </c>
    </row>
    <row r="310" spans="1:107" x14ac:dyDescent="0.2">
      <c r="A310">
        <f>ROW(Source!A387)</f>
        <v>387</v>
      </c>
      <c r="B310">
        <v>46416371</v>
      </c>
      <c r="C310">
        <v>46468765</v>
      </c>
      <c r="D310">
        <v>42594116</v>
      </c>
      <c r="E310">
        <v>1</v>
      </c>
      <c r="F310">
        <v>1</v>
      </c>
      <c r="G310">
        <v>1</v>
      </c>
      <c r="H310">
        <v>3</v>
      </c>
      <c r="I310" t="s">
        <v>651</v>
      </c>
      <c r="J310" t="s">
        <v>652</v>
      </c>
      <c r="K310" t="s">
        <v>653</v>
      </c>
      <c r="L310">
        <v>1348</v>
      </c>
      <c r="N310">
        <v>1009</v>
      </c>
      <c r="O310" t="s">
        <v>184</v>
      </c>
      <c r="P310" t="s">
        <v>184</v>
      </c>
      <c r="Q310">
        <v>1000</v>
      </c>
      <c r="W310">
        <v>0</v>
      </c>
      <c r="X310">
        <v>1622604025</v>
      </c>
      <c r="Y310">
        <v>4.0000000000000001E-3</v>
      </c>
      <c r="AA310">
        <v>14557.24</v>
      </c>
      <c r="AB310">
        <v>0</v>
      </c>
      <c r="AC310">
        <v>0</v>
      </c>
      <c r="AD310">
        <v>0</v>
      </c>
      <c r="AE310">
        <v>1756</v>
      </c>
      <c r="AF310">
        <v>0</v>
      </c>
      <c r="AG310">
        <v>0</v>
      </c>
      <c r="AH310">
        <v>0</v>
      </c>
      <c r="AI310">
        <v>8.2899999999999991</v>
      </c>
      <c r="AJ310">
        <v>1</v>
      </c>
      <c r="AK310">
        <v>1</v>
      </c>
      <c r="AL310">
        <v>1</v>
      </c>
      <c r="AN310">
        <v>0</v>
      </c>
      <c r="AO310">
        <v>1</v>
      </c>
      <c r="AP310">
        <v>0</v>
      </c>
      <c r="AQ310">
        <v>0</v>
      </c>
      <c r="AR310">
        <v>0</v>
      </c>
      <c r="AS310" t="s">
        <v>3</v>
      </c>
      <c r="AT310">
        <v>4.0000000000000001E-3</v>
      </c>
      <c r="AU310" t="s">
        <v>3</v>
      </c>
      <c r="AV310">
        <v>0</v>
      </c>
      <c r="AW310">
        <v>2</v>
      </c>
      <c r="AX310">
        <v>46468785</v>
      </c>
      <c r="AY310">
        <v>1</v>
      </c>
      <c r="AZ310">
        <v>0</v>
      </c>
      <c r="BA310">
        <v>295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Y310*Source!I387</f>
        <v>7.2480000000000001E-3</v>
      </c>
      <c r="CY310">
        <f t="shared" si="69"/>
        <v>14557.24</v>
      </c>
      <c r="CZ310">
        <f t="shared" si="70"/>
        <v>1756</v>
      </c>
      <c r="DA310">
        <f t="shared" si="71"/>
        <v>8.2899999999999991</v>
      </c>
      <c r="DB310">
        <f t="shared" si="72"/>
        <v>7.02</v>
      </c>
      <c r="DC310">
        <f t="shared" si="73"/>
        <v>0</v>
      </c>
    </row>
    <row r="311" spans="1:107" x14ac:dyDescent="0.2">
      <c r="A311">
        <f>ROW(Source!A387)</f>
        <v>387</v>
      </c>
      <c r="B311">
        <v>46416371</v>
      </c>
      <c r="C311">
        <v>46468765</v>
      </c>
      <c r="D311">
        <v>42599478</v>
      </c>
      <c r="E311">
        <v>1</v>
      </c>
      <c r="F311">
        <v>1</v>
      </c>
      <c r="G311">
        <v>1</v>
      </c>
      <c r="H311">
        <v>3</v>
      </c>
      <c r="I311" t="s">
        <v>654</v>
      </c>
      <c r="J311" t="s">
        <v>655</v>
      </c>
      <c r="K311" t="s">
        <v>656</v>
      </c>
      <c r="L311">
        <v>1348</v>
      </c>
      <c r="N311">
        <v>1009</v>
      </c>
      <c r="O311" t="s">
        <v>184</v>
      </c>
      <c r="P311" t="s">
        <v>184</v>
      </c>
      <c r="Q311">
        <v>1000</v>
      </c>
      <c r="W311">
        <v>0</v>
      </c>
      <c r="X311">
        <v>332691481</v>
      </c>
      <c r="Y311">
        <v>1.2E-2</v>
      </c>
      <c r="AA311">
        <v>86794.97</v>
      </c>
      <c r="AB311">
        <v>0</v>
      </c>
      <c r="AC311">
        <v>0</v>
      </c>
      <c r="AD311">
        <v>0</v>
      </c>
      <c r="AE311">
        <v>10469.84</v>
      </c>
      <c r="AF311">
        <v>0</v>
      </c>
      <c r="AG311">
        <v>0</v>
      </c>
      <c r="AH311">
        <v>0</v>
      </c>
      <c r="AI311">
        <v>8.2899999999999991</v>
      </c>
      <c r="AJ311">
        <v>1</v>
      </c>
      <c r="AK311">
        <v>1</v>
      </c>
      <c r="AL311">
        <v>1</v>
      </c>
      <c r="AN311">
        <v>0</v>
      </c>
      <c r="AO311">
        <v>1</v>
      </c>
      <c r="AP311">
        <v>0</v>
      </c>
      <c r="AQ311">
        <v>0</v>
      </c>
      <c r="AR311">
        <v>0</v>
      </c>
      <c r="AS311" t="s">
        <v>3</v>
      </c>
      <c r="AT311">
        <v>1.2E-2</v>
      </c>
      <c r="AU311" t="s">
        <v>3</v>
      </c>
      <c r="AV311">
        <v>0</v>
      </c>
      <c r="AW311">
        <v>2</v>
      </c>
      <c r="AX311">
        <v>46468786</v>
      </c>
      <c r="AY311">
        <v>1</v>
      </c>
      <c r="AZ311">
        <v>0</v>
      </c>
      <c r="BA311">
        <v>296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Y311*Source!I387</f>
        <v>2.1743999999999999E-2</v>
      </c>
      <c r="CY311">
        <f t="shared" si="69"/>
        <v>86794.97</v>
      </c>
      <c r="CZ311">
        <f t="shared" si="70"/>
        <v>10469.84</v>
      </c>
      <c r="DA311">
        <f t="shared" si="71"/>
        <v>8.2899999999999991</v>
      </c>
      <c r="DB311">
        <f t="shared" si="72"/>
        <v>125.64</v>
      </c>
      <c r="DC311">
        <f t="shared" si="73"/>
        <v>0</v>
      </c>
    </row>
    <row r="312" spans="1:107" x14ac:dyDescent="0.2">
      <c r="A312">
        <f>ROW(Source!A387)</f>
        <v>387</v>
      </c>
      <c r="B312">
        <v>46416371</v>
      </c>
      <c r="C312">
        <v>46468765</v>
      </c>
      <c r="D312">
        <v>42589220</v>
      </c>
      <c r="E312">
        <v>1</v>
      </c>
      <c r="F312">
        <v>1</v>
      </c>
      <c r="G312">
        <v>1</v>
      </c>
      <c r="H312">
        <v>3</v>
      </c>
      <c r="I312" t="s">
        <v>657</v>
      </c>
      <c r="J312" t="s">
        <v>658</v>
      </c>
      <c r="K312" t="s">
        <v>659</v>
      </c>
      <c r="L312">
        <v>1348</v>
      </c>
      <c r="N312">
        <v>1009</v>
      </c>
      <c r="O312" t="s">
        <v>184</v>
      </c>
      <c r="P312" t="s">
        <v>184</v>
      </c>
      <c r="Q312">
        <v>1000</v>
      </c>
      <c r="W312">
        <v>0</v>
      </c>
      <c r="X312">
        <v>-63817536</v>
      </c>
      <c r="Y312">
        <v>8.0000000000000004E-4</v>
      </c>
      <c r="AA312">
        <v>43867.61</v>
      </c>
      <c r="AB312">
        <v>0</v>
      </c>
      <c r="AC312">
        <v>0</v>
      </c>
      <c r="AD312">
        <v>0</v>
      </c>
      <c r="AE312">
        <v>5291.63</v>
      </c>
      <c r="AF312">
        <v>0</v>
      </c>
      <c r="AG312">
        <v>0</v>
      </c>
      <c r="AH312">
        <v>0</v>
      </c>
      <c r="AI312">
        <v>8.2899999999999991</v>
      </c>
      <c r="AJ312">
        <v>1</v>
      </c>
      <c r="AK312">
        <v>1</v>
      </c>
      <c r="AL312">
        <v>1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3</v>
      </c>
      <c r="AT312">
        <v>8.0000000000000004E-4</v>
      </c>
      <c r="AU312" t="s">
        <v>3</v>
      </c>
      <c r="AV312">
        <v>0</v>
      </c>
      <c r="AW312">
        <v>2</v>
      </c>
      <c r="AX312">
        <v>46468787</v>
      </c>
      <c r="AY312">
        <v>1</v>
      </c>
      <c r="AZ312">
        <v>0</v>
      </c>
      <c r="BA312">
        <v>297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Y312*Source!I387</f>
        <v>1.4496000000000001E-3</v>
      </c>
      <c r="CY312">
        <f t="shared" si="69"/>
        <v>43867.61</v>
      </c>
      <c r="CZ312">
        <f t="shared" si="70"/>
        <v>5291.63</v>
      </c>
      <c r="DA312">
        <f t="shared" si="71"/>
        <v>8.2899999999999991</v>
      </c>
      <c r="DB312">
        <f t="shared" si="72"/>
        <v>4.2300000000000004</v>
      </c>
      <c r="DC312">
        <f t="shared" si="73"/>
        <v>0</v>
      </c>
    </row>
    <row r="313" spans="1:107" x14ac:dyDescent="0.2">
      <c r="A313">
        <f>ROW(Source!A387)</f>
        <v>387</v>
      </c>
      <c r="B313">
        <v>46416371</v>
      </c>
      <c r="C313">
        <v>46468765</v>
      </c>
      <c r="D313">
        <v>42581991</v>
      </c>
      <c r="E313">
        <v>1</v>
      </c>
      <c r="F313">
        <v>1</v>
      </c>
      <c r="G313">
        <v>1</v>
      </c>
      <c r="H313">
        <v>3</v>
      </c>
      <c r="I313" t="s">
        <v>287</v>
      </c>
      <c r="J313" t="s">
        <v>289</v>
      </c>
      <c r="K313" t="s">
        <v>288</v>
      </c>
      <c r="L313">
        <v>1348</v>
      </c>
      <c r="N313">
        <v>1009</v>
      </c>
      <c r="O313" t="s">
        <v>184</v>
      </c>
      <c r="P313" t="s">
        <v>184</v>
      </c>
      <c r="Q313">
        <v>1000</v>
      </c>
      <c r="W313">
        <v>1</v>
      </c>
      <c r="X313">
        <v>1746175502</v>
      </c>
      <c r="Y313">
        <v>-105.26</v>
      </c>
      <c r="AA313">
        <v>2835.93</v>
      </c>
      <c r="AB313">
        <v>0</v>
      </c>
      <c r="AC313">
        <v>0</v>
      </c>
      <c r="AD313">
        <v>0</v>
      </c>
      <c r="AE313">
        <v>342.09</v>
      </c>
      <c r="AF313">
        <v>0</v>
      </c>
      <c r="AG313">
        <v>0</v>
      </c>
      <c r="AH313">
        <v>0</v>
      </c>
      <c r="AI313">
        <v>8.2899999999999991</v>
      </c>
      <c r="AJ313">
        <v>1</v>
      </c>
      <c r="AK313">
        <v>1</v>
      </c>
      <c r="AL313">
        <v>1</v>
      </c>
      <c r="AN313">
        <v>0</v>
      </c>
      <c r="AO313">
        <v>1</v>
      </c>
      <c r="AP313">
        <v>0</v>
      </c>
      <c r="AQ313">
        <v>0</v>
      </c>
      <c r="AR313">
        <v>0</v>
      </c>
      <c r="AS313" t="s">
        <v>3</v>
      </c>
      <c r="AT313">
        <v>-105.26</v>
      </c>
      <c r="AU313" t="s">
        <v>3</v>
      </c>
      <c r="AV313">
        <v>0</v>
      </c>
      <c r="AW313">
        <v>2</v>
      </c>
      <c r="AX313">
        <v>46468788</v>
      </c>
      <c r="AY313">
        <v>1</v>
      </c>
      <c r="AZ313">
        <v>6144</v>
      </c>
      <c r="BA313">
        <v>298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Y313*Source!I387</f>
        <v>-190.73112</v>
      </c>
      <c r="CY313">
        <f t="shared" si="69"/>
        <v>2835.93</v>
      </c>
      <c r="CZ313">
        <f t="shared" si="70"/>
        <v>342.09</v>
      </c>
      <c r="DA313">
        <f t="shared" si="71"/>
        <v>8.2899999999999991</v>
      </c>
      <c r="DB313">
        <f t="shared" si="72"/>
        <v>-36008.39</v>
      </c>
      <c r="DC313">
        <f t="shared" si="73"/>
        <v>0</v>
      </c>
    </row>
    <row r="314" spans="1:107" x14ac:dyDescent="0.2">
      <c r="A314">
        <f>ROW(Source!A387)</f>
        <v>387</v>
      </c>
      <c r="B314">
        <v>46416371</v>
      </c>
      <c r="C314">
        <v>46468765</v>
      </c>
      <c r="D314">
        <v>42582071</v>
      </c>
      <c r="E314">
        <v>1</v>
      </c>
      <c r="F314">
        <v>1</v>
      </c>
      <c r="G314">
        <v>1</v>
      </c>
      <c r="H314">
        <v>3</v>
      </c>
      <c r="I314" t="s">
        <v>660</v>
      </c>
      <c r="J314" t="s">
        <v>661</v>
      </c>
      <c r="K314" t="s">
        <v>662</v>
      </c>
      <c r="L314">
        <v>1339</v>
      </c>
      <c r="N314">
        <v>1007</v>
      </c>
      <c r="O314" t="s">
        <v>139</v>
      </c>
      <c r="P314" t="s">
        <v>139</v>
      </c>
      <c r="Q314">
        <v>1</v>
      </c>
      <c r="W314">
        <v>0</v>
      </c>
      <c r="X314">
        <v>644117468</v>
      </c>
      <c r="Y314">
        <v>20.52</v>
      </c>
      <c r="AA314">
        <v>12.44</v>
      </c>
      <c r="AB314">
        <v>0</v>
      </c>
      <c r="AC314">
        <v>0</v>
      </c>
      <c r="AD314">
        <v>0</v>
      </c>
      <c r="AE314">
        <v>1.5</v>
      </c>
      <c r="AF314">
        <v>0</v>
      </c>
      <c r="AG314">
        <v>0</v>
      </c>
      <c r="AH314">
        <v>0</v>
      </c>
      <c r="AI314">
        <v>8.2899999999999991</v>
      </c>
      <c r="AJ314">
        <v>1</v>
      </c>
      <c r="AK314">
        <v>1</v>
      </c>
      <c r="AL314">
        <v>1</v>
      </c>
      <c r="AN314">
        <v>0</v>
      </c>
      <c r="AO314">
        <v>1</v>
      </c>
      <c r="AP314">
        <v>0</v>
      </c>
      <c r="AQ314">
        <v>0</v>
      </c>
      <c r="AR314">
        <v>0</v>
      </c>
      <c r="AS314" t="s">
        <v>3</v>
      </c>
      <c r="AT314">
        <v>20.52</v>
      </c>
      <c r="AU314" t="s">
        <v>3</v>
      </c>
      <c r="AV314">
        <v>0</v>
      </c>
      <c r="AW314">
        <v>2</v>
      </c>
      <c r="AX314">
        <v>46468789</v>
      </c>
      <c r="AY314">
        <v>1</v>
      </c>
      <c r="AZ314">
        <v>0</v>
      </c>
      <c r="BA314">
        <v>299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Y314*Source!I387</f>
        <v>37.18224</v>
      </c>
      <c r="CY314">
        <f t="shared" si="69"/>
        <v>12.44</v>
      </c>
      <c r="CZ314">
        <f t="shared" si="70"/>
        <v>1.5</v>
      </c>
      <c r="DA314">
        <f t="shared" si="71"/>
        <v>8.2899999999999991</v>
      </c>
      <c r="DB314">
        <f t="shared" si="72"/>
        <v>30.78</v>
      </c>
      <c r="DC314">
        <f t="shared" si="73"/>
        <v>0</v>
      </c>
    </row>
    <row r="315" spans="1:107" x14ac:dyDescent="0.2">
      <c r="A315">
        <f>ROW(Source!A387)</f>
        <v>387</v>
      </c>
      <c r="B315">
        <v>46416371</v>
      </c>
      <c r="C315">
        <v>46468765</v>
      </c>
      <c r="D315">
        <v>0</v>
      </c>
      <c r="E315">
        <v>1</v>
      </c>
      <c r="F315">
        <v>1</v>
      </c>
      <c r="G315">
        <v>1</v>
      </c>
      <c r="H315">
        <v>3</v>
      </c>
      <c r="I315" t="s">
        <v>145</v>
      </c>
      <c r="J315" t="s">
        <v>3</v>
      </c>
      <c r="K315" t="s">
        <v>290</v>
      </c>
      <c r="L315">
        <v>1348</v>
      </c>
      <c r="N315">
        <v>1009</v>
      </c>
      <c r="O315" t="s">
        <v>184</v>
      </c>
      <c r="P315" t="s">
        <v>184</v>
      </c>
      <c r="Q315">
        <v>1000</v>
      </c>
      <c r="W315">
        <v>0</v>
      </c>
      <c r="X315">
        <v>2054945668</v>
      </c>
      <c r="Y315">
        <v>105.258467</v>
      </c>
      <c r="AA315">
        <v>4892.5</v>
      </c>
      <c r="AB315">
        <v>0</v>
      </c>
      <c r="AC315">
        <v>0</v>
      </c>
      <c r="AD315">
        <v>0</v>
      </c>
      <c r="AE315">
        <v>4892.5</v>
      </c>
      <c r="AF315">
        <v>0</v>
      </c>
      <c r="AG315">
        <v>0</v>
      </c>
      <c r="AH315">
        <v>0</v>
      </c>
      <c r="AI315">
        <v>1</v>
      </c>
      <c r="AJ315">
        <v>1</v>
      </c>
      <c r="AK315">
        <v>1</v>
      </c>
      <c r="AL315">
        <v>1</v>
      </c>
      <c r="AN315">
        <v>0</v>
      </c>
      <c r="AO315">
        <v>0</v>
      </c>
      <c r="AP315">
        <v>0</v>
      </c>
      <c r="AQ315">
        <v>0</v>
      </c>
      <c r="AR315">
        <v>0</v>
      </c>
      <c r="AS315" t="s">
        <v>3</v>
      </c>
      <c r="AT315">
        <v>105.258467</v>
      </c>
      <c r="AU315" t="s">
        <v>3</v>
      </c>
      <c r="AV315">
        <v>0</v>
      </c>
      <c r="AW315">
        <v>1</v>
      </c>
      <c r="AX315">
        <v>-1</v>
      </c>
      <c r="AY315">
        <v>0</v>
      </c>
      <c r="AZ315">
        <v>0</v>
      </c>
      <c r="BA315" t="s">
        <v>3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Y315*Source!I387</f>
        <v>190.728342204</v>
      </c>
      <c r="CY315">
        <f t="shared" si="69"/>
        <v>4892.5</v>
      </c>
      <c r="CZ315">
        <f t="shared" si="70"/>
        <v>4892.5</v>
      </c>
      <c r="DA315">
        <f t="shared" si="71"/>
        <v>1</v>
      </c>
      <c r="DB315">
        <f t="shared" si="72"/>
        <v>514977.05</v>
      </c>
      <c r="DC315">
        <f t="shared" si="73"/>
        <v>0</v>
      </c>
    </row>
    <row r="316" spans="1:107" x14ac:dyDescent="0.2">
      <c r="A316">
        <f>ROW(Source!A390)</f>
        <v>390</v>
      </c>
      <c r="B316">
        <v>46416371</v>
      </c>
      <c r="C316">
        <v>46468793</v>
      </c>
      <c r="D316">
        <v>42640504</v>
      </c>
      <c r="E316">
        <v>1</v>
      </c>
      <c r="F316">
        <v>1</v>
      </c>
      <c r="G316">
        <v>1</v>
      </c>
      <c r="H316">
        <v>1</v>
      </c>
      <c r="I316" t="s">
        <v>663</v>
      </c>
      <c r="J316" t="s">
        <v>3</v>
      </c>
      <c r="K316" t="s">
        <v>664</v>
      </c>
      <c r="L316">
        <v>1369</v>
      </c>
      <c r="N316">
        <v>1013</v>
      </c>
      <c r="O316" t="s">
        <v>387</v>
      </c>
      <c r="P316" t="s">
        <v>387</v>
      </c>
      <c r="Q316">
        <v>1</v>
      </c>
      <c r="W316">
        <v>0</v>
      </c>
      <c r="X316">
        <v>-1409900704</v>
      </c>
      <c r="Y316">
        <v>0.80499999999999994</v>
      </c>
      <c r="AA316">
        <v>0</v>
      </c>
      <c r="AB316">
        <v>0</v>
      </c>
      <c r="AC316">
        <v>0</v>
      </c>
      <c r="AD316">
        <v>305.45</v>
      </c>
      <c r="AE316">
        <v>0</v>
      </c>
      <c r="AF316">
        <v>0</v>
      </c>
      <c r="AG316">
        <v>0</v>
      </c>
      <c r="AH316">
        <v>8.7899999999999991</v>
      </c>
      <c r="AI316">
        <v>1</v>
      </c>
      <c r="AJ316">
        <v>1</v>
      </c>
      <c r="AK316">
        <v>1</v>
      </c>
      <c r="AL316">
        <v>34.75</v>
      </c>
      <c r="AN316">
        <v>0</v>
      </c>
      <c r="AO316">
        <v>1</v>
      </c>
      <c r="AP316">
        <v>1</v>
      </c>
      <c r="AQ316">
        <v>0</v>
      </c>
      <c r="AR316">
        <v>0</v>
      </c>
      <c r="AS316" t="s">
        <v>3</v>
      </c>
      <c r="AT316">
        <v>0.35</v>
      </c>
      <c r="AU316" t="s">
        <v>305</v>
      </c>
      <c r="AV316">
        <v>1</v>
      </c>
      <c r="AW316">
        <v>2</v>
      </c>
      <c r="AX316">
        <v>46468794</v>
      </c>
      <c r="AY316">
        <v>1</v>
      </c>
      <c r="AZ316">
        <v>0</v>
      </c>
      <c r="BA316">
        <v>300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Y316*Source!I390</f>
        <v>1.4586599999999998</v>
      </c>
      <c r="CY316">
        <f>AD316</f>
        <v>305.45</v>
      </c>
      <c r="CZ316">
        <f>AH316</f>
        <v>8.7899999999999991</v>
      </c>
      <c r="DA316">
        <f>AL316</f>
        <v>34.75</v>
      </c>
      <c r="DB316">
        <f>ROUND((ROUND(AT316*CZ316,2)*1.15*2),6)</f>
        <v>7.0839999999999996</v>
      </c>
      <c r="DC316">
        <f>ROUND((ROUND(AT316*AG316,2)*1.15*2),6)</f>
        <v>0</v>
      </c>
    </row>
    <row r="317" spans="1:107" x14ac:dyDescent="0.2">
      <c r="A317">
        <f>ROW(Source!A390)</f>
        <v>390</v>
      </c>
      <c r="B317">
        <v>46416371</v>
      </c>
      <c r="C317">
        <v>46468793</v>
      </c>
      <c r="D317">
        <v>121548</v>
      </c>
      <c r="E317">
        <v>1</v>
      </c>
      <c r="F317">
        <v>1</v>
      </c>
      <c r="G317">
        <v>1</v>
      </c>
      <c r="H317">
        <v>1</v>
      </c>
      <c r="I317" t="s">
        <v>26</v>
      </c>
      <c r="J317" t="s">
        <v>3</v>
      </c>
      <c r="K317" t="s">
        <v>388</v>
      </c>
      <c r="L317">
        <v>608254</v>
      </c>
      <c r="N317">
        <v>1013</v>
      </c>
      <c r="O317" t="s">
        <v>389</v>
      </c>
      <c r="P317" t="s">
        <v>389</v>
      </c>
      <c r="Q317">
        <v>1</v>
      </c>
      <c r="W317">
        <v>0</v>
      </c>
      <c r="X317">
        <v>-185737400</v>
      </c>
      <c r="Y317">
        <v>6.4859999999999998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1</v>
      </c>
      <c r="AJ317">
        <v>1</v>
      </c>
      <c r="AK317">
        <v>34.75</v>
      </c>
      <c r="AL317">
        <v>1</v>
      </c>
      <c r="AN317">
        <v>0</v>
      </c>
      <c r="AO317">
        <v>1</v>
      </c>
      <c r="AP317">
        <v>1</v>
      </c>
      <c r="AQ317">
        <v>0</v>
      </c>
      <c r="AR317">
        <v>0</v>
      </c>
      <c r="AS317" t="s">
        <v>3</v>
      </c>
      <c r="AT317">
        <v>0.47</v>
      </c>
      <c r="AU317" t="s">
        <v>304</v>
      </c>
      <c r="AV317">
        <v>2</v>
      </c>
      <c r="AW317">
        <v>2</v>
      </c>
      <c r="AX317">
        <v>46468795</v>
      </c>
      <c r="AY317">
        <v>1</v>
      </c>
      <c r="AZ317">
        <v>0</v>
      </c>
      <c r="BA317">
        <v>301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Y317*Source!I390</f>
        <v>11.752632</v>
      </c>
      <c r="CY317">
        <f>AD317</f>
        <v>0</v>
      </c>
      <c r="CZ317">
        <f>AH317</f>
        <v>0</v>
      </c>
      <c r="DA317">
        <f>AL317</f>
        <v>1</v>
      </c>
      <c r="DB317">
        <f t="shared" ref="DB317:DB323" si="74">ROUND((ROUND(AT317*CZ317,2)*1.15*2*6),6)</f>
        <v>0</v>
      </c>
      <c r="DC317">
        <f t="shared" ref="DC317:DC323" si="75">ROUND((ROUND(AT317*AG317,2)*1.15*2*6),6)</f>
        <v>0</v>
      </c>
    </row>
    <row r="318" spans="1:107" x14ac:dyDescent="0.2">
      <c r="A318">
        <f>ROW(Source!A390)</f>
        <v>390</v>
      </c>
      <c r="B318">
        <v>46416371</v>
      </c>
      <c r="C318">
        <v>46468793</v>
      </c>
      <c r="D318">
        <v>42567318</v>
      </c>
      <c r="E318">
        <v>1</v>
      </c>
      <c r="F318">
        <v>1</v>
      </c>
      <c r="G318">
        <v>1</v>
      </c>
      <c r="H318">
        <v>2</v>
      </c>
      <c r="I318" t="s">
        <v>432</v>
      </c>
      <c r="J318" t="s">
        <v>433</v>
      </c>
      <c r="K318" t="s">
        <v>434</v>
      </c>
      <c r="L318">
        <v>1368</v>
      </c>
      <c r="N318">
        <v>1011</v>
      </c>
      <c r="O318" t="s">
        <v>393</v>
      </c>
      <c r="P318" t="s">
        <v>393</v>
      </c>
      <c r="Q318">
        <v>1</v>
      </c>
      <c r="W318">
        <v>0</v>
      </c>
      <c r="X318">
        <v>-197763218</v>
      </c>
      <c r="Y318">
        <v>1.518</v>
      </c>
      <c r="AA318">
        <v>0</v>
      </c>
      <c r="AB318">
        <v>1187.3</v>
      </c>
      <c r="AC318">
        <v>326.64999999999998</v>
      </c>
      <c r="AD318">
        <v>0</v>
      </c>
      <c r="AE318">
        <v>0</v>
      </c>
      <c r="AF318">
        <v>88.87</v>
      </c>
      <c r="AG318">
        <v>9.4</v>
      </c>
      <c r="AH318">
        <v>0</v>
      </c>
      <c r="AI318">
        <v>1</v>
      </c>
      <c r="AJ318">
        <v>13.36</v>
      </c>
      <c r="AK318">
        <v>34.75</v>
      </c>
      <c r="AL318">
        <v>1</v>
      </c>
      <c r="AN318">
        <v>0</v>
      </c>
      <c r="AO318">
        <v>1</v>
      </c>
      <c r="AP318">
        <v>1</v>
      </c>
      <c r="AQ318">
        <v>0</v>
      </c>
      <c r="AR318">
        <v>0</v>
      </c>
      <c r="AS318" t="s">
        <v>3</v>
      </c>
      <c r="AT318">
        <v>0.11</v>
      </c>
      <c r="AU318" t="s">
        <v>304</v>
      </c>
      <c r="AV318">
        <v>0</v>
      </c>
      <c r="AW318">
        <v>2</v>
      </c>
      <c r="AX318">
        <v>46468796</v>
      </c>
      <c r="AY318">
        <v>1</v>
      </c>
      <c r="AZ318">
        <v>0</v>
      </c>
      <c r="BA318">
        <v>302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Y318*Source!I390</f>
        <v>2.7506159999999999</v>
      </c>
      <c r="CY318">
        <f t="shared" ref="CY318:CY323" si="76">AB318</f>
        <v>1187.3</v>
      </c>
      <c r="CZ318">
        <f t="shared" ref="CZ318:CZ323" si="77">AF318</f>
        <v>88.87</v>
      </c>
      <c r="DA318">
        <f t="shared" ref="DA318:DA323" si="78">AJ318</f>
        <v>13.36</v>
      </c>
      <c r="DB318">
        <f t="shared" si="74"/>
        <v>134.964</v>
      </c>
      <c r="DC318">
        <f t="shared" si="75"/>
        <v>14.214</v>
      </c>
    </row>
    <row r="319" spans="1:107" x14ac:dyDescent="0.2">
      <c r="A319">
        <f>ROW(Source!A390)</f>
        <v>390</v>
      </c>
      <c r="B319">
        <v>46416371</v>
      </c>
      <c r="C319">
        <v>46468793</v>
      </c>
      <c r="D319">
        <v>42568519</v>
      </c>
      <c r="E319">
        <v>1</v>
      </c>
      <c r="F319">
        <v>1</v>
      </c>
      <c r="G319">
        <v>1</v>
      </c>
      <c r="H319">
        <v>2</v>
      </c>
      <c r="I319" t="s">
        <v>612</v>
      </c>
      <c r="J319" t="s">
        <v>613</v>
      </c>
      <c r="K319" t="s">
        <v>614</v>
      </c>
      <c r="L319">
        <v>1368</v>
      </c>
      <c r="N319">
        <v>1011</v>
      </c>
      <c r="O319" t="s">
        <v>393</v>
      </c>
      <c r="P319" t="s">
        <v>393</v>
      </c>
      <c r="Q319">
        <v>1</v>
      </c>
      <c r="W319">
        <v>0</v>
      </c>
      <c r="X319">
        <v>-572200738</v>
      </c>
      <c r="Y319">
        <v>1.38</v>
      </c>
      <c r="AA319">
        <v>0</v>
      </c>
      <c r="AB319">
        <v>19967.86</v>
      </c>
      <c r="AC319">
        <v>467.74</v>
      </c>
      <c r="AD319">
        <v>0</v>
      </c>
      <c r="AE319">
        <v>0</v>
      </c>
      <c r="AF319">
        <v>1494.6</v>
      </c>
      <c r="AG319">
        <v>13.46</v>
      </c>
      <c r="AH319">
        <v>0</v>
      </c>
      <c r="AI319">
        <v>1</v>
      </c>
      <c r="AJ319">
        <v>13.36</v>
      </c>
      <c r="AK319">
        <v>34.75</v>
      </c>
      <c r="AL319">
        <v>1</v>
      </c>
      <c r="AN319">
        <v>0</v>
      </c>
      <c r="AO319">
        <v>1</v>
      </c>
      <c r="AP319">
        <v>1</v>
      </c>
      <c r="AQ319">
        <v>0</v>
      </c>
      <c r="AR319">
        <v>0</v>
      </c>
      <c r="AS319" t="s">
        <v>3</v>
      </c>
      <c r="AT319">
        <v>0.1</v>
      </c>
      <c r="AU319" t="s">
        <v>304</v>
      </c>
      <c r="AV319">
        <v>0</v>
      </c>
      <c r="AW319">
        <v>2</v>
      </c>
      <c r="AX319">
        <v>46468797</v>
      </c>
      <c r="AY319">
        <v>1</v>
      </c>
      <c r="AZ319">
        <v>0</v>
      </c>
      <c r="BA319">
        <v>303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Y319*Source!I390</f>
        <v>2.5005599999999997</v>
      </c>
      <c r="CY319">
        <f t="shared" si="76"/>
        <v>19967.86</v>
      </c>
      <c r="CZ319">
        <f t="shared" si="77"/>
        <v>1494.6</v>
      </c>
      <c r="DA319">
        <f t="shared" si="78"/>
        <v>13.36</v>
      </c>
      <c r="DB319">
        <f t="shared" si="74"/>
        <v>2062.5479999999998</v>
      </c>
      <c r="DC319">
        <f t="shared" si="75"/>
        <v>18.63</v>
      </c>
    </row>
    <row r="320" spans="1:107" x14ac:dyDescent="0.2">
      <c r="A320">
        <f>ROW(Source!A390)</f>
        <v>390</v>
      </c>
      <c r="B320">
        <v>46416371</v>
      </c>
      <c r="C320">
        <v>46468793</v>
      </c>
      <c r="D320">
        <v>42568531</v>
      </c>
      <c r="E320">
        <v>1</v>
      </c>
      <c r="F320">
        <v>1</v>
      </c>
      <c r="G320">
        <v>1</v>
      </c>
      <c r="H320">
        <v>2</v>
      </c>
      <c r="I320" t="s">
        <v>615</v>
      </c>
      <c r="J320" t="s">
        <v>616</v>
      </c>
      <c r="K320" t="s">
        <v>592</v>
      </c>
      <c r="L320">
        <v>1368</v>
      </c>
      <c r="N320">
        <v>1011</v>
      </c>
      <c r="O320" t="s">
        <v>393</v>
      </c>
      <c r="P320" t="s">
        <v>393</v>
      </c>
      <c r="Q320">
        <v>1</v>
      </c>
      <c r="W320">
        <v>0</v>
      </c>
      <c r="X320">
        <v>-637576487</v>
      </c>
      <c r="Y320">
        <v>1.38</v>
      </c>
      <c r="AA320">
        <v>0</v>
      </c>
      <c r="AB320">
        <v>1457.04</v>
      </c>
      <c r="AC320">
        <v>376.69</v>
      </c>
      <c r="AD320">
        <v>0</v>
      </c>
      <c r="AE320">
        <v>0</v>
      </c>
      <c r="AF320">
        <v>109.06</v>
      </c>
      <c r="AG320">
        <v>10.84</v>
      </c>
      <c r="AH320">
        <v>0</v>
      </c>
      <c r="AI320">
        <v>1</v>
      </c>
      <c r="AJ320">
        <v>13.36</v>
      </c>
      <c r="AK320">
        <v>34.75</v>
      </c>
      <c r="AL320">
        <v>1</v>
      </c>
      <c r="AN320">
        <v>0</v>
      </c>
      <c r="AO320">
        <v>1</v>
      </c>
      <c r="AP320">
        <v>1</v>
      </c>
      <c r="AQ320">
        <v>0</v>
      </c>
      <c r="AR320">
        <v>0</v>
      </c>
      <c r="AS320" t="s">
        <v>3</v>
      </c>
      <c r="AT320">
        <v>0.1</v>
      </c>
      <c r="AU320" t="s">
        <v>304</v>
      </c>
      <c r="AV320">
        <v>0</v>
      </c>
      <c r="AW320">
        <v>2</v>
      </c>
      <c r="AX320">
        <v>46468798</v>
      </c>
      <c r="AY320">
        <v>1</v>
      </c>
      <c r="AZ320">
        <v>0</v>
      </c>
      <c r="BA320">
        <v>304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Y320*Source!I390</f>
        <v>2.5005599999999997</v>
      </c>
      <c r="CY320">
        <f t="shared" si="76"/>
        <v>1457.04</v>
      </c>
      <c r="CZ320">
        <f t="shared" si="77"/>
        <v>109.06</v>
      </c>
      <c r="DA320">
        <f t="shared" si="78"/>
        <v>13.36</v>
      </c>
      <c r="DB320">
        <f t="shared" si="74"/>
        <v>150.55799999999999</v>
      </c>
      <c r="DC320">
        <f t="shared" si="75"/>
        <v>14.904</v>
      </c>
    </row>
    <row r="321" spans="1:107" x14ac:dyDescent="0.2">
      <c r="A321">
        <f>ROW(Source!A390)</f>
        <v>390</v>
      </c>
      <c r="B321">
        <v>46416371</v>
      </c>
      <c r="C321">
        <v>46468793</v>
      </c>
      <c r="D321">
        <v>42570663</v>
      </c>
      <c r="E321">
        <v>1</v>
      </c>
      <c r="F321">
        <v>1</v>
      </c>
      <c r="G321">
        <v>1</v>
      </c>
      <c r="H321">
        <v>2</v>
      </c>
      <c r="I321" t="s">
        <v>617</v>
      </c>
      <c r="J321" t="s">
        <v>618</v>
      </c>
      <c r="K321" t="s">
        <v>619</v>
      </c>
      <c r="L321">
        <v>1368</v>
      </c>
      <c r="N321">
        <v>1011</v>
      </c>
      <c r="O321" t="s">
        <v>393</v>
      </c>
      <c r="P321" t="s">
        <v>393</v>
      </c>
      <c r="Q321">
        <v>1</v>
      </c>
      <c r="W321">
        <v>0</v>
      </c>
      <c r="X321">
        <v>1358447430</v>
      </c>
      <c r="Y321">
        <v>1.38</v>
      </c>
      <c r="AA321">
        <v>0</v>
      </c>
      <c r="AB321">
        <v>9436.0300000000007</v>
      </c>
      <c r="AC321">
        <v>534.11</v>
      </c>
      <c r="AD321">
        <v>0</v>
      </c>
      <c r="AE321">
        <v>0</v>
      </c>
      <c r="AF321">
        <v>706.29</v>
      </c>
      <c r="AG321">
        <v>15.37</v>
      </c>
      <c r="AH321">
        <v>0</v>
      </c>
      <c r="AI321">
        <v>1</v>
      </c>
      <c r="AJ321">
        <v>13.36</v>
      </c>
      <c r="AK321">
        <v>34.75</v>
      </c>
      <c r="AL321">
        <v>1</v>
      </c>
      <c r="AN321">
        <v>0</v>
      </c>
      <c r="AO321">
        <v>1</v>
      </c>
      <c r="AP321">
        <v>1</v>
      </c>
      <c r="AQ321">
        <v>0</v>
      </c>
      <c r="AR321">
        <v>0</v>
      </c>
      <c r="AS321" t="s">
        <v>3</v>
      </c>
      <c r="AT321">
        <v>0.1</v>
      </c>
      <c r="AU321" t="s">
        <v>304</v>
      </c>
      <c r="AV321">
        <v>0</v>
      </c>
      <c r="AW321">
        <v>2</v>
      </c>
      <c r="AX321">
        <v>46468799</v>
      </c>
      <c r="AY321">
        <v>1</v>
      </c>
      <c r="AZ321">
        <v>0</v>
      </c>
      <c r="BA321">
        <v>305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Y321*Source!I390</f>
        <v>2.5005599999999997</v>
      </c>
      <c r="CY321">
        <f t="shared" si="76"/>
        <v>9436.0300000000007</v>
      </c>
      <c r="CZ321">
        <f t="shared" si="77"/>
        <v>706.29</v>
      </c>
      <c r="DA321">
        <f t="shared" si="78"/>
        <v>13.36</v>
      </c>
      <c r="DB321">
        <f t="shared" si="74"/>
        <v>974.69399999999996</v>
      </c>
      <c r="DC321">
        <f t="shared" si="75"/>
        <v>21.251999999999999</v>
      </c>
    </row>
    <row r="322" spans="1:107" x14ac:dyDescent="0.2">
      <c r="A322">
        <f>ROW(Source!A390)</f>
        <v>390</v>
      </c>
      <c r="B322">
        <v>46416371</v>
      </c>
      <c r="C322">
        <v>46468793</v>
      </c>
      <c r="D322">
        <v>42570664</v>
      </c>
      <c r="E322">
        <v>1</v>
      </c>
      <c r="F322">
        <v>1</v>
      </c>
      <c r="G322">
        <v>1</v>
      </c>
      <c r="H322">
        <v>2</v>
      </c>
      <c r="I322" t="s">
        <v>620</v>
      </c>
      <c r="J322" t="s">
        <v>621</v>
      </c>
      <c r="K322" t="s">
        <v>622</v>
      </c>
      <c r="L322">
        <v>1368</v>
      </c>
      <c r="N322">
        <v>1011</v>
      </c>
      <c r="O322" t="s">
        <v>393</v>
      </c>
      <c r="P322" t="s">
        <v>393</v>
      </c>
      <c r="Q322">
        <v>1</v>
      </c>
      <c r="W322">
        <v>0</v>
      </c>
      <c r="X322">
        <v>1067570249</v>
      </c>
      <c r="Y322">
        <v>1.38</v>
      </c>
      <c r="AA322">
        <v>0</v>
      </c>
      <c r="AB322">
        <v>259.18</v>
      </c>
      <c r="AC322">
        <v>0</v>
      </c>
      <c r="AD322">
        <v>0</v>
      </c>
      <c r="AE322">
        <v>0</v>
      </c>
      <c r="AF322">
        <v>19.399999999999999</v>
      </c>
      <c r="AG322">
        <v>0</v>
      </c>
      <c r="AH322">
        <v>0</v>
      </c>
      <c r="AI322">
        <v>1</v>
      </c>
      <c r="AJ322">
        <v>13.36</v>
      </c>
      <c r="AK322">
        <v>34.75</v>
      </c>
      <c r="AL322">
        <v>1</v>
      </c>
      <c r="AN322">
        <v>0</v>
      </c>
      <c r="AO322">
        <v>1</v>
      </c>
      <c r="AP322">
        <v>1</v>
      </c>
      <c r="AQ322">
        <v>0</v>
      </c>
      <c r="AR322">
        <v>0</v>
      </c>
      <c r="AS322" t="s">
        <v>3</v>
      </c>
      <c r="AT322">
        <v>0.1</v>
      </c>
      <c r="AU322" t="s">
        <v>304</v>
      </c>
      <c r="AV322">
        <v>0</v>
      </c>
      <c r="AW322">
        <v>2</v>
      </c>
      <c r="AX322">
        <v>46468800</v>
      </c>
      <c r="AY322">
        <v>1</v>
      </c>
      <c r="AZ322">
        <v>0</v>
      </c>
      <c r="BA322">
        <v>306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Y322*Source!I390</f>
        <v>2.5005599999999997</v>
      </c>
      <c r="CY322">
        <f t="shared" si="76"/>
        <v>259.18</v>
      </c>
      <c r="CZ322">
        <f t="shared" si="77"/>
        <v>19.399999999999999</v>
      </c>
      <c r="DA322">
        <f t="shared" si="78"/>
        <v>13.36</v>
      </c>
      <c r="DB322">
        <f t="shared" si="74"/>
        <v>26.771999999999998</v>
      </c>
      <c r="DC322">
        <f t="shared" si="75"/>
        <v>0</v>
      </c>
    </row>
    <row r="323" spans="1:107" x14ac:dyDescent="0.2">
      <c r="A323">
        <f>ROW(Source!A390)</f>
        <v>390</v>
      </c>
      <c r="B323">
        <v>46416371</v>
      </c>
      <c r="C323">
        <v>46468793</v>
      </c>
      <c r="D323">
        <v>42570685</v>
      </c>
      <c r="E323">
        <v>1</v>
      </c>
      <c r="F323">
        <v>1</v>
      </c>
      <c r="G323">
        <v>1</v>
      </c>
      <c r="H323">
        <v>2</v>
      </c>
      <c r="I323" t="s">
        <v>632</v>
      </c>
      <c r="J323" t="s">
        <v>633</v>
      </c>
      <c r="K323" t="s">
        <v>634</v>
      </c>
      <c r="L323">
        <v>1368</v>
      </c>
      <c r="N323">
        <v>1011</v>
      </c>
      <c r="O323" t="s">
        <v>393</v>
      </c>
      <c r="P323" t="s">
        <v>393</v>
      </c>
      <c r="Q323">
        <v>1</v>
      </c>
      <c r="W323">
        <v>0</v>
      </c>
      <c r="X323">
        <v>-717460794</v>
      </c>
      <c r="Y323">
        <v>0.82799999999999985</v>
      </c>
      <c r="AA323">
        <v>0</v>
      </c>
      <c r="AB323">
        <v>2691.37</v>
      </c>
      <c r="AC323">
        <v>326.64999999999998</v>
      </c>
      <c r="AD323">
        <v>0</v>
      </c>
      <c r="AE323">
        <v>0</v>
      </c>
      <c r="AF323">
        <v>201.45</v>
      </c>
      <c r="AG323">
        <v>9.4</v>
      </c>
      <c r="AH323">
        <v>0</v>
      </c>
      <c r="AI323">
        <v>1</v>
      </c>
      <c r="AJ323">
        <v>13.36</v>
      </c>
      <c r="AK323">
        <v>34.75</v>
      </c>
      <c r="AL323">
        <v>1</v>
      </c>
      <c r="AN323">
        <v>0</v>
      </c>
      <c r="AO323">
        <v>1</v>
      </c>
      <c r="AP323">
        <v>1</v>
      </c>
      <c r="AQ323">
        <v>0</v>
      </c>
      <c r="AR323">
        <v>0</v>
      </c>
      <c r="AS323" t="s">
        <v>3</v>
      </c>
      <c r="AT323">
        <v>0.06</v>
      </c>
      <c r="AU323" t="s">
        <v>304</v>
      </c>
      <c r="AV323">
        <v>0</v>
      </c>
      <c r="AW323">
        <v>2</v>
      </c>
      <c r="AX323">
        <v>46468801</v>
      </c>
      <c r="AY323">
        <v>1</v>
      </c>
      <c r="AZ323">
        <v>0</v>
      </c>
      <c r="BA323">
        <v>307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Y323*Source!I390</f>
        <v>1.5003359999999997</v>
      </c>
      <c r="CY323">
        <f t="shared" si="76"/>
        <v>2691.37</v>
      </c>
      <c r="CZ323">
        <f t="shared" si="77"/>
        <v>201.45</v>
      </c>
      <c r="DA323">
        <f t="shared" si="78"/>
        <v>13.36</v>
      </c>
      <c r="DB323">
        <f t="shared" si="74"/>
        <v>166.84200000000001</v>
      </c>
      <c r="DC323">
        <f t="shared" si="75"/>
        <v>7.7279999999999998</v>
      </c>
    </row>
    <row r="324" spans="1:107" x14ac:dyDescent="0.2">
      <c r="A324">
        <f>ROW(Source!A390)</f>
        <v>390</v>
      </c>
      <c r="B324">
        <v>46416371</v>
      </c>
      <c r="C324">
        <v>46468793</v>
      </c>
      <c r="D324">
        <v>42594116</v>
      </c>
      <c r="E324">
        <v>1</v>
      </c>
      <c r="F324">
        <v>1</v>
      </c>
      <c r="G324">
        <v>1</v>
      </c>
      <c r="H324">
        <v>3</v>
      </c>
      <c r="I324" t="s">
        <v>651</v>
      </c>
      <c r="J324" t="s">
        <v>652</v>
      </c>
      <c r="K324" t="s">
        <v>653</v>
      </c>
      <c r="L324">
        <v>1348</v>
      </c>
      <c r="N324">
        <v>1009</v>
      </c>
      <c r="O324" t="s">
        <v>184</v>
      </c>
      <c r="P324" t="s">
        <v>184</v>
      </c>
      <c r="Q324">
        <v>1000</v>
      </c>
      <c r="W324">
        <v>0</v>
      </c>
      <c r="X324">
        <v>1622604025</v>
      </c>
      <c r="Y324">
        <v>2E-3</v>
      </c>
      <c r="AA324">
        <v>14557.24</v>
      </c>
      <c r="AB324">
        <v>0</v>
      </c>
      <c r="AC324">
        <v>0</v>
      </c>
      <c r="AD324">
        <v>0</v>
      </c>
      <c r="AE324">
        <v>1756</v>
      </c>
      <c r="AF324">
        <v>0</v>
      </c>
      <c r="AG324">
        <v>0</v>
      </c>
      <c r="AH324">
        <v>0</v>
      </c>
      <c r="AI324">
        <v>8.2899999999999991</v>
      </c>
      <c r="AJ324">
        <v>1</v>
      </c>
      <c r="AK324">
        <v>1</v>
      </c>
      <c r="AL324">
        <v>1</v>
      </c>
      <c r="AN324">
        <v>0</v>
      </c>
      <c r="AO324">
        <v>1</v>
      </c>
      <c r="AP324">
        <v>1</v>
      </c>
      <c r="AQ324">
        <v>0</v>
      </c>
      <c r="AR324">
        <v>0</v>
      </c>
      <c r="AS324" t="s">
        <v>3</v>
      </c>
      <c r="AT324">
        <v>1E-3</v>
      </c>
      <c r="AU324" t="s">
        <v>303</v>
      </c>
      <c r="AV324">
        <v>0</v>
      </c>
      <c r="AW324">
        <v>2</v>
      </c>
      <c r="AX324">
        <v>46468802</v>
      </c>
      <c r="AY324">
        <v>1</v>
      </c>
      <c r="AZ324">
        <v>0</v>
      </c>
      <c r="BA324">
        <v>308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Y324*Source!I390</f>
        <v>3.6240000000000001E-3</v>
      </c>
      <c r="CY324">
        <f>AA324</f>
        <v>14557.24</v>
      </c>
      <c r="CZ324">
        <f>AE324</f>
        <v>1756</v>
      </c>
      <c r="DA324">
        <f>AI324</f>
        <v>8.2899999999999991</v>
      </c>
      <c r="DB324">
        <f>ROUND((ROUND(AT324*CZ324,2)*2),6)</f>
        <v>3.52</v>
      </c>
      <c r="DC324">
        <f>ROUND((ROUND(AT324*AG324,2)*2),6)</f>
        <v>0</v>
      </c>
    </row>
    <row r="325" spans="1:107" x14ac:dyDescent="0.2">
      <c r="A325">
        <f>ROW(Source!A390)</f>
        <v>390</v>
      </c>
      <c r="B325">
        <v>46416371</v>
      </c>
      <c r="C325">
        <v>46468793</v>
      </c>
      <c r="D325">
        <v>42581991</v>
      </c>
      <c r="E325">
        <v>1</v>
      </c>
      <c r="F325">
        <v>1</v>
      </c>
      <c r="G325">
        <v>1</v>
      </c>
      <c r="H325">
        <v>3</v>
      </c>
      <c r="I325" t="s">
        <v>287</v>
      </c>
      <c r="J325" t="s">
        <v>289</v>
      </c>
      <c r="K325" t="s">
        <v>288</v>
      </c>
      <c r="L325">
        <v>1348</v>
      </c>
      <c r="N325">
        <v>1009</v>
      </c>
      <c r="O325" t="s">
        <v>184</v>
      </c>
      <c r="P325" t="s">
        <v>184</v>
      </c>
      <c r="Q325">
        <v>1000</v>
      </c>
      <c r="W325">
        <v>1</v>
      </c>
      <c r="X325">
        <v>1746175502</v>
      </c>
      <c r="Y325">
        <v>-26.4</v>
      </c>
      <c r="AA325">
        <v>2835.93</v>
      </c>
      <c r="AB325">
        <v>0</v>
      </c>
      <c r="AC325">
        <v>0</v>
      </c>
      <c r="AD325">
        <v>0</v>
      </c>
      <c r="AE325">
        <v>342.09</v>
      </c>
      <c r="AF325">
        <v>0</v>
      </c>
      <c r="AG325">
        <v>0</v>
      </c>
      <c r="AH325">
        <v>0</v>
      </c>
      <c r="AI325">
        <v>8.2899999999999991</v>
      </c>
      <c r="AJ325">
        <v>1</v>
      </c>
      <c r="AK325">
        <v>1</v>
      </c>
      <c r="AL325">
        <v>1</v>
      </c>
      <c r="AN325">
        <v>0</v>
      </c>
      <c r="AO325">
        <v>1</v>
      </c>
      <c r="AP325">
        <v>1</v>
      </c>
      <c r="AQ325">
        <v>0</v>
      </c>
      <c r="AR325">
        <v>0</v>
      </c>
      <c r="AS325" t="s">
        <v>3</v>
      </c>
      <c r="AT325">
        <v>-13.2</v>
      </c>
      <c r="AU325" t="s">
        <v>303</v>
      </c>
      <c r="AV325">
        <v>0</v>
      </c>
      <c r="AW325">
        <v>2</v>
      </c>
      <c r="AX325">
        <v>46468803</v>
      </c>
      <c r="AY325">
        <v>1</v>
      </c>
      <c r="AZ325">
        <v>6144</v>
      </c>
      <c r="BA325">
        <v>309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Y325*Source!I390</f>
        <v>-47.836799999999997</v>
      </c>
      <c r="CY325">
        <f>AA325</f>
        <v>2835.93</v>
      </c>
      <c r="CZ325">
        <f>AE325</f>
        <v>342.09</v>
      </c>
      <c r="DA325">
        <f>AI325</f>
        <v>8.2899999999999991</v>
      </c>
      <c r="DB325">
        <f>ROUND((ROUND(AT325*CZ325,2)*2),6)</f>
        <v>-9031.18</v>
      </c>
      <c r="DC325">
        <f>ROUND((ROUND(AT325*AG325,2)*2),6)</f>
        <v>0</v>
      </c>
    </row>
    <row r="326" spans="1:107" x14ac:dyDescent="0.2">
      <c r="A326">
        <f>ROW(Source!A390)</f>
        <v>390</v>
      </c>
      <c r="B326">
        <v>46416371</v>
      </c>
      <c r="C326">
        <v>46468793</v>
      </c>
      <c r="D326">
        <v>42582071</v>
      </c>
      <c r="E326">
        <v>1</v>
      </c>
      <c r="F326">
        <v>1</v>
      </c>
      <c r="G326">
        <v>1</v>
      </c>
      <c r="H326">
        <v>3</v>
      </c>
      <c r="I326" t="s">
        <v>660</v>
      </c>
      <c r="J326" t="s">
        <v>661</v>
      </c>
      <c r="K326" t="s">
        <v>662</v>
      </c>
      <c r="L326">
        <v>1339</v>
      </c>
      <c r="N326">
        <v>1007</v>
      </c>
      <c r="O326" t="s">
        <v>139</v>
      </c>
      <c r="P326" t="s">
        <v>139</v>
      </c>
      <c r="Q326">
        <v>1</v>
      </c>
      <c r="W326">
        <v>0</v>
      </c>
      <c r="X326">
        <v>644117468</v>
      </c>
      <c r="Y326">
        <v>0.88</v>
      </c>
      <c r="AA326">
        <v>12.44</v>
      </c>
      <c r="AB326">
        <v>0</v>
      </c>
      <c r="AC326">
        <v>0</v>
      </c>
      <c r="AD326">
        <v>0</v>
      </c>
      <c r="AE326">
        <v>1.5</v>
      </c>
      <c r="AF326">
        <v>0</v>
      </c>
      <c r="AG326">
        <v>0</v>
      </c>
      <c r="AH326">
        <v>0</v>
      </c>
      <c r="AI326">
        <v>8.2899999999999991</v>
      </c>
      <c r="AJ326">
        <v>1</v>
      </c>
      <c r="AK326">
        <v>1</v>
      </c>
      <c r="AL326">
        <v>1</v>
      </c>
      <c r="AN326">
        <v>0</v>
      </c>
      <c r="AO326">
        <v>1</v>
      </c>
      <c r="AP326">
        <v>1</v>
      </c>
      <c r="AQ326">
        <v>0</v>
      </c>
      <c r="AR326">
        <v>0</v>
      </c>
      <c r="AS326" t="s">
        <v>3</v>
      </c>
      <c r="AT326">
        <v>0.44</v>
      </c>
      <c r="AU326" t="s">
        <v>303</v>
      </c>
      <c r="AV326">
        <v>0</v>
      </c>
      <c r="AW326">
        <v>2</v>
      </c>
      <c r="AX326">
        <v>46468804</v>
      </c>
      <c r="AY326">
        <v>1</v>
      </c>
      <c r="AZ326">
        <v>0</v>
      </c>
      <c r="BA326">
        <v>310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Y326*Source!I390</f>
        <v>1.59456</v>
      </c>
      <c r="CY326">
        <f>AA326</f>
        <v>12.44</v>
      </c>
      <c r="CZ326">
        <f>AE326</f>
        <v>1.5</v>
      </c>
      <c r="DA326">
        <f>AI326</f>
        <v>8.2899999999999991</v>
      </c>
      <c r="DB326">
        <f>ROUND((ROUND(AT326*CZ326,2)*2),6)</f>
        <v>1.32</v>
      </c>
      <c r="DC326">
        <f>ROUND((ROUND(AT326*AG326,2)*2),6)</f>
        <v>0</v>
      </c>
    </row>
    <row r="327" spans="1:107" x14ac:dyDescent="0.2">
      <c r="A327">
        <f>ROW(Source!A390)</f>
        <v>390</v>
      </c>
      <c r="B327">
        <v>46416371</v>
      </c>
      <c r="C327">
        <v>46468793</v>
      </c>
      <c r="D327">
        <v>0</v>
      </c>
      <c r="E327">
        <v>1</v>
      </c>
      <c r="F327">
        <v>1</v>
      </c>
      <c r="G327">
        <v>1</v>
      </c>
      <c r="H327">
        <v>3</v>
      </c>
      <c r="I327" t="s">
        <v>145</v>
      </c>
      <c r="J327" t="s">
        <v>3</v>
      </c>
      <c r="K327" t="s">
        <v>290</v>
      </c>
      <c r="L327">
        <v>1348</v>
      </c>
      <c r="N327">
        <v>1009</v>
      </c>
      <c r="O327" t="s">
        <v>184</v>
      </c>
      <c r="P327" t="s">
        <v>184</v>
      </c>
      <c r="Q327">
        <v>1000</v>
      </c>
      <c r="W327">
        <v>0</v>
      </c>
      <c r="X327">
        <v>2054945668</v>
      </c>
      <c r="Y327">
        <v>26.381461999999999</v>
      </c>
      <c r="AA327">
        <v>4892.5</v>
      </c>
      <c r="AB327">
        <v>0</v>
      </c>
      <c r="AC327">
        <v>0</v>
      </c>
      <c r="AD327">
        <v>0</v>
      </c>
      <c r="AE327">
        <v>4892.5</v>
      </c>
      <c r="AF327">
        <v>0</v>
      </c>
      <c r="AG327">
        <v>0</v>
      </c>
      <c r="AH327">
        <v>0</v>
      </c>
      <c r="AI327">
        <v>1</v>
      </c>
      <c r="AJ327">
        <v>1</v>
      </c>
      <c r="AK327">
        <v>1</v>
      </c>
      <c r="AL327">
        <v>1</v>
      </c>
      <c r="AN327">
        <v>0</v>
      </c>
      <c r="AO327">
        <v>0</v>
      </c>
      <c r="AP327">
        <v>0</v>
      </c>
      <c r="AQ327">
        <v>0</v>
      </c>
      <c r="AR327">
        <v>0</v>
      </c>
      <c r="AS327" t="s">
        <v>3</v>
      </c>
      <c r="AT327">
        <v>26.381461999999999</v>
      </c>
      <c r="AU327" t="s">
        <v>3</v>
      </c>
      <c r="AV327">
        <v>0</v>
      </c>
      <c r="AW327">
        <v>1</v>
      </c>
      <c r="AX327">
        <v>-1</v>
      </c>
      <c r="AY327">
        <v>0</v>
      </c>
      <c r="AZ327">
        <v>0</v>
      </c>
      <c r="BA327" t="s">
        <v>3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Y327*Source!I390</f>
        <v>47.803209144</v>
      </c>
      <c r="CY327">
        <f>AA327</f>
        <v>4892.5</v>
      </c>
      <c r="CZ327">
        <f>AE327</f>
        <v>4892.5</v>
      </c>
      <c r="DA327">
        <f>AI327</f>
        <v>1</v>
      </c>
      <c r="DB327">
        <f>ROUND(ROUND(AT327*CZ327,2),6)</f>
        <v>129071.3</v>
      </c>
      <c r="DC327">
        <f>ROUND(ROUND(AT327*AG327,2),6)</f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46416849</v>
      </c>
      <c r="C1">
        <v>46416841</v>
      </c>
      <c r="D1">
        <v>42640871</v>
      </c>
      <c r="E1">
        <v>1</v>
      </c>
      <c r="F1">
        <v>1</v>
      </c>
      <c r="G1">
        <v>1</v>
      </c>
      <c r="H1">
        <v>1</v>
      </c>
      <c r="I1" t="s">
        <v>385</v>
      </c>
      <c r="J1" t="s">
        <v>3</v>
      </c>
      <c r="K1" t="s">
        <v>386</v>
      </c>
      <c r="L1">
        <v>1369</v>
      </c>
      <c r="N1">
        <v>1013</v>
      </c>
      <c r="O1" t="s">
        <v>387</v>
      </c>
      <c r="P1" t="s">
        <v>387</v>
      </c>
      <c r="Q1">
        <v>1</v>
      </c>
      <c r="X1">
        <v>34.700000000000003</v>
      </c>
      <c r="Y1">
        <v>0</v>
      </c>
      <c r="Z1">
        <v>0</v>
      </c>
      <c r="AA1">
        <v>0</v>
      </c>
      <c r="AB1">
        <v>7.97</v>
      </c>
      <c r="AC1">
        <v>0</v>
      </c>
      <c r="AD1">
        <v>1</v>
      </c>
      <c r="AE1">
        <v>1</v>
      </c>
      <c r="AF1" t="s">
        <v>21</v>
      </c>
      <c r="AG1">
        <v>7.9810000000000008</v>
      </c>
      <c r="AH1">
        <v>2</v>
      </c>
      <c r="AI1">
        <v>46416842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46416850</v>
      </c>
      <c r="C2">
        <v>46416841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26</v>
      </c>
      <c r="J2" t="s">
        <v>3</v>
      </c>
      <c r="K2" t="s">
        <v>388</v>
      </c>
      <c r="L2">
        <v>608254</v>
      </c>
      <c r="N2">
        <v>1013</v>
      </c>
      <c r="O2" t="s">
        <v>389</v>
      </c>
      <c r="P2" t="s">
        <v>389</v>
      </c>
      <c r="Q2">
        <v>1</v>
      </c>
      <c r="X2">
        <v>15.89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20</v>
      </c>
      <c r="AG2">
        <v>1.82735</v>
      </c>
      <c r="AH2">
        <v>2</v>
      </c>
      <c r="AI2">
        <v>46416843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ROW(Source!A28)</f>
        <v>28</v>
      </c>
      <c r="B3">
        <v>46416851</v>
      </c>
      <c r="C3">
        <v>46416841</v>
      </c>
      <c r="D3">
        <v>42567597</v>
      </c>
      <c r="E3">
        <v>1</v>
      </c>
      <c r="F3">
        <v>1</v>
      </c>
      <c r="G3">
        <v>1</v>
      </c>
      <c r="H3">
        <v>2</v>
      </c>
      <c r="I3" t="s">
        <v>390</v>
      </c>
      <c r="J3" t="s">
        <v>391</v>
      </c>
      <c r="K3" t="s">
        <v>392</v>
      </c>
      <c r="L3">
        <v>1368</v>
      </c>
      <c r="N3">
        <v>1011</v>
      </c>
      <c r="O3" t="s">
        <v>393</v>
      </c>
      <c r="P3" t="s">
        <v>393</v>
      </c>
      <c r="Q3">
        <v>1</v>
      </c>
      <c r="X3">
        <v>2.44</v>
      </c>
      <c r="Y3">
        <v>0</v>
      </c>
      <c r="Z3">
        <v>1.2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20</v>
      </c>
      <c r="AG3">
        <v>0.28059999999999996</v>
      </c>
      <c r="AH3">
        <v>2</v>
      </c>
      <c r="AI3">
        <v>46416844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ROW(Source!A28)</f>
        <v>28</v>
      </c>
      <c r="B4">
        <v>46416852</v>
      </c>
      <c r="C4">
        <v>46416841</v>
      </c>
      <c r="D4">
        <v>42567659</v>
      </c>
      <c r="E4">
        <v>1</v>
      </c>
      <c r="F4">
        <v>1</v>
      </c>
      <c r="G4">
        <v>1</v>
      </c>
      <c r="H4">
        <v>2</v>
      </c>
      <c r="I4" t="s">
        <v>394</v>
      </c>
      <c r="J4" t="s">
        <v>395</v>
      </c>
      <c r="K4" t="s">
        <v>396</v>
      </c>
      <c r="L4">
        <v>1368</v>
      </c>
      <c r="N4">
        <v>1011</v>
      </c>
      <c r="O4" t="s">
        <v>393</v>
      </c>
      <c r="P4" t="s">
        <v>393</v>
      </c>
      <c r="Q4">
        <v>1</v>
      </c>
      <c r="X4">
        <v>15.89</v>
      </c>
      <c r="Y4">
        <v>0</v>
      </c>
      <c r="Z4">
        <v>98.87</v>
      </c>
      <c r="AA4">
        <v>9.4</v>
      </c>
      <c r="AB4">
        <v>0</v>
      </c>
      <c r="AC4">
        <v>0</v>
      </c>
      <c r="AD4">
        <v>1</v>
      </c>
      <c r="AE4">
        <v>0</v>
      </c>
      <c r="AF4" t="s">
        <v>20</v>
      </c>
      <c r="AG4">
        <v>1.82735</v>
      </c>
      <c r="AH4">
        <v>2</v>
      </c>
      <c r="AI4">
        <v>46416845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ROW(Source!A28)</f>
        <v>28</v>
      </c>
      <c r="B5">
        <v>46416853</v>
      </c>
      <c r="C5">
        <v>46416841</v>
      </c>
      <c r="D5">
        <v>42570318</v>
      </c>
      <c r="E5">
        <v>1</v>
      </c>
      <c r="F5">
        <v>1</v>
      </c>
      <c r="G5">
        <v>1</v>
      </c>
      <c r="H5">
        <v>2</v>
      </c>
      <c r="I5" t="s">
        <v>397</v>
      </c>
      <c r="J5" t="s">
        <v>398</v>
      </c>
      <c r="K5" t="s">
        <v>399</v>
      </c>
      <c r="L5">
        <v>1368</v>
      </c>
      <c r="N5">
        <v>1011</v>
      </c>
      <c r="O5" t="s">
        <v>393</v>
      </c>
      <c r="P5" t="s">
        <v>393</v>
      </c>
      <c r="Q5">
        <v>1</v>
      </c>
      <c r="X5">
        <v>31.78</v>
      </c>
      <c r="Y5">
        <v>0</v>
      </c>
      <c r="Z5">
        <v>1.53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20</v>
      </c>
      <c r="AG5">
        <v>3.6547000000000001</v>
      </c>
      <c r="AH5">
        <v>2</v>
      </c>
      <c r="AI5">
        <v>46416846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ROW(Source!A28)</f>
        <v>28</v>
      </c>
      <c r="B6">
        <v>46416854</v>
      </c>
      <c r="C6">
        <v>46416841</v>
      </c>
      <c r="D6">
        <v>42593372</v>
      </c>
      <c r="E6">
        <v>1</v>
      </c>
      <c r="F6">
        <v>1</v>
      </c>
      <c r="G6">
        <v>1</v>
      </c>
      <c r="H6">
        <v>3</v>
      </c>
      <c r="I6" t="s">
        <v>400</v>
      </c>
      <c r="J6" t="s">
        <v>401</v>
      </c>
      <c r="K6" t="s">
        <v>402</v>
      </c>
      <c r="L6">
        <v>1339</v>
      </c>
      <c r="N6">
        <v>1007</v>
      </c>
      <c r="O6" t="s">
        <v>139</v>
      </c>
      <c r="P6" t="s">
        <v>139</v>
      </c>
      <c r="Q6">
        <v>1</v>
      </c>
      <c r="X6">
        <v>2</v>
      </c>
      <c r="Y6">
        <v>12.36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2</v>
      </c>
      <c r="AH6">
        <v>2</v>
      </c>
      <c r="AI6">
        <v>46416847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ROW(Source!A28)</f>
        <v>28</v>
      </c>
      <c r="B7">
        <v>46416855</v>
      </c>
      <c r="C7">
        <v>46416841</v>
      </c>
      <c r="D7">
        <v>42593360</v>
      </c>
      <c r="E7">
        <v>1</v>
      </c>
      <c r="F7">
        <v>1</v>
      </c>
      <c r="G7">
        <v>1</v>
      </c>
      <c r="H7">
        <v>3</v>
      </c>
      <c r="I7" t="s">
        <v>403</v>
      </c>
      <c r="J7" t="s">
        <v>404</v>
      </c>
      <c r="K7" t="s">
        <v>405</v>
      </c>
      <c r="L7">
        <v>1339</v>
      </c>
      <c r="N7">
        <v>1007</v>
      </c>
      <c r="O7" t="s">
        <v>139</v>
      </c>
      <c r="P7" t="s">
        <v>139</v>
      </c>
      <c r="Q7">
        <v>1</v>
      </c>
      <c r="X7">
        <v>0.26</v>
      </c>
      <c r="Y7">
        <v>100.53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0.26</v>
      </c>
      <c r="AH7">
        <v>2</v>
      </c>
      <c r="AI7">
        <v>46416848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ROW(Source!A29)</f>
        <v>29</v>
      </c>
      <c r="B8">
        <v>46468023</v>
      </c>
      <c r="C8">
        <v>46468022</v>
      </c>
      <c r="D8">
        <v>42640621</v>
      </c>
      <c r="E8">
        <v>1</v>
      </c>
      <c r="F8">
        <v>1</v>
      </c>
      <c r="G8">
        <v>1</v>
      </c>
      <c r="H8">
        <v>1</v>
      </c>
      <c r="I8" t="s">
        <v>406</v>
      </c>
      <c r="J8" t="s">
        <v>3</v>
      </c>
      <c r="K8" t="s">
        <v>407</v>
      </c>
      <c r="L8">
        <v>1369</v>
      </c>
      <c r="N8">
        <v>1013</v>
      </c>
      <c r="O8" t="s">
        <v>387</v>
      </c>
      <c r="P8" t="s">
        <v>387</v>
      </c>
      <c r="Q8">
        <v>1</v>
      </c>
      <c r="X8">
        <v>154</v>
      </c>
      <c r="Y8">
        <v>0</v>
      </c>
      <c r="Z8">
        <v>0</v>
      </c>
      <c r="AA8">
        <v>0</v>
      </c>
      <c r="AB8">
        <v>7.29</v>
      </c>
      <c r="AC8">
        <v>0</v>
      </c>
      <c r="AD8">
        <v>1</v>
      </c>
      <c r="AE8">
        <v>1</v>
      </c>
      <c r="AF8" t="s">
        <v>31</v>
      </c>
      <c r="AG8">
        <v>177.1</v>
      </c>
      <c r="AH8">
        <v>2</v>
      </c>
      <c r="AI8">
        <v>46468023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ROW(Source!A30)</f>
        <v>30</v>
      </c>
      <c r="B9">
        <v>46416860</v>
      </c>
      <c r="C9">
        <v>46416856</v>
      </c>
      <c r="D9">
        <v>42641564</v>
      </c>
      <c r="E9">
        <v>1</v>
      </c>
      <c r="F9">
        <v>1</v>
      </c>
      <c r="G9">
        <v>1</v>
      </c>
      <c r="H9">
        <v>1</v>
      </c>
      <c r="I9" t="s">
        <v>408</v>
      </c>
      <c r="J9" t="s">
        <v>3</v>
      </c>
      <c r="K9" t="s">
        <v>409</v>
      </c>
      <c r="L9">
        <v>1369</v>
      </c>
      <c r="N9">
        <v>1013</v>
      </c>
      <c r="O9" t="s">
        <v>387</v>
      </c>
      <c r="P9" t="s">
        <v>387</v>
      </c>
      <c r="Q9">
        <v>1</v>
      </c>
      <c r="X9">
        <v>167</v>
      </c>
      <c r="Y9">
        <v>0</v>
      </c>
      <c r="Z9">
        <v>0</v>
      </c>
      <c r="AA9">
        <v>0</v>
      </c>
      <c r="AB9">
        <v>7.36</v>
      </c>
      <c r="AC9">
        <v>0</v>
      </c>
      <c r="AD9">
        <v>1</v>
      </c>
      <c r="AE9">
        <v>1</v>
      </c>
      <c r="AF9" t="s">
        <v>31</v>
      </c>
      <c r="AG9">
        <v>192.04999999999998</v>
      </c>
      <c r="AH9">
        <v>2</v>
      </c>
      <c r="AI9">
        <v>46416857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ROW(Source!A30)</f>
        <v>30</v>
      </c>
      <c r="B10">
        <v>46416861</v>
      </c>
      <c r="C10">
        <v>46416856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26</v>
      </c>
      <c r="J10" t="s">
        <v>3</v>
      </c>
      <c r="K10" t="s">
        <v>388</v>
      </c>
      <c r="L10">
        <v>608254</v>
      </c>
      <c r="N10">
        <v>1013</v>
      </c>
      <c r="O10" t="s">
        <v>389</v>
      </c>
      <c r="P10" t="s">
        <v>389</v>
      </c>
      <c r="Q10">
        <v>1</v>
      </c>
      <c r="X10">
        <v>2.2200000000000002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2</v>
      </c>
      <c r="AF10" t="s">
        <v>31</v>
      </c>
      <c r="AG10">
        <v>2.5529999999999999</v>
      </c>
      <c r="AH10">
        <v>2</v>
      </c>
      <c r="AI10">
        <v>46416858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ROW(Source!A30)</f>
        <v>30</v>
      </c>
      <c r="B11">
        <v>46416862</v>
      </c>
      <c r="C11">
        <v>46416856</v>
      </c>
      <c r="D11">
        <v>42567921</v>
      </c>
      <c r="E11">
        <v>1</v>
      </c>
      <c r="F11">
        <v>1</v>
      </c>
      <c r="G11">
        <v>1</v>
      </c>
      <c r="H11">
        <v>2</v>
      </c>
      <c r="I11" t="s">
        <v>410</v>
      </c>
      <c r="J11" t="s">
        <v>411</v>
      </c>
      <c r="K11" t="s">
        <v>412</v>
      </c>
      <c r="L11">
        <v>1368</v>
      </c>
      <c r="N11">
        <v>1011</v>
      </c>
      <c r="O11" t="s">
        <v>393</v>
      </c>
      <c r="P11" t="s">
        <v>393</v>
      </c>
      <c r="Q11">
        <v>1</v>
      </c>
      <c r="X11">
        <v>2.2200000000000002</v>
      </c>
      <c r="Y11">
        <v>0</v>
      </c>
      <c r="Z11">
        <v>48.49</v>
      </c>
      <c r="AA11">
        <v>9.4</v>
      </c>
      <c r="AB11">
        <v>0</v>
      </c>
      <c r="AC11">
        <v>0</v>
      </c>
      <c r="AD11">
        <v>1</v>
      </c>
      <c r="AE11">
        <v>0</v>
      </c>
      <c r="AF11" t="s">
        <v>31</v>
      </c>
      <c r="AG11">
        <v>2.5529999999999999</v>
      </c>
      <c r="AH11">
        <v>2</v>
      </c>
      <c r="AI11">
        <v>46416859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ROW(Source!A31)</f>
        <v>31</v>
      </c>
      <c r="B12">
        <v>46416869</v>
      </c>
      <c r="C12">
        <v>46416863</v>
      </c>
      <c r="D12">
        <v>42643721</v>
      </c>
      <c r="E12">
        <v>1</v>
      </c>
      <c r="F12">
        <v>1</v>
      </c>
      <c r="G12">
        <v>1</v>
      </c>
      <c r="H12">
        <v>1</v>
      </c>
      <c r="I12" t="s">
        <v>413</v>
      </c>
      <c r="J12" t="s">
        <v>3</v>
      </c>
      <c r="K12" t="s">
        <v>414</v>
      </c>
      <c r="L12">
        <v>1369</v>
      </c>
      <c r="N12">
        <v>1013</v>
      </c>
      <c r="O12" t="s">
        <v>387</v>
      </c>
      <c r="P12" t="s">
        <v>387</v>
      </c>
      <c r="Q12">
        <v>1</v>
      </c>
      <c r="X12">
        <v>173</v>
      </c>
      <c r="Y12">
        <v>0</v>
      </c>
      <c r="Z12">
        <v>0</v>
      </c>
      <c r="AA12">
        <v>0</v>
      </c>
      <c r="AB12">
        <v>7.43</v>
      </c>
      <c r="AC12">
        <v>0</v>
      </c>
      <c r="AD12">
        <v>1</v>
      </c>
      <c r="AE12">
        <v>1</v>
      </c>
      <c r="AF12" t="s">
        <v>31</v>
      </c>
      <c r="AG12">
        <v>198.95</v>
      </c>
      <c r="AH12">
        <v>2</v>
      </c>
      <c r="AI12">
        <v>46416864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ROW(Source!A31)</f>
        <v>31</v>
      </c>
      <c r="B13">
        <v>46416870</v>
      </c>
      <c r="C13">
        <v>46416863</v>
      </c>
      <c r="D13">
        <v>121548</v>
      </c>
      <c r="E13">
        <v>1</v>
      </c>
      <c r="F13">
        <v>1</v>
      </c>
      <c r="G13">
        <v>1</v>
      </c>
      <c r="H13">
        <v>1</v>
      </c>
      <c r="I13" t="s">
        <v>26</v>
      </c>
      <c r="J13" t="s">
        <v>3</v>
      </c>
      <c r="K13" t="s">
        <v>388</v>
      </c>
      <c r="L13">
        <v>608254</v>
      </c>
      <c r="N13">
        <v>1013</v>
      </c>
      <c r="O13" t="s">
        <v>389</v>
      </c>
      <c r="P13" t="s">
        <v>389</v>
      </c>
      <c r="Q13">
        <v>1</v>
      </c>
      <c r="X13">
        <v>8.98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2</v>
      </c>
      <c r="AF13" t="s">
        <v>47</v>
      </c>
      <c r="AG13">
        <v>10.327</v>
      </c>
      <c r="AH13">
        <v>2</v>
      </c>
      <c r="AI13">
        <v>46416865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ROW(Source!A31)</f>
        <v>31</v>
      </c>
      <c r="B14">
        <v>46416871</v>
      </c>
      <c r="C14">
        <v>46416863</v>
      </c>
      <c r="D14">
        <v>42567808</v>
      </c>
      <c r="E14">
        <v>1</v>
      </c>
      <c r="F14">
        <v>1</v>
      </c>
      <c r="G14">
        <v>1</v>
      </c>
      <c r="H14">
        <v>2</v>
      </c>
      <c r="I14" t="s">
        <v>415</v>
      </c>
      <c r="J14" t="s">
        <v>416</v>
      </c>
      <c r="K14" t="s">
        <v>417</v>
      </c>
      <c r="L14">
        <v>1368</v>
      </c>
      <c r="N14">
        <v>1011</v>
      </c>
      <c r="O14" t="s">
        <v>393</v>
      </c>
      <c r="P14" t="s">
        <v>393</v>
      </c>
      <c r="Q14">
        <v>1</v>
      </c>
      <c r="X14">
        <v>8.74</v>
      </c>
      <c r="Y14">
        <v>0</v>
      </c>
      <c r="Z14">
        <v>52.75</v>
      </c>
      <c r="AA14">
        <v>10.84</v>
      </c>
      <c r="AB14">
        <v>0</v>
      </c>
      <c r="AC14">
        <v>0</v>
      </c>
      <c r="AD14">
        <v>1</v>
      </c>
      <c r="AE14">
        <v>0</v>
      </c>
      <c r="AF14" t="s">
        <v>47</v>
      </c>
      <c r="AG14">
        <v>10.051</v>
      </c>
      <c r="AH14">
        <v>2</v>
      </c>
      <c r="AI14">
        <v>46416866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ROW(Source!A31)</f>
        <v>31</v>
      </c>
      <c r="B15">
        <v>46416872</v>
      </c>
      <c r="C15">
        <v>46416863</v>
      </c>
      <c r="D15">
        <v>42567921</v>
      </c>
      <c r="E15">
        <v>1</v>
      </c>
      <c r="F15">
        <v>1</v>
      </c>
      <c r="G15">
        <v>1</v>
      </c>
      <c r="H15">
        <v>2</v>
      </c>
      <c r="I15" t="s">
        <v>410</v>
      </c>
      <c r="J15" t="s">
        <v>411</v>
      </c>
      <c r="K15" t="s">
        <v>412</v>
      </c>
      <c r="L15">
        <v>1368</v>
      </c>
      <c r="N15">
        <v>1011</v>
      </c>
      <c r="O15" t="s">
        <v>393</v>
      </c>
      <c r="P15" t="s">
        <v>393</v>
      </c>
      <c r="Q15">
        <v>1</v>
      </c>
      <c r="X15">
        <v>0.24</v>
      </c>
      <c r="Y15">
        <v>0</v>
      </c>
      <c r="Z15">
        <v>48.49</v>
      </c>
      <c r="AA15">
        <v>9.4</v>
      </c>
      <c r="AB15">
        <v>0</v>
      </c>
      <c r="AC15">
        <v>0</v>
      </c>
      <c r="AD15">
        <v>1</v>
      </c>
      <c r="AE15">
        <v>0</v>
      </c>
      <c r="AF15" t="s">
        <v>47</v>
      </c>
      <c r="AG15">
        <v>0.27599999999999997</v>
      </c>
      <c r="AH15">
        <v>2</v>
      </c>
      <c r="AI15">
        <v>46416867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ROW(Source!A31)</f>
        <v>31</v>
      </c>
      <c r="B16">
        <v>46416873</v>
      </c>
      <c r="C16">
        <v>46416863</v>
      </c>
      <c r="D16">
        <v>42570815</v>
      </c>
      <c r="E16">
        <v>1</v>
      </c>
      <c r="F16">
        <v>1</v>
      </c>
      <c r="G16">
        <v>1</v>
      </c>
      <c r="H16">
        <v>2</v>
      </c>
      <c r="I16" t="s">
        <v>418</v>
      </c>
      <c r="J16" t="s">
        <v>419</v>
      </c>
      <c r="K16" t="s">
        <v>420</v>
      </c>
      <c r="L16">
        <v>1368</v>
      </c>
      <c r="N16">
        <v>1011</v>
      </c>
      <c r="O16" t="s">
        <v>393</v>
      </c>
      <c r="P16" t="s">
        <v>393</v>
      </c>
      <c r="Q16">
        <v>1</v>
      </c>
      <c r="X16">
        <v>8.74</v>
      </c>
      <c r="Y16">
        <v>0</v>
      </c>
      <c r="Z16">
        <v>63.38</v>
      </c>
      <c r="AA16">
        <v>10.84</v>
      </c>
      <c r="AB16">
        <v>0</v>
      </c>
      <c r="AC16">
        <v>0</v>
      </c>
      <c r="AD16">
        <v>1</v>
      </c>
      <c r="AE16">
        <v>0</v>
      </c>
      <c r="AF16" t="s">
        <v>47</v>
      </c>
      <c r="AG16">
        <v>10.051</v>
      </c>
      <c r="AH16">
        <v>2</v>
      </c>
      <c r="AI16">
        <v>46416868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ROW(Source!A32)</f>
        <v>32</v>
      </c>
      <c r="B17">
        <v>46416880</v>
      </c>
      <c r="C17">
        <v>46416874</v>
      </c>
      <c r="D17">
        <v>42643721</v>
      </c>
      <c r="E17">
        <v>1</v>
      </c>
      <c r="F17">
        <v>1</v>
      </c>
      <c r="G17">
        <v>1</v>
      </c>
      <c r="H17">
        <v>1</v>
      </c>
      <c r="I17" t="s">
        <v>413</v>
      </c>
      <c r="J17" t="s">
        <v>3</v>
      </c>
      <c r="K17" t="s">
        <v>414</v>
      </c>
      <c r="L17">
        <v>1369</v>
      </c>
      <c r="N17">
        <v>1013</v>
      </c>
      <c r="O17" t="s">
        <v>387</v>
      </c>
      <c r="P17" t="s">
        <v>387</v>
      </c>
      <c r="Q17">
        <v>1</v>
      </c>
      <c r="X17">
        <v>173</v>
      </c>
      <c r="Y17">
        <v>0</v>
      </c>
      <c r="Z17">
        <v>0</v>
      </c>
      <c r="AA17">
        <v>0</v>
      </c>
      <c r="AB17">
        <v>7.43</v>
      </c>
      <c r="AC17">
        <v>0</v>
      </c>
      <c r="AD17">
        <v>1</v>
      </c>
      <c r="AE17">
        <v>1</v>
      </c>
      <c r="AF17" t="s">
        <v>31</v>
      </c>
      <c r="AG17">
        <v>198.95</v>
      </c>
      <c r="AH17">
        <v>2</v>
      </c>
      <c r="AI17">
        <v>46416875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ROW(Source!A32)</f>
        <v>32</v>
      </c>
      <c r="B18">
        <v>46416881</v>
      </c>
      <c r="C18">
        <v>46416874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26</v>
      </c>
      <c r="J18" t="s">
        <v>3</v>
      </c>
      <c r="K18" t="s">
        <v>388</v>
      </c>
      <c r="L18">
        <v>608254</v>
      </c>
      <c r="N18">
        <v>1013</v>
      </c>
      <c r="O18" t="s">
        <v>389</v>
      </c>
      <c r="P18" t="s">
        <v>389</v>
      </c>
      <c r="Q18">
        <v>1</v>
      </c>
      <c r="X18">
        <v>8.98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 t="s">
        <v>47</v>
      </c>
      <c r="AG18">
        <v>10.327</v>
      </c>
      <c r="AH18">
        <v>2</v>
      </c>
      <c r="AI18">
        <v>46416876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ROW(Source!A32)</f>
        <v>32</v>
      </c>
      <c r="B19">
        <v>46416882</v>
      </c>
      <c r="C19">
        <v>46416874</v>
      </c>
      <c r="D19">
        <v>42567808</v>
      </c>
      <c r="E19">
        <v>1</v>
      </c>
      <c r="F19">
        <v>1</v>
      </c>
      <c r="G19">
        <v>1</v>
      </c>
      <c r="H19">
        <v>2</v>
      </c>
      <c r="I19" t="s">
        <v>415</v>
      </c>
      <c r="J19" t="s">
        <v>416</v>
      </c>
      <c r="K19" t="s">
        <v>417</v>
      </c>
      <c r="L19">
        <v>1368</v>
      </c>
      <c r="N19">
        <v>1011</v>
      </c>
      <c r="O19" t="s">
        <v>393</v>
      </c>
      <c r="P19" t="s">
        <v>393</v>
      </c>
      <c r="Q19">
        <v>1</v>
      </c>
      <c r="X19">
        <v>8.74</v>
      </c>
      <c r="Y19">
        <v>0</v>
      </c>
      <c r="Z19">
        <v>52.75</v>
      </c>
      <c r="AA19">
        <v>10.84</v>
      </c>
      <c r="AB19">
        <v>0</v>
      </c>
      <c r="AC19">
        <v>0</v>
      </c>
      <c r="AD19">
        <v>1</v>
      </c>
      <c r="AE19">
        <v>0</v>
      </c>
      <c r="AF19" t="s">
        <v>47</v>
      </c>
      <c r="AG19">
        <v>10.051</v>
      </c>
      <c r="AH19">
        <v>2</v>
      </c>
      <c r="AI19">
        <v>46416877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ROW(Source!A32)</f>
        <v>32</v>
      </c>
      <c r="B20">
        <v>46416883</v>
      </c>
      <c r="C20">
        <v>46416874</v>
      </c>
      <c r="D20">
        <v>42567921</v>
      </c>
      <c r="E20">
        <v>1</v>
      </c>
      <c r="F20">
        <v>1</v>
      </c>
      <c r="G20">
        <v>1</v>
      </c>
      <c r="H20">
        <v>2</v>
      </c>
      <c r="I20" t="s">
        <v>410</v>
      </c>
      <c r="J20" t="s">
        <v>411</v>
      </c>
      <c r="K20" t="s">
        <v>412</v>
      </c>
      <c r="L20">
        <v>1368</v>
      </c>
      <c r="N20">
        <v>1011</v>
      </c>
      <c r="O20" t="s">
        <v>393</v>
      </c>
      <c r="P20" t="s">
        <v>393</v>
      </c>
      <c r="Q20">
        <v>1</v>
      </c>
      <c r="X20">
        <v>0.24</v>
      </c>
      <c r="Y20">
        <v>0</v>
      </c>
      <c r="Z20">
        <v>48.49</v>
      </c>
      <c r="AA20">
        <v>9.4</v>
      </c>
      <c r="AB20">
        <v>0</v>
      </c>
      <c r="AC20">
        <v>0</v>
      </c>
      <c r="AD20">
        <v>1</v>
      </c>
      <c r="AE20">
        <v>0</v>
      </c>
      <c r="AF20" t="s">
        <v>47</v>
      </c>
      <c r="AG20">
        <v>0.27599999999999997</v>
      </c>
      <c r="AH20">
        <v>2</v>
      </c>
      <c r="AI20">
        <v>46416878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ROW(Source!A32)</f>
        <v>32</v>
      </c>
      <c r="B21">
        <v>46416884</v>
      </c>
      <c r="C21">
        <v>46416874</v>
      </c>
      <c r="D21">
        <v>42570815</v>
      </c>
      <c r="E21">
        <v>1</v>
      </c>
      <c r="F21">
        <v>1</v>
      </c>
      <c r="G21">
        <v>1</v>
      </c>
      <c r="H21">
        <v>2</v>
      </c>
      <c r="I21" t="s">
        <v>418</v>
      </c>
      <c r="J21" t="s">
        <v>419</v>
      </c>
      <c r="K21" t="s">
        <v>420</v>
      </c>
      <c r="L21">
        <v>1368</v>
      </c>
      <c r="N21">
        <v>1011</v>
      </c>
      <c r="O21" t="s">
        <v>393</v>
      </c>
      <c r="P21" t="s">
        <v>393</v>
      </c>
      <c r="Q21">
        <v>1</v>
      </c>
      <c r="X21">
        <v>8.74</v>
      </c>
      <c r="Y21">
        <v>0</v>
      </c>
      <c r="Z21">
        <v>63.38</v>
      </c>
      <c r="AA21">
        <v>10.84</v>
      </c>
      <c r="AB21">
        <v>0</v>
      </c>
      <c r="AC21">
        <v>0</v>
      </c>
      <c r="AD21">
        <v>1</v>
      </c>
      <c r="AE21">
        <v>0</v>
      </c>
      <c r="AF21" t="s">
        <v>47</v>
      </c>
      <c r="AG21">
        <v>10.051</v>
      </c>
      <c r="AH21">
        <v>2</v>
      </c>
      <c r="AI21">
        <v>46416879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ROW(Source!A33)</f>
        <v>33</v>
      </c>
      <c r="B22">
        <v>46416891</v>
      </c>
      <c r="C22">
        <v>46416885</v>
      </c>
      <c r="D22">
        <v>42640621</v>
      </c>
      <c r="E22">
        <v>1</v>
      </c>
      <c r="F22">
        <v>1</v>
      </c>
      <c r="G22">
        <v>1</v>
      </c>
      <c r="H22">
        <v>1</v>
      </c>
      <c r="I22" t="s">
        <v>406</v>
      </c>
      <c r="J22" t="s">
        <v>3</v>
      </c>
      <c r="K22" t="s">
        <v>407</v>
      </c>
      <c r="L22">
        <v>1369</v>
      </c>
      <c r="N22">
        <v>1013</v>
      </c>
      <c r="O22" t="s">
        <v>387</v>
      </c>
      <c r="P22" t="s">
        <v>387</v>
      </c>
      <c r="Q22">
        <v>1</v>
      </c>
      <c r="X22">
        <v>31.32</v>
      </c>
      <c r="Y22">
        <v>0</v>
      </c>
      <c r="Z22">
        <v>0</v>
      </c>
      <c r="AA22">
        <v>0</v>
      </c>
      <c r="AB22">
        <v>7.29</v>
      </c>
      <c r="AC22">
        <v>0</v>
      </c>
      <c r="AD22">
        <v>1</v>
      </c>
      <c r="AE22">
        <v>1</v>
      </c>
      <c r="AF22" t="s">
        <v>31</v>
      </c>
      <c r="AG22">
        <v>36.018000000000001</v>
      </c>
      <c r="AH22">
        <v>2</v>
      </c>
      <c r="AI22">
        <v>46416886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ROW(Source!A33)</f>
        <v>33</v>
      </c>
      <c r="B23">
        <v>46416892</v>
      </c>
      <c r="C23">
        <v>46416885</v>
      </c>
      <c r="D23">
        <v>121548</v>
      </c>
      <c r="E23">
        <v>1</v>
      </c>
      <c r="F23">
        <v>1</v>
      </c>
      <c r="G23">
        <v>1</v>
      </c>
      <c r="H23">
        <v>1</v>
      </c>
      <c r="I23" t="s">
        <v>26</v>
      </c>
      <c r="J23" t="s">
        <v>3</v>
      </c>
      <c r="K23" t="s">
        <v>388</v>
      </c>
      <c r="L23">
        <v>608254</v>
      </c>
      <c r="N23">
        <v>1013</v>
      </c>
      <c r="O23" t="s">
        <v>389</v>
      </c>
      <c r="P23" t="s">
        <v>389</v>
      </c>
      <c r="Q23">
        <v>1</v>
      </c>
      <c r="X23">
        <v>90.09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2</v>
      </c>
      <c r="AF23" t="s">
        <v>31</v>
      </c>
      <c r="AG23">
        <v>103.6035</v>
      </c>
      <c r="AH23">
        <v>2</v>
      </c>
      <c r="AI23">
        <v>46416887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ROW(Source!A33)</f>
        <v>33</v>
      </c>
      <c r="B24">
        <v>46416893</v>
      </c>
      <c r="C24">
        <v>46416885</v>
      </c>
      <c r="D24">
        <v>42567808</v>
      </c>
      <c r="E24">
        <v>1</v>
      </c>
      <c r="F24">
        <v>1</v>
      </c>
      <c r="G24">
        <v>1</v>
      </c>
      <c r="H24">
        <v>2</v>
      </c>
      <c r="I24" t="s">
        <v>415</v>
      </c>
      <c r="J24" t="s">
        <v>416</v>
      </c>
      <c r="K24" t="s">
        <v>417</v>
      </c>
      <c r="L24">
        <v>1368</v>
      </c>
      <c r="N24">
        <v>1011</v>
      </c>
      <c r="O24" t="s">
        <v>393</v>
      </c>
      <c r="P24" t="s">
        <v>393</v>
      </c>
      <c r="Q24">
        <v>1</v>
      </c>
      <c r="X24">
        <v>73.040000000000006</v>
      </c>
      <c r="Y24">
        <v>0</v>
      </c>
      <c r="Z24">
        <v>52.75</v>
      </c>
      <c r="AA24">
        <v>10.84</v>
      </c>
      <c r="AB24">
        <v>0</v>
      </c>
      <c r="AC24">
        <v>0</v>
      </c>
      <c r="AD24">
        <v>1</v>
      </c>
      <c r="AE24">
        <v>0</v>
      </c>
      <c r="AF24" t="s">
        <v>31</v>
      </c>
      <c r="AG24">
        <v>83.995999999999995</v>
      </c>
      <c r="AH24">
        <v>2</v>
      </c>
      <c r="AI24">
        <v>46416888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ROW(Source!A33)</f>
        <v>33</v>
      </c>
      <c r="B25">
        <v>46416894</v>
      </c>
      <c r="C25">
        <v>46416885</v>
      </c>
      <c r="D25">
        <v>42567923</v>
      </c>
      <c r="E25">
        <v>1</v>
      </c>
      <c r="F25">
        <v>1</v>
      </c>
      <c r="G25">
        <v>1</v>
      </c>
      <c r="H25">
        <v>2</v>
      </c>
      <c r="I25" t="s">
        <v>421</v>
      </c>
      <c r="J25" t="s">
        <v>422</v>
      </c>
      <c r="K25" t="s">
        <v>423</v>
      </c>
      <c r="L25">
        <v>1368</v>
      </c>
      <c r="N25">
        <v>1011</v>
      </c>
      <c r="O25" t="s">
        <v>393</v>
      </c>
      <c r="P25" t="s">
        <v>393</v>
      </c>
      <c r="Q25">
        <v>1</v>
      </c>
      <c r="X25">
        <v>17.05</v>
      </c>
      <c r="Y25">
        <v>0</v>
      </c>
      <c r="Z25">
        <v>62.74</v>
      </c>
      <c r="AA25">
        <v>10.84</v>
      </c>
      <c r="AB25">
        <v>0</v>
      </c>
      <c r="AC25">
        <v>0</v>
      </c>
      <c r="AD25">
        <v>1</v>
      </c>
      <c r="AE25">
        <v>0</v>
      </c>
      <c r="AF25" t="s">
        <v>31</v>
      </c>
      <c r="AG25">
        <v>19.607499999999998</v>
      </c>
      <c r="AH25">
        <v>2</v>
      </c>
      <c r="AI25">
        <v>46416889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ROW(Source!A33)</f>
        <v>33</v>
      </c>
      <c r="B26">
        <v>46416895</v>
      </c>
      <c r="C26">
        <v>46416885</v>
      </c>
      <c r="D26">
        <v>42581247</v>
      </c>
      <c r="E26">
        <v>1</v>
      </c>
      <c r="F26">
        <v>1</v>
      </c>
      <c r="G26">
        <v>1</v>
      </c>
      <c r="H26">
        <v>3</v>
      </c>
      <c r="I26" t="s">
        <v>424</v>
      </c>
      <c r="J26" t="s">
        <v>425</v>
      </c>
      <c r="K26" t="s">
        <v>426</v>
      </c>
      <c r="L26">
        <v>1339</v>
      </c>
      <c r="N26">
        <v>1007</v>
      </c>
      <c r="O26" t="s">
        <v>139</v>
      </c>
      <c r="P26" t="s">
        <v>139</v>
      </c>
      <c r="Q26">
        <v>1</v>
      </c>
      <c r="X26">
        <v>0.04</v>
      </c>
      <c r="Y26">
        <v>116.47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0.04</v>
      </c>
      <c r="AH26">
        <v>2</v>
      </c>
      <c r="AI26">
        <v>46416890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ROW(Source!A75)</f>
        <v>75</v>
      </c>
      <c r="B27">
        <v>46468027</v>
      </c>
      <c r="C27">
        <v>46468026</v>
      </c>
      <c r="D27">
        <v>42640871</v>
      </c>
      <c r="E27">
        <v>1</v>
      </c>
      <c r="F27">
        <v>1</v>
      </c>
      <c r="G27">
        <v>1</v>
      </c>
      <c r="H27">
        <v>1</v>
      </c>
      <c r="I27" t="s">
        <v>385</v>
      </c>
      <c r="J27" t="s">
        <v>3</v>
      </c>
      <c r="K27" t="s">
        <v>386</v>
      </c>
      <c r="L27">
        <v>1369</v>
      </c>
      <c r="N27">
        <v>1013</v>
      </c>
      <c r="O27" t="s">
        <v>387</v>
      </c>
      <c r="P27" t="s">
        <v>387</v>
      </c>
      <c r="Q27">
        <v>1</v>
      </c>
      <c r="X27">
        <v>12.53</v>
      </c>
      <c r="Y27">
        <v>0</v>
      </c>
      <c r="Z27">
        <v>0</v>
      </c>
      <c r="AA27">
        <v>0</v>
      </c>
      <c r="AB27">
        <v>7.97</v>
      </c>
      <c r="AC27">
        <v>0</v>
      </c>
      <c r="AD27">
        <v>1</v>
      </c>
      <c r="AE27">
        <v>1</v>
      </c>
      <c r="AF27" t="s">
        <v>31</v>
      </c>
      <c r="AG27">
        <v>14.409499999999998</v>
      </c>
      <c r="AH27">
        <v>2</v>
      </c>
      <c r="AI27">
        <v>46468027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ROW(Source!A75)</f>
        <v>75</v>
      </c>
      <c r="B28">
        <v>46468028</v>
      </c>
      <c r="C28">
        <v>46468026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26</v>
      </c>
      <c r="J28" t="s">
        <v>3</v>
      </c>
      <c r="K28" t="s">
        <v>388</v>
      </c>
      <c r="L28">
        <v>608254</v>
      </c>
      <c r="N28">
        <v>1013</v>
      </c>
      <c r="O28" t="s">
        <v>389</v>
      </c>
      <c r="P28" t="s">
        <v>389</v>
      </c>
      <c r="Q28">
        <v>1</v>
      </c>
      <c r="X28">
        <v>3.04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31</v>
      </c>
      <c r="AG28">
        <v>3.4959999999999996</v>
      </c>
      <c r="AH28">
        <v>2</v>
      </c>
      <c r="AI28">
        <v>46468028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ROW(Source!A75)</f>
        <v>75</v>
      </c>
      <c r="B29">
        <v>46468029</v>
      </c>
      <c r="C29">
        <v>46468026</v>
      </c>
      <c r="D29">
        <v>42567659</v>
      </c>
      <c r="E29">
        <v>1</v>
      </c>
      <c r="F29">
        <v>1</v>
      </c>
      <c r="G29">
        <v>1</v>
      </c>
      <c r="H29">
        <v>2</v>
      </c>
      <c r="I29" t="s">
        <v>394</v>
      </c>
      <c r="J29" t="s">
        <v>395</v>
      </c>
      <c r="K29" t="s">
        <v>396</v>
      </c>
      <c r="L29">
        <v>1368</v>
      </c>
      <c r="N29">
        <v>1011</v>
      </c>
      <c r="O29" t="s">
        <v>393</v>
      </c>
      <c r="P29" t="s">
        <v>393</v>
      </c>
      <c r="Q29">
        <v>1</v>
      </c>
      <c r="X29">
        <v>3.04</v>
      </c>
      <c r="Y29">
        <v>0</v>
      </c>
      <c r="Z29">
        <v>98.87</v>
      </c>
      <c r="AA29">
        <v>9.4</v>
      </c>
      <c r="AB29">
        <v>0</v>
      </c>
      <c r="AC29">
        <v>0</v>
      </c>
      <c r="AD29">
        <v>1</v>
      </c>
      <c r="AE29">
        <v>0</v>
      </c>
      <c r="AF29" t="s">
        <v>31</v>
      </c>
      <c r="AG29">
        <v>3.4959999999999996</v>
      </c>
      <c r="AH29">
        <v>2</v>
      </c>
      <c r="AI29">
        <v>46468029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ROW(Source!A75)</f>
        <v>75</v>
      </c>
      <c r="B30">
        <v>46468030</v>
      </c>
      <c r="C30">
        <v>46468026</v>
      </c>
      <c r="D30">
        <v>42570360</v>
      </c>
      <c r="E30">
        <v>1</v>
      </c>
      <c r="F30">
        <v>1</v>
      </c>
      <c r="G30">
        <v>1</v>
      </c>
      <c r="H30">
        <v>2</v>
      </c>
      <c r="I30" t="s">
        <v>427</v>
      </c>
      <c r="J30" t="s">
        <v>428</v>
      </c>
      <c r="K30" t="s">
        <v>429</v>
      </c>
      <c r="L30">
        <v>1368</v>
      </c>
      <c r="N30">
        <v>1011</v>
      </c>
      <c r="O30" t="s">
        <v>393</v>
      </c>
      <c r="P30" t="s">
        <v>393</v>
      </c>
      <c r="Q30">
        <v>1</v>
      </c>
      <c r="X30">
        <v>12.18</v>
      </c>
      <c r="Y30">
        <v>0</v>
      </c>
      <c r="Z30">
        <v>0.55000000000000004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31</v>
      </c>
      <c r="AG30">
        <v>14.006999999999998</v>
      </c>
      <c r="AH30">
        <v>2</v>
      </c>
      <c r="AI30">
        <v>46468030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ROW(Source!A76)</f>
        <v>76</v>
      </c>
      <c r="B31">
        <v>46416918</v>
      </c>
      <c r="C31">
        <v>46416909</v>
      </c>
      <c r="D31">
        <v>42645178</v>
      </c>
      <c r="E31">
        <v>1</v>
      </c>
      <c r="F31">
        <v>1</v>
      </c>
      <c r="G31">
        <v>1</v>
      </c>
      <c r="H31">
        <v>1</v>
      </c>
      <c r="I31" t="s">
        <v>430</v>
      </c>
      <c r="J31" t="s">
        <v>3</v>
      </c>
      <c r="K31" t="s">
        <v>431</v>
      </c>
      <c r="L31">
        <v>1369</v>
      </c>
      <c r="N31">
        <v>1013</v>
      </c>
      <c r="O31" t="s">
        <v>387</v>
      </c>
      <c r="P31" t="s">
        <v>387</v>
      </c>
      <c r="Q31">
        <v>1</v>
      </c>
      <c r="X31">
        <v>3.41</v>
      </c>
      <c r="Y31">
        <v>0</v>
      </c>
      <c r="Z31">
        <v>0</v>
      </c>
      <c r="AA31">
        <v>0</v>
      </c>
      <c r="AB31">
        <v>8.07</v>
      </c>
      <c r="AC31">
        <v>0</v>
      </c>
      <c r="AD31">
        <v>1</v>
      </c>
      <c r="AE31">
        <v>1</v>
      </c>
      <c r="AF31" t="s">
        <v>31</v>
      </c>
      <c r="AG31">
        <v>3.9215</v>
      </c>
      <c r="AH31">
        <v>2</v>
      </c>
      <c r="AI31">
        <v>46416910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ROW(Source!A76)</f>
        <v>76</v>
      </c>
      <c r="B32">
        <v>46416919</v>
      </c>
      <c r="C32">
        <v>46416909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26</v>
      </c>
      <c r="J32" t="s">
        <v>3</v>
      </c>
      <c r="K32" t="s">
        <v>388</v>
      </c>
      <c r="L32">
        <v>608254</v>
      </c>
      <c r="N32">
        <v>1013</v>
      </c>
      <c r="O32" t="s">
        <v>389</v>
      </c>
      <c r="P32" t="s">
        <v>389</v>
      </c>
      <c r="Q32">
        <v>1</v>
      </c>
      <c r="X32">
        <v>0.3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2</v>
      </c>
      <c r="AF32" t="s">
        <v>31</v>
      </c>
      <c r="AG32">
        <v>0.34499999999999997</v>
      </c>
      <c r="AH32">
        <v>2</v>
      </c>
      <c r="AI32">
        <v>46416911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ROW(Source!A76)</f>
        <v>76</v>
      </c>
      <c r="B33">
        <v>46416920</v>
      </c>
      <c r="C33">
        <v>46416909</v>
      </c>
      <c r="D33">
        <v>42567318</v>
      </c>
      <c r="E33">
        <v>1</v>
      </c>
      <c r="F33">
        <v>1</v>
      </c>
      <c r="G33">
        <v>1</v>
      </c>
      <c r="H33">
        <v>2</v>
      </c>
      <c r="I33" t="s">
        <v>432</v>
      </c>
      <c r="J33" t="s">
        <v>433</v>
      </c>
      <c r="K33" t="s">
        <v>434</v>
      </c>
      <c r="L33">
        <v>1368</v>
      </c>
      <c r="N33">
        <v>1011</v>
      </c>
      <c r="O33" t="s">
        <v>393</v>
      </c>
      <c r="P33" t="s">
        <v>393</v>
      </c>
      <c r="Q33">
        <v>1</v>
      </c>
      <c r="X33">
        <v>0.08</v>
      </c>
      <c r="Y33">
        <v>0</v>
      </c>
      <c r="Z33">
        <v>88.87</v>
      </c>
      <c r="AA33">
        <v>9.4</v>
      </c>
      <c r="AB33">
        <v>0</v>
      </c>
      <c r="AC33">
        <v>0</v>
      </c>
      <c r="AD33">
        <v>1</v>
      </c>
      <c r="AE33">
        <v>0</v>
      </c>
      <c r="AF33" t="s">
        <v>31</v>
      </c>
      <c r="AG33">
        <v>9.1999999999999998E-2</v>
      </c>
      <c r="AH33">
        <v>2</v>
      </c>
      <c r="AI33">
        <v>46416912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ROW(Source!A76)</f>
        <v>76</v>
      </c>
      <c r="B34">
        <v>46416921</v>
      </c>
      <c r="C34">
        <v>46416909</v>
      </c>
      <c r="D34">
        <v>42567659</v>
      </c>
      <c r="E34">
        <v>1</v>
      </c>
      <c r="F34">
        <v>1</v>
      </c>
      <c r="G34">
        <v>1</v>
      </c>
      <c r="H34">
        <v>2</v>
      </c>
      <c r="I34" t="s">
        <v>394</v>
      </c>
      <c r="J34" t="s">
        <v>395</v>
      </c>
      <c r="K34" t="s">
        <v>396</v>
      </c>
      <c r="L34">
        <v>1368</v>
      </c>
      <c r="N34">
        <v>1011</v>
      </c>
      <c r="O34" t="s">
        <v>393</v>
      </c>
      <c r="P34" t="s">
        <v>393</v>
      </c>
      <c r="Q34">
        <v>1</v>
      </c>
      <c r="X34">
        <v>0.22</v>
      </c>
      <c r="Y34">
        <v>0</v>
      </c>
      <c r="Z34">
        <v>98.87</v>
      </c>
      <c r="AA34">
        <v>9.4</v>
      </c>
      <c r="AB34">
        <v>0</v>
      </c>
      <c r="AC34">
        <v>0</v>
      </c>
      <c r="AD34">
        <v>1</v>
      </c>
      <c r="AE34">
        <v>0</v>
      </c>
      <c r="AF34" t="s">
        <v>31</v>
      </c>
      <c r="AG34">
        <v>0.253</v>
      </c>
      <c r="AH34">
        <v>2</v>
      </c>
      <c r="AI34">
        <v>46416913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ROW(Source!A76)</f>
        <v>76</v>
      </c>
      <c r="B35">
        <v>46416922</v>
      </c>
      <c r="C35">
        <v>46416909</v>
      </c>
      <c r="D35">
        <v>42570360</v>
      </c>
      <c r="E35">
        <v>1</v>
      </c>
      <c r="F35">
        <v>1</v>
      </c>
      <c r="G35">
        <v>1</v>
      </c>
      <c r="H35">
        <v>2</v>
      </c>
      <c r="I35" t="s">
        <v>427</v>
      </c>
      <c r="J35" t="s">
        <v>428</v>
      </c>
      <c r="K35" t="s">
        <v>429</v>
      </c>
      <c r="L35">
        <v>1368</v>
      </c>
      <c r="N35">
        <v>1011</v>
      </c>
      <c r="O35" t="s">
        <v>393</v>
      </c>
      <c r="P35" t="s">
        <v>393</v>
      </c>
      <c r="Q35">
        <v>1</v>
      </c>
      <c r="X35">
        <v>0.44</v>
      </c>
      <c r="Y35">
        <v>0</v>
      </c>
      <c r="Z35">
        <v>0.55000000000000004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31</v>
      </c>
      <c r="AG35">
        <v>0.50600000000000001</v>
      </c>
      <c r="AH35">
        <v>2</v>
      </c>
      <c r="AI35">
        <v>46416914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ROW(Source!A76)</f>
        <v>76</v>
      </c>
      <c r="B36">
        <v>46416923</v>
      </c>
      <c r="C36">
        <v>46416909</v>
      </c>
      <c r="D36">
        <v>42581395</v>
      </c>
      <c r="E36">
        <v>1</v>
      </c>
      <c r="F36">
        <v>1</v>
      </c>
      <c r="G36">
        <v>1</v>
      </c>
      <c r="H36">
        <v>3</v>
      </c>
      <c r="I36" t="s">
        <v>137</v>
      </c>
      <c r="J36" t="s">
        <v>140</v>
      </c>
      <c r="K36" t="s">
        <v>138</v>
      </c>
      <c r="L36">
        <v>1339</v>
      </c>
      <c r="N36">
        <v>1007</v>
      </c>
      <c r="O36" t="s">
        <v>139</v>
      </c>
      <c r="P36" t="s">
        <v>139</v>
      </c>
      <c r="Q36">
        <v>1</v>
      </c>
      <c r="X36">
        <v>1.2</v>
      </c>
      <c r="Y36">
        <v>69.83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1.2</v>
      </c>
      <c r="AH36">
        <v>2</v>
      </c>
      <c r="AI36">
        <v>46416915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ROW(Source!A76)</f>
        <v>76</v>
      </c>
      <c r="B37">
        <v>46416924</v>
      </c>
      <c r="C37">
        <v>46416909</v>
      </c>
      <c r="D37">
        <v>42582070</v>
      </c>
      <c r="E37">
        <v>1</v>
      </c>
      <c r="F37">
        <v>1</v>
      </c>
      <c r="G37">
        <v>1</v>
      </c>
      <c r="H37">
        <v>3</v>
      </c>
      <c r="I37" t="s">
        <v>435</v>
      </c>
      <c r="J37" t="s">
        <v>436</v>
      </c>
      <c r="K37" t="s">
        <v>437</v>
      </c>
      <c r="L37">
        <v>1339</v>
      </c>
      <c r="N37">
        <v>1007</v>
      </c>
      <c r="O37" t="s">
        <v>139</v>
      </c>
      <c r="P37" t="s">
        <v>139</v>
      </c>
      <c r="Q37">
        <v>1</v>
      </c>
      <c r="X37">
        <v>0.15</v>
      </c>
      <c r="Y37">
        <v>1.3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0.15</v>
      </c>
      <c r="AH37">
        <v>2</v>
      </c>
      <c r="AI37">
        <v>46416916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ROW(Source!A79)</f>
        <v>79</v>
      </c>
      <c r="B38">
        <v>46468032</v>
      </c>
      <c r="C38">
        <v>46468031</v>
      </c>
      <c r="D38">
        <v>42647090</v>
      </c>
      <c r="E38">
        <v>1</v>
      </c>
      <c r="F38">
        <v>1</v>
      </c>
      <c r="G38">
        <v>1</v>
      </c>
      <c r="H38">
        <v>1</v>
      </c>
      <c r="I38" t="s">
        <v>438</v>
      </c>
      <c r="J38" t="s">
        <v>3</v>
      </c>
      <c r="K38" t="s">
        <v>439</v>
      </c>
      <c r="L38">
        <v>1369</v>
      </c>
      <c r="N38">
        <v>1013</v>
      </c>
      <c r="O38" t="s">
        <v>387</v>
      </c>
      <c r="P38" t="s">
        <v>387</v>
      </c>
      <c r="Q38">
        <v>1</v>
      </c>
      <c r="X38">
        <v>88.5</v>
      </c>
      <c r="Y38">
        <v>0</v>
      </c>
      <c r="Z38">
        <v>0</v>
      </c>
      <c r="AA38">
        <v>0</v>
      </c>
      <c r="AB38">
        <v>7.01</v>
      </c>
      <c r="AC38">
        <v>0</v>
      </c>
      <c r="AD38">
        <v>1</v>
      </c>
      <c r="AE38">
        <v>1</v>
      </c>
      <c r="AF38" t="s">
        <v>31</v>
      </c>
      <c r="AG38">
        <v>101.77499999999999</v>
      </c>
      <c r="AH38">
        <v>2</v>
      </c>
      <c r="AI38">
        <v>46468032</v>
      </c>
      <c r="AJ38">
        <v>39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ROW(Source!A80)</f>
        <v>80</v>
      </c>
      <c r="B39">
        <v>46468034</v>
      </c>
      <c r="C39">
        <v>46468033</v>
      </c>
      <c r="D39">
        <v>42646086</v>
      </c>
      <c r="E39">
        <v>1</v>
      </c>
      <c r="F39">
        <v>1</v>
      </c>
      <c r="G39">
        <v>1</v>
      </c>
      <c r="H39">
        <v>1</v>
      </c>
      <c r="I39" t="s">
        <v>440</v>
      </c>
      <c r="J39" t="s">
        <v>3</v>
      </c>
      <c r="K39" t="s">
        <v>441</v>
      </c>
      <c r="L39">
        <v>1369</v>
      </c>
      <c r="N39">
        <v>1013</v>
      </c>
      <c r="O39" t="s">
        <v>387</v>
      </c>
      <c r="P39" t="s">
        <v>387</v>
      </c>
      <c r="Q39">
        <v>1</v>
      </c>
      <c r="X39">
        <v>14.36</v>
      </c>
      <c r="Y39">
        <v>0</v>
      </c>
      <c r="Z39">
        <v>0</v>
      </c>
      <c r="AA39">
        <v>0</v>
      </c>
      <c r="AB39">
        <v>8.17</v>
      </c>
      <c r="AC39">
        <v>0</v>
      </c>
      <c r="AD39">
        <v>1</v>
      </c>
      <c r="AE39">
        <v>1</v>
      </c>
      <c r="AF39" t="s">
        <v>161</v>
      </c>
      <c r="AG39">
        <v>18.991099999999999</v>
      </c>
      <c r="AH39">
        <v>2</v>
      </c>
      <c r="AI39">
        <v>46468034</v>
      </c>
      <c r="AJ39">
        <v>40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ROW(Source!A80)</f>
        <v>80</v>
      </c>
      <c r="B40">
        <v>46468035</v>
      </c>
      <c r="C40">
        <v>46468033</v>
      </c>
      <c r="D40">
        <v>42570797</v>
      </c>
      <c r="E40">
        <v>1</v>
      </c>
      <c r="F40">
        <v>1</v>
      </c>
      <c r="G40">
        <v>1</v>
      </c>
      <c r="H40">
        <v>2</v>
      </c>
      <c r="I40" t="s">
        <v>442</v>
      </c>
      <c r="J40" t="s">
        <v>443</v>
      </c>
      <c r="K40" t="s">
        <v>444</v>
      </c>
      <c r="L40">
        <v>1368</v>
      </c>
      <c r="N40">
        <v>1011</v>
      </c>
      <c r="O40" t="s">
        <v>393</v>
      </c>
      <c r="P40" t="s">
        <v>393</v>
      </c>
      <c r="Q40">
        <v>1</v>
      </c>
      <c r="X40">
        <v>0.25</v>
      </c>
      <c r="Y40">
        <v>0</v>
      </c>
      <c r="Z40">
        <v>60.14</v>
      </c>
      <c r="AA40">
        <v>10.84</v>
      </c>
      <c r="AB40">
        <v>0</v>
      </c>
      <c r="AC40">
        <v>0</v>
      </c>
      <c r="AD40">
        <v>1</v>
      </c>
      <c r="AE40">
        <v>0</v>
      </c>
      <c r="AF40" t="s">
        <v>160</v>
      </c>
      <c r="AG40">
        <v>0.359375</v>
      </c>
      <c r="AH40">
        <v>2</v>
      </c>
      <c r="AI40">
        <v>46468035</v>
      </c>
      <c r="AJ40">
        <v>41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ROW(Source!A80)</f>
        <v>80</v>
      </c>
      <c r="B41">
        <v>46468036</v>
      </c>
      <c r="C41">
        <v>46468033</v>
      </c>
      <c r="D41">
        <v>42596183</v>
      </c>
      <c r="E41">
        <v>1</v>
      </c>
      <c r="F41">
        <v>1</v>
      </c>
      <c r="G41">
        <v>1</v>
      </c>
      <c r="H41">
        <v>3</v>
      </c>
      <c r="I41" t="s">
        <v>445</v>
      </c>
      <c r="J41" t="s">
        <v>446</v>
      </c>
      <c r="K41" t="s">
        <v>447</v>
      </c>
      <c r="L41">
        <v>1346</v>
      </c>
      <c r="N41">
        <v>1009</v>
      </c>
      <c r="O41" t="s">
        <v>448</v>
      </c>
      <c r="P41" t="s">
        <v>448</v>
      </c>
      <c r="Q41">
        <v>1</v>
      </c>
      <c r="X41">
        <v>7.423</v>
      </c>
      <c r="Y41">
        <v>128.96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7.423</v>
      </c>
      <c r="AH41">
        <v>2</v>
      </c>
      <c r="AI41">
        <v>46468036</v>
      </c>
      <c r="AJ41">
        <v>42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ROW(Source!A80)</f>
        <v>80</v>
      </c>
      <c r="B42">
        <v>46468037</v>
      </c>
      <c r="C42">
        <v>46468033</v>
      </c>
      <c r="D42">
        <v>42607941</v>
      </c>
      <c r="E42">
        <v>1</v>
      </c>
      <c r="F42">
        <v>1</v>
      </c>
      <c r="G42">
        <v>1</v>
      </c>
      <c r="H42">
        <v>3</v>
      </c>
      <c r="I42" t="s">
        <v>449</v>
      </c>
      <c r="J42" t="s">
        <v>450</v>
      </c>
      <c r="K42" t="s">
        <v>451</v>
      </c>
      <c r="L42">
        <v>1327</v>
      </c>
      <c r="N42">
        <v>1005</v>
      </c>
      <c r="O42" t="s">
        <v>452</v>
      </c>
      <c r="P42" t="s">
        <v>452</v>
      </c>
      <c r="Q42">
        <v>1</v>
      </c>
      <c r="X42">
        <v>115</v>
      </c>
      <c r="Y42">
        <v>5.56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115</v>
      </c>
      <c r="AH42">
        <v>2</v>
      </c>
      <c r="AI42">
        <v>46468037</v>
      </c>
      <c r="AJ42">
        <v>43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ROW(Source!A81)</f>
        <v>81</v>
      </c>
      <c r="B43">
        <v>46416985</v>
      </c>
      <c r="C43">
        <v>46416979</v>
      </c>
      <c r="D43">
        <v>42640602</v>
      </c>
      <c r="E43">
        <v>1</v>
      </c>
      <c r="F43">
        <v>1</v>
      </c>
      <c r="G43">
        <v>1</v>
      </c>
      <c r="H43">
        <v>1</v>
      </c>
      <c r="I43" t="s">
        <v>453</v>
      </c>
      <c r="J43" t="s">
        <v>3</v>
      </c>
      <c r="K43" t="s">
        <v>454</v>
      </c>
      <c r="L43">
        <v>1369</v>
      </c>
      <c r="N43">
        <v>1013</v>
      </c>
      <c r="O43" t="s">
        <v>387</v>
      </c>
      <c r="P43" t="s">
        <v>387</v>
      </c>
      <c r="Q43">
        <v>1</v>
      </c>
      <c r="X43">
        <v>53.8</v>
      </c>
      <c r="Y43">
        <v>0</v>
      </c>
      <c r="Z43">
        <v>0</v>
      </c>
      <c r="AA43">
        <v>0</v>
      </c>
      <c r="AB43">
        <v>8.2799999999999994</v>
      </c>
      <c r="AC43">
        <v>0</v>
      </c>
      <c r="AD43">
        <v>1</v>
      </c>
      <c r="AE43">
        <v>1</v>
      </c>
      <c r="AF43" t="s">
        <v>161</v>
      </c>
      <c r="AG43">
        <v>71.15049999999998</v>
      </c>
      <c r="AH43">
        <v>2</v>
      </c>
      <c r="AI43">
        <v>46416980</v>
      </c>
      <c r="AJ43">
        <v>44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ROW(Source!A81)</f>
        <v>81</v>
      </c>
      <c r="B44">
        <v>46416986</v>
      </c>
      <c r="C44">
        <v>46416979</v>
      </c>
      <c r="D44">
        <v>42570797</v>
      </c>
      <c r="E44">
        <v>1</v>
      </c>
      <c r="F44">
        <v>1</v>
      </c>
      <c r="G44">
        <v>1</v>
      </c>
      <c r="H44">
        <v>2</v>
      </c>
      <c r="I44" t="s">
        <v>442</v>
      </c>
      <c r="J44" t="s">
        <v>443</v>
      </c>
      <c r="K44" t="s">
        <v>444</v>
      </c>
      <c r="L44">
        <v>1368</v>
      </c>
      <c r="N44">
        <v>1011</v>
      </c>
      <c r="O44" t="s">
        <v>393</v>
      </c>
      <c r="P44" t="s">
        <v>393</v>
      </c>
      <c r="Q44">
        <v>1</v>
      </c>
      <c r="X44">
        <v>0.09</v>
      </c>
      <c r="Y44">
        <v>0</v>
      </c>
      <c r="Z44">
        <v>60.14</v>
      </c>
      <c r="AA44">
        <v>10.84</v>
      </c>
      <c r="AB44">
        <v>0</v>
      </c>
      <c r="AC44">
        <v>0</v>
      </c>
      <c r="AD44">
        <v>1</v>
      </c>
      <c r="AE44">
        <v>0</v>
      </c>
      <c r="AF44" t="s">
        <v>170</v>
      </c>
      <c r="AG44">
        <v>0.12937499999999999</v>
      </c>
      <c r="AH44">
        <v>2</v>
      </c>
      <c r="AI44">
        <v>46416981</v>
      </c>
      <c r="AJ44">
        <v>45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ROW(Source!A81)</f>
        <v>81</v>
      </c>
      <c r="B45">
        <v>46416987</v>
      </c>
      <c r="C45">
        <v>46416979</v>
      </c>
      <c r="D45">
        <v>42594559</v>
      </c>
      <c r="E45">
        <v>1</v>
      </c>
      <c r="F45">
        <v>1</v>
      </c>
      <c r="G45">
        <v>1</v>
      </c>
      <c r="H45">
        <v>3</v>
      </c>
      <c r="I45" t="s">
        <v>455</v>
      </c>
      <c r="J45" t="s">
        <v>456</v>
      </c>
      <c r="K45" t="s">
        <v>457</v>
      </c>
      <c r="L45">
        <v>1327</v>
      </c>
      <c r="N45">
        <v>1005</v>
      </c>
      <c r="O45" t="s">
        <v>452</v>
      </c>
      <c r="P45" t="s">
        <v>452</v>
      </c>
      <c r="Q45">
        <v>1</v>
      </c>
      <c r="X45">
        <v>107</v>
      </c>
      <c r="Y45">
        <v>3.38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107</v>
      </c>
      <c r="AH45">
        <v>2</v>
      </c>
      <c r="AI45">
        <v>46416982</v>
      </c>
      <c r="AJ45">
        <v>46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ROW(Source!A81)</f>
        <v>81</v>
      </c>
      <c r="B46">
        <v>46416988</v>
      </c>
      <c r="C46">
        <v>46416979</v>
      </c>
      <c r="D46">
        <v>42593759</v>
      </c>
      <c r="E46">
        <v>1</v>
      </c>
      <c r="F46">
        <v>1</v>
      </c>
      <c r="G46">
        <v>1</v>
      </c>
      <c r="H46">
        <v>3</v>
      </c>
      <c r="I46" t="s">
        <v>458</v>
      </c>
      <c r="J46" t="s">
        <v>459</v>
      </c>
      <c r="K46" t="s">
        <v>460</v>
      </c>
      <c r="L46">
        <v>1346</v>
      </c>
      <c r="N46">
        <v>1009</v>
      </c>
      <c r="O46" t="s">
        <v>448</v>
      </c>
      <c r="P46" t="s">
        <v>448</v>
      </c>
      <c r="Q46">
        <v>1</v>
      </c>
      <c r="X46">
        <v>22</v>
      </c>
      <c r="Y46">
        <v>16.16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22</v>
      </c>
      <c r="AH46">
        <v>2</v>
      </c>
      <c r="AI46">
        <v>46416983</v>
      </c>
      <c r="AJ46">
        <v>47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ROW(Source!A81)</f>
        <v>81</v>
      </c>
      <c r="B47">
        <v>46416989</v>
      </c>
      <c r="C47">
        <v>46416979</v>
      </c>
      <c r="D47">
        <v>42572018</v>
      </c>
      <c r="E47">
        <v>1</v>
      </c>
      <c r="F47">
        <v>1</v>
      </c>
      <c r="G47">
        <v>1</v>
      </c>
      <c r="H47">
        <v>3</v>
      </c>
      <c r="I47" t="s">
        <v>461</v>
      </c>
      <c r="J47" t="s">
        <v>462</v>
      </c>
      <c r="K47" t="s">
        <v>463</v>
      </c>
      <c r="L47">
        <v>1339</v>
      </c>
      <c r="N47">
        <v>1007</v>
      </c>
      <c r="O47" t="s">
        <v>139</v>
      </c>
      <c r="P47" t="s">
        <v>139</v>
      </c>
      <c r="Q47">
        <v>1</v>
      </c>
      <c r="X47">
        <v>0.26</v>
      </c>
      <c r="Y47">
        <v>438.09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0.26</v>
      </c>
      <c r="AH47">
        <v>2</v>
      </c>
      <c r="AI47">
        <v>46416984</v>
      </c>
      <c r="AJ47">
        <v>48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ROW(Source!A82)</f>
        <v>82</v>
      </c>
      <c r="B48">
        <v>46417016</v>
      </c>
      <c r="C48">
        <v>46416990</v>
      </c>
      <c r="D48">
        <v>42645565</v>
      </c>
      <c r="E48">
        <v>1</v>
      </c>
      <c r="F48">
        <v>1</v>
      </c>
      <c r="G48">
        <v>1</v>
      </c>
      <c r="H48">
        <v>1</v>
      </c>
      <c r="I48" t="s">
        <v>464</v>
      </c>
      <c r="J48" t="s">
        <v>3</v>
      </c>
      <c r="K48" t="s">
        <v>465</v>
      </c>
      <c r="L48">
        <v>1369</v>
      </c>
      <c r="N48">
        <v>1013</v>
      </c>
      <c r="O48" t="s">
        <v>387</v>
      </c>
      <c r="P48" t="s">
        <v>387</v>
      </c>
      <c r="Q48">
        <v>1</v>
      </c>
      <c r="X48">
        <v>278.88</v>
      </c>
      <c r="Y48">
        <v>0</v>
      </c>
      <c r="Z48">
        <v>0</v>
      </c>
      <c r="AA48">
        <v>0</v>
      </c>
      <c r="AB48">
        <v>7.84</v>
      </c>
      <c r="AC48">
        <v>0</v>
      </c>
      <c r="AD48">
        <v>1</v>
      </c>
      <c r="AE48">
        <v>1</v>
      </c>
      <c r="AF48" t="s">
        <v>161</v>
      </c>
      <c r="AG48">
        <v>368.81879999999995</v>
      </c>
      <c r="AH48">
        <v>2</v>
      </c>
      <c r="AI48">
        <v>46416991</v>
      </c>
      <c r="AJ48">
        <v>49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ROW(Source!A82)</f>
        <v>82</v>
      </c>
      <c r="B49">
        <v>46417017</v>
      </c>
      <c r="C49">
        <v>46416990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26</v>
      </c>
      <c r="J49" t="s">
        <v>3</v>
      </c>
      <c r="K49" t="s">
        <v>388</v>
      </c>
      <c r="L49">
        <v>608254</v>
      </c>
      <c r="N49">
        <v>1013</v>
      </c>
      <c r="O49" t="s">
        <v>389</v>
      </c>
      <c r="P49" t="s">
        <v>389</v>
      </c>
      <c r="Q49">
        <v>1</v>
      </c>
      <c r="X49">
        <v>17.829999999999998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2</v>
      </c>
      <c r="AF49" t="s">
        <v>170</v>
      </c>
      <c r="AG49">
        <v>25.630624999999995</v>
      </c>
      <c r="AH49">
        <v>2</v>
      </c>
      <c r="AI49">
        <v>46416992</v>
      </c>
      <c r="AJ49">
        <v>50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ROW(Source!A82)</f>
        <v>82</v>
      </c>
      <c r="B50">
        <v>46417018</v>
      </c>
      <c r="C50">
        <v>46416990</v>
      </c>
      <c r="D50">
        <v>42567157</v>
      </c>
      <c r="E50">
        <v>1</v>
      </c>
      <c r="F50">
        <v>1</v>
      </c>
      <c r="G50">
        <v>1</v>
      </c>
      <c r="H50">
        <v>2</v>
      </c>
      <c r="I50" t="s">
        <v>466</v>
      </c>
      <c r="J50" t="s">
        <v>467</v>
      </c>
      <c r="K50" t="s">
        <v>468</v>
      </c>
      <c r="L50">
        <v>1368</v>
      </c>
      <c r="N50">
        <v>1011</v>
      </c>
      <c r="O50" t="s">
        <v>393</v>
      </c>
      <c r="P50" t="s">
        <v>393</v>
      </c>
      <c r="Q50">
        <v>1</v>
      </c>
      <c r="X50">
        <v>0.87</v>
      </c>
      <c r="Y50">
        <v>0</v>
      </c>
      <c r="Z50">
        <v>88.87</v>
      </c>
      <c r="AA50">
        <v>12.62</v>
      </c>
      <c r="AB50">
        <v>0</v>
      </c>
      <c r="AC50">
        <v>0</v>
      </c>
      <c r="AD50">
        <v>1</v>
      </c>
      <c r="AE50">
        <v>0</v>
      </c>
      <c r="AF50" t="s">
        <v>170</v>
      </c>
      <c r="AG50">
        <v>1.2506249999999999</v>
      </c>
      <c r="AH50">
        <v>2</v>
      </c>
      <c r="AI50">
        <v>46416993</v>
      </c>
      <c r="AJ50">
        <v>51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ROW(Source!A82)</f>
        <v>82</v>
      </c>
      <c r="B51">
        <v>46417019</v>
      </c>
      <c r="C51">
        <v>46416990</v>
      </c>
      <c r="D51">
        <v>42567205</v>
      </c>
      <c r="E51">
        <v>1</v>
      </c>
      <c r="F51">
        <v>1</v>
      </c>
      <c r="G51">
        <v>1</v>
      </c>
      <c r="H51">
        <v>2</v>
      </c>
      <c r="I51" t="s">
        <v>469</v>
      </c>
      <c r="J51" t="s">
        <v>470</v>
      </c>
      <c r="K51" t="s">
        <v>471</v>
      </c>
      <c r="L51">
        <v>1368</v>
      </c>
      <c r="N51">
        <v>1011</v>
      </c>
      <c r="O51" t="s">
        <v>393</v>
      </c>
      <c r="P51" t="s">
        <v>393</v>
      </c>
      <c r="Q51">
        <v>1</v>
      </c>
      <c r="X51">
        <v>16.690000000000001</v>
      </c>
      <c r="Y51">
        <v>0</v>
      </c>
      <c r="Z51">
        <v>100.9</v>
      </c>
      <c r="AA51">
        <v>12.62</v>
      </c>
      <c r="AB51">
        <v>0</v>
      </c>
      <c r="AC51">
        <v>0</v>
      </c>
      <c r="AD51">
        <v>1</v>
      </c>
      <c r="AE51">
        <v>0</v>
      </c>
      <c r="AF51" t="s">
        <v>170</v>
      </c>
      <c r="AG51">
        <v>23.991875</v>
      </c>
      <c r="AH51">
        <v>2</v>
      </c>
      <c r="AI51">
        <v>46416994</v>
      </c>
      <c r="AJ51">
        <v>52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ROW(Source!A82)</f>
        <v>82</v>
      </c>
      <c r="B52">
        <v>46417020</v>
      </c>
      <c r="C52">
        <v>46416990</v>
      </c>
      <c r="D52">
        <v>42567318</v>
      </c>
      <c r="E52">
        <v>1</v>
      </c>
      <c r="F52">
        <v>1</v>
      </c>
      <c r="G52">
        <v>1</v>
      </c>
      <c r="H52">
        <v>2</v>
      </c>
      <c r="I52" t="s">
        <v>432</v>
      </c>
      <c r="J52" t="s">
        <v>433</v>
      </c>
      <c r="K52" t="s">
        <v>434</v>
      </c>
      <c r="L52">
        <v>1368</v>
      </c>
      <c r="N52">
        <v>1011</v>
      </c>
      <c r="O52" t="s">
        <v>393</v>
      </c>
      <c r="P52" t="s">
        <v>393</v>
      </c>
      <c r="Q52">
        <v>1</v>
      </c>
      <c r="X52">
        <v>0.27</v>
      </c>
      <c r="Y52">
        <v>0</v>
      </c>
      <c r="Z52">
        <v>88.87</v>
      </c>
      <c r="AA52">
        <v>9.4</v>
      </c>
      <c r="AB52">
        <v>0</v>
      </c>
      <c r="AC52">
        <v>0</v>
      </c>
      <c r="AD52">
        <v>1</v>
      </c>
      <c r="AE52">
        <v>0</v>
      </c>
      <c r="AF52" t="s">
        <v>170</v>
      </c>
      <c r="AG52">
        <v>0.388125</v>
      </c>
      <c r="AH52">
        <v>2</v>
      </c>
      <c r="AI52">
        <v>46416995</v>
      </c>
      <c r="AJ52">
        <v>53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ROW(Source!A82)</f>
        <v>82</v>
      </c>
      <c r="B53">
        <v>46417021</v>
      </c>
      <c r="C53">
        <v>46416990</v>
      </c>
      <c r="D53">
        <v>42567594</v>
      </c>
      <c r="E53">
        <v>1</v>
      </c>
      <c r="F53">
        <v>1</v>
      </c>
      <c r="G53">
        <v>1</v>
      </c>
      <c r="H53">
        <v>2</v>
      </c>
      <c r="I53" t="s">
        <v>472</v>
      </c>
      <c r="J53" t="s">
        <v>473</v>
      </c>
      <c r="K53" t="s">
        <v>474</v>
      </c>
      <c r="L53">
        <v>1368</v>
      </c>
      <c r="N53">
        <v>1011</v>
      </c>
      <c r="O53" t="s">
        <v>393</v>
      </c>
      <c r="P53" t="s">
        <v>393</v>
      </c>
      <c r="Q53">
        <v>1</v>
      </c>
      <c r="X53">
        <v>83.1</v>
      </c>
      <c r="Y53">
        <v>0</v>
      </c>
      <c r="Z53">
        <v>8.1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170</v>
      </c>
      <c r="AG53">
        <v>119.45625</v>
      </c>
      <c r="AH53">
        <v>2</v>
      </c>
      <c r="AI53">
        <v>46416996</v>
      </c>
      <c r="AJ53">
        <v>54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ROW(Source!A82)</f>
        <v>82</v>
      </c>
      <c r="B54">
        <v>46417022</v>
      </c>
      <c r="C54">
        <v>46416990</v>
      </c>
      <c r="D54">
        <v>42568333</v>
      </c>
      <c r="E54">
        <v>1</v>
      </c>
      <c r="F54">
        <v>1</v>
      </c>
      <c r="G54">
        <v>1</v>
      </c>
      <c r="H54">
        <v>2</v>
      </c>
      <c r="I54" t="s">
        <v>475</v>
      </c>
      <c r="J54" t="s">
        <v>476</v>
      </c>
      <c r="K54" t="s">
        <v>477</v>
      </c>
      <c r="L54">
        <v>1368</v>
      </c>
      <c r="N54">
        <v>1011</v>
      </c>
      <c r="O54" t="s">
        <v>393</v>
      </c>
      <c r="P54" t="s">
        <v>393</v>
      </c>
      <c r="Q54">
        <v>1</v>
      </c>
      <c r="X54">
        <v>14.56</v>
      </c>
      <c r="Y54">
        <v>0</v>
      </c>
      <c r="Z54">
        <v>1.9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170</v>
      </c>
      <c r="AG54">
        <v>20.929999999999996</v>
      </c>
      <c r="AH54">
        <v>2</v>
      </c>
      <c r="AI54">
        <v>46416997</v>
      </c>
      <c r="AJ54">
        <v>55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ROW(Source!A82)</f>
        <v>82</v>
      </c>
      <c r="B55">
        <v>46417023</v>
      </c>
      <c r="C55">
        <v>46416990</v>
      </c>
      <c r="D55">
        <v>42570399</v>
      </c>
      <c r="E55">
        <v>1</v>
      </c>
      <c r="F55">
        <v>1</v>
      </c>
      <c r="G55">
        <v>1</v>
      </c>
      <c r="H55">
        <v>2</v>
      </c>
      <c r="I55" t="s">
        <v>478</v>
      </c>
      <c r="J55" t="s">
        <v>479</v>
      </c>
      <c r="K55" t="s">
        <v>480</v>
      </c>
      <c r="L55">
        <v>1368</v>
      </c>
      <c r="N55">
        <v>1011</v>
      </c>
      <c r="O55" t="s">
        <v>393</v>
      </c>
      <c r="P55" t="s">
        <v>393</v>
      </c>
      <c r="Q55">
        <v>1</v>
      </c>
      <c r="X55">
        <v>0.52</v>
      </c>
      <c r="Y55">
        <v>0</v>
      </c>
      <c r="Z55">
        <v>3.27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170</v>
      </c>
      <c r="AG55">
        <v>0.74749999999999994</v>
      </c>
      <c r="AH55">
        <v>2</v>
      </c>
      <c r="AI55">
        <v>46416998</v>
      </c>
      <c r="AJ55">
        <v>56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ROW(Source!A82)</f>
        <v>82</v>
      </c>
      <c r="B56">
        <v>46417024</v>
      </c>
      <c r="C56">
        <v>46416990</v>
      </c>
      <c r="D56">
        <v>42570797</v>
      </c>
      <c r="E56">
        <v>1</v>
      </c>
      <c r="F56">
        <v>1</v>
      </c>
      <c r="G56">
        <v>1</v>
      </c>
      <c r="H56">
        <v>2</v>
      </c>
      <c r="I56" t="s">
        <v>442</v>
      </c>
      <c r="J56" t="s">
        <v>443</v>
      </c>
      <c r="K56" t="s">
        <v>444</v>
      </c>
      <c r="L56">
        <v>1368</v>
      </c>
      <c r="N56">
        <v>1011</v>
      </c>
      <c r="O56" t="s">
        <v>393</v>
      </c>
      <c r="P56" t="s">
        <v>393</v>
      </c>
      <c r="Q56">
        <v>1</v>
      </c>
      <c r="X56">
        <v>1.31</v>
      </c>
      <c r="Y56">
        <v>0</v>
      </c>
      <c r="Z56">
        <v>60.14</v>
      </c>
      <c r="AA56">
        <v>10.84</v>
      </c>
      <c r="AB56">
        <v>0</v>
      </c>
      <c r="AC56">
        <v>0</v>
      </c>
      <c r="AD56">
        <v>1</v>
      </c>
      <c r="AE56">
        <v>0</v>
      </c>
      <c r="AF56" t="s">
        <v>170</v>
      </c>
      <c r="AG56">
        <v>1.8831250000000002</v>
      </c>
      <c r="AH56">
        <v>2</v>
      </c>
      <c r="AI56">
        <v>46416999</v>
      </c>
      <c r="AJ56">
        <v>57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ROW(Source!A82)</f>
        <v>82</v>
      </c>
      <c r="B57">
        <v>46417025</v>
      </c>
      <c r="C57">
        <v>46416990</v>
      </c>
      <c r="D57">
        <v>42598779</v>
      </c>
      <c r="E57">
        <v>1</v>
      </c>
      <c r="F57">
        <v>1</v>
      </c>
      <c r="G57">
        <v>1</v>
      </c>
      <c r="H57">
        <v>3</v>
      </c>
      <c r="I57" t="s">
        <v>481</v>
      </c>
      <c r="J57" t="s">
        <v>482</v>
      </c>
      <c r="K57" t="s">
        <v>483</v>
      </c>
      <c r="L57">
        <v>1348</v>
      </c>
      <c r="N57">
        <v>1009</v>
      </c>
      <c r="O57" t="s">
        <v>184</v>
      </c>
      <c r="P57" t="s">
        <v>184</v>
      </c>
      <c r="Q57">
        <v>1000</v>
      </c>
      <c r="X57">
        <v>1.4999999999999999E-2</v>
      </c>
      <c r="Y57">
        <v>4270.78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1.4999999999999999E-2</v>
      </c>
      <c r="AH57">
        <v>2</v>
      </c>
      <c r="AI57">
        <v>46417000</v>
      </c>
      <c r="AJ57">
        <v>58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ROW(Source!A82)</f>
        <v>82</v>
      </c>
      <c r="B58">
        <v>46417026</v>
      </c>
      <c r="C58">
        <v>46416990</v>
      </c>
      <c r="D58">
        <v>42599326</v>
      </c>
      <c r="E58">
        <v>1</v>
      </c>
      <c r="F58">
        <v>1</v>
      </c>
      <c r="G58">
        <v>1</v>
      </c>
      <c r="H58">
        <v>3</v>
      </c>
      <c r="I58" t="s">
        <v>484</v>
      </c>
      <c r="J58" t="s">
        <v>485</v>
      </c>
      <c r="K58" t="s">
        <v>486</v>
      </c>
      <c r="L58">
        <v>1348</v>
      </c>
      <c r="N58">
        <v>1009</v>
      </c>
      <c r="O58" t="s">
        <v>184</v>
      </c>
      <c r="P58" t="s">
        <v>184</v>
      </c>
      <c r="Q58">
        <v>1000</v>
      </c>
      <c r="X58">
        <v>0.106</v>
      </c>
      <c r="Y58">
        <v>9799.7199999999993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0.106</v>
      </c>
      <c r="AH58">
        <v>2</v>
      </c>
      <c r="AI58">
        <v>46417001</v>
      </c>
      <c r="AJ58">
        <v>59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ROW(Source!A82)</f>
        <v>82</v>
      </c>
      <c r="B59">
        <v>46417027</v>
      </c>
      <c r="C59">
        <v>46416990</v>
      </c>
      <c r="D59">
        <v>42593928</v>
      </c>
      <c r="E59">
        <v>1</v>
      </c>
      <c r="F59">
        <v>1</v>
      </c>
      <c r="G59">
        <v>1</v>
      </c>
      <c r="H59">
        <v>3</v>
      </c>
      <c r="I59" t="s">
        <v>487</v>
      </c>
      <c r="J59" t="s">
        <v>488</v>
      </c>
      <c r="K59" t="s">
        <v>489</v>
      </c>
      <c r="L59">
        <v>1327</v>
      </c>
      <c r="N59">
        <v>1005</v>
      </c>
      <c r="O59" t="s">
        <v>452</v>
      </c>
      <c r="P59" t="s">
        <v>452</v>
      </c>
      <c r="Q59">
        <v>1</v>
      </c>
      <c r="X59">
        <v>8.9</v>
      </c>
      <c r="Y59">
        <v>10.61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8.9</v>
      </c>
      <c r="AH59">
        <v>2</v>
      </c>
      <c r="AI59">
        <v>46417002</v>
      </c>
      <c r="AJ59">
        <v>60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ROW(Source!A82)</f>
        <v>82</v>
      </c>
      <c r="B60">
        <v>46417028</v>
      </c>
      <c r="C60">
        <v>46416990</v>
      </c>
      <c r="D60">
        <v>42599638</v>
      </c>
      <c r="E60">
        <v>1</v>
      </c>
      <c r="F60">
        <v>1</v>
      </c>
      <c r="G60">
        <v>1</v>
      </c>
      <c r="H60">
        <v>3</v>
      </c>
      <c r="I60" t="s">
        <v>490</v>
      </c>
      <c r="J60" t="s">
        <v>491</v>
      </c>
      <c r="K60" t="s">
        <v>492</v>
      </c>
      <c r="L60">
        <v>1348</v>
      </c>
      <c r="N60">
        <v>1009</v>
      </c>
      <c r="O60" t="s">
        <v>184</v>
      </c>
      <c r="P60" t="s">
        <v>184</v>
      </c>
      <c r="Q60">
        <v>1000</v>
      </c>
      <c r="X60">
        <v>8.0000000000000002E-3</v>
      </c>
      <c r="Y60">
        <v>11456.88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8.0000000000000002E-3</v>
      </c>
      <c r="AH60">
        <v>2</v>
      </c>
      <c r="AI60">
        <v>46417003</v>
      </c>
      <c r="AJ60">
        <v>61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ROW(Source!A82)</f>
        <v>82</v>
      </c>
      <c r="B61">
        <v>46417029</v>
      </c>
      <c r="C61">
        <v>46416990</v>
      </c>
      <c r="D61">
        <v>42601169</v>
      </c>
      <c r="E61">
        <v>1</v>
      </c>
      <c r="F61">
        <v>1</v>
      </c>
      <c r="G61">
        <v>1</v>
      </c>
      <c r="H61">
        <v>3</v>
      </c>
      <c r="I61" t="s">
        <v>493</v>
      </c>
      <c r="J61" t="s">
        <v>494</v>
      </c>
      <c r="K61" t="s">
        <v>495</v>
      </c>
      <c r="L61">
        <v>1339</v>
      </c>
      <c r="N61">
        <v>1007</v>
      </c>
      <c r="O61" t="s">
        <v>139</v>
      </c>
      <c r="P61" t="s">
        <v>139</v>
      </c>
      <c r="Q61">
        <v>1</v>
      </c>
      <c r="X61">
        <v>0.22</v>
      </c>
      <c r="Y61">
        <v>606.29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0.22</v>
      </c>
      <c r="AH61">
        <v>2</v>
      </c>
      <c r="AI61">
        <v>46417004</v>
      </c>
      <c r="AJ61">
        <v>62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ROW(Source!A82)</f>
        <v>82</v>
      </c>
      <c r="B62">
        <v>46417030</v>
      </c>
      <c r="C62">
        <v>46416990</v>
      </c>
      <c r="D62">
        <v>42600692</v>
      </c>
      <c r="E62">
        <v>1</v>
      </c>
      <c r="F62">
        <v>1</v>
      </c>
      <c r="G62">
        <v>1</v>
      </c>
      <c r="H62">
        <v>3</v>
      </c>
      <c r="I62" t="s">
        <v>496</v>
      </c>
      <c r="J62" t="s">
        <v>497</v>
      </c>
      <c r="K62" t="s">
        <v>498</v>
      </c>
      <c r="L62">
        <v>1339</v>
      </c>
      <c r="N62">
        <v>1007</v>
      </c>
      <c r="O62" t="s">
        <v>139</v>
      </c>
      <c r="P62" t="s">
        <v>139</v>
      </c>
      <c r="Q62">
        <v>1</v>
      </c>
      <c r="X62">
        <v>0.02</v>
      </c>
      <c r="Y62">
        <v>1397.5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0.02</v>
      </c>
      <c r="AH62">
        <v>2</v>
      </c>
      <c r="AI62">
        <v>46417005</v>
      </c>
      <c r="AJ62">
        <v>63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ROW(Source!A82)</f>
        <v>82</v>
      </c>
      <c r="B63">
        <v>46417031</v>
      </c>
      <c r="C63">
        <v>46416990</v>
      </c>
      <c r="D63">
        <v>42600981</v>
      </c>
      <c r="E63">
        <v>1</v>
      </c>
      <c r="F63">
        <v>1</v>
      </c>
      <c r="G63">
        <v>1</v>
      </c>
      <c r="H63">
        <v>3</v>
      </c>
      <c r="I63" t="s">
        <v>499</v>
      </c>
      <c r="J63" t="s">
        <v>500</v>
      </c>
      <c r="K63" t="s">
        <v>501</v>
      </c>
      <c r="L63">
        <v>1339</v>
      </c>
      <c r="N63">
        <v>1007</v>
      </c>
      <c r="O63" t="s">
        <v>139</v>
      </c>
      <c r="P63" t="s">
        <v>139</v>
      </c>
      <c r="Q63">
        <v>1</v>
      </c>
      <c r="X63">
        <v>0.02</v>
      </c>
      <c r="Y63">
        <v>1194.54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0.02</v>
      </c>
      <c r="AH63">
        <v>2</v>
      </c>
      <c r="AI63">
        <v>46417006</v>
      </c>
      <c r="AJ63">
        <v>64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ROW(Source!A82)</f>
        <v>82</v>
      </c>
      <c r="B64">
        <v>46417032</v>
      </c>
      <c r="C64">
        <v>46416990</v>
      </c>
      <c r="D64">
        <v>42600997</v>
      </c>
      <c r="E64">
        <v>1</v>
      </c>
      <c r="F64">
        <v>1</v>
      </c>
      <c r="G64">
        <v>1</v>
      </c>
      <c r="H64">
        <v>3</v>
      </c>
      <c r="I64" t="s">
        <v>502</v>
      </c>
      <c r="J64" t="s">
        <v>503</v>
      </c>
      <c r="K64" t="s">
        <v>504</v>
      </c>
      <c r="L64">
        <v>1339</v>
      </c>
      <c r="N64">
        <v>1007</v>
      </c>
      <c r="O64" t="s">
        <v>139</v>
      </c>
      <c r="P64" t="s">
        <v>139</v>
      </c>
      <c r="Q64">
        <v>1</v>
      </c>
      <c r="X64">
        <v>0.28000000000000003</v>
      </c>
      <c r="Y64">
        <v>1146.69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0.28000000000000003</v>
      </c>
      <c r="AH64">
        <v>2</v>
      </c>
      <c r="AI64">
        <v>46417007</v>
      </c>
      <c r="AJ64">
        <v>65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ROW(Source!A82)</f>
        <v>82</v>
      </c>
      <c r="B65">
        <v>46417033</v>
      </c>
      <c r="C65">
        <v>46416990</v>
      </c>
      <c r="D65">
        <v>42589192</v>
      </c>
      <c r="E65">
        <v>1</v>
      </c>
      <c r="F65">
        <v>1</v>
      </c>
      <c r="G65">
        <v>1</v>
      </c>
      <c r="H65">
        <v>3</v>
      </c>
      <c r="I65" t="s">
        <v>505</v>
      </c>
      <c r="J65" t="s">
        <v>506</v>
      </c>
      <c r="K65" t="s">
        <v>507</v>
      </c>
      <c r="L65">
        <v>1327</v>
      </c>
      <c r="N65">
        <v>1005</v>
      </c>
      <c r="O65" t="s">
        <v>452</v>
      </c>
      <c r="P65" t="s">
        <v>452</v>
      </c>
      <c r="Q65">
        <v>1</v>
      </c>
      <c r="X65">
        <v>20.7</v>
      </c>
      <c r="Y65">
        <v>54.99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20.7</v>
      </c>
      <c r="AH65">
        <v>2</v>
      </c>
      <c r="AI65">
        <v>46417008</v>
      </c>
      <c r="AJ65">
        <v>66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ROW(Source!A82)</f>
        <v>82</v>
      </c>
      <c r="B66">
        <v>46417034</v>
      </c>
      <c r="C66">
        <v>46416990</v>
      </c>
      <c r="D66">
        <v>42589206</v>
      </c>
      <c r="E66">
        <v>1</v>
      </c>
      <c r="F66">
        <v>1</v>
      </c>
      <c r="G66">
        <v>1</v>
      </c>
      <c r="H66">
        <v>3</v>
      </c>
      <c r="I66" t="s">
        <v>182</v>
      </c>
      <c r="J66" t="s">
        <v>185</v>
      </c>
      <c r="K66" t="s">
        <v>183</v>
      </c>
      <c r="L66">
        <v>1348</v>
      </c>
      <c r="N66">
        <v>1009</v>
      </c>
      <c r="O66" t="s">
        <v>184</v>
      </c>
      <c r="P66" t="s">
        <v>184</v>
      </c>
      <c r="Q66">
        <v>1000</v>
      </c>
      <c r="X66">
        <v>3.2</v>
      </c>
      <c r="Y66">
        <v>5416.2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3.2</v>
      </c>
      <c r="AH66">
        <v>2</v>
      </c>
      <c r="AI66">
        <v>46417009</v>
      </c>
      <c r="AJ66">
        <v>68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ROW(Source!A82)</f>
        <v>82</v>
      </c>
      <c r="B67">
        <v>46417035</v>
      </c>
      <c r="C67">
        <v>46416990</v>
      </c>
      <c r="D67">
        <v>42571927</v>
      </c>
      <c r="E67">
        <v>1</v>
      </c>
      <c r="F67">
        <v>1</v>
      </c>
      <c r="G67">
        <v>1</v>
      </c>
      <c r="H67">
        <v>3</v>
      </c>
      <c r="I67" t="s">
        <v>187</v>
      </c>
      <c r="J67" t="s">
        <v>189</v>
      </c>
      <c r="K67" t="s">
        <v>188</v>
      </c>
      <c r="L67">
        <v>1339</v>
      </c>
      <c r="N67">
        <v>1007</v>
      </c>
      <c r="O67" t="s">
        <v>139</v>
      </c>
      <c r="P67" t="s">
        <v>139</v>
      </c>
      <c r="Q67">
        <v>1</v>
      </c>
      <c r="X67">
        <v>101.5</v>
      </c>
      <c r="Y67">
        <v>747.74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101.5</v>
      </c>
      <c r="AH67">
        <v>2</v>
      </c>
      <c r="AI67">
        <v>46417010</v>
      </c>
      <c r="AJ67">
        <v>69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ROW(Source!A82)</f>
        <v>82</v>
      </c>
      <c r="B68">
        <v>46417036</v>
      </c>
      <c r="C68">
        <v>46416990</v>
      </c>
      <c r="D68">
        <v>42580849</v>
      </c>
      <c r="E68">
        <v>1</v>
      </c>
      <c r="F68">
        <v>1</v>
      </c>
      <c r="G68">
        <v>1</v>
      </c>
      <c r="H68">
        <v>3</v>
      </c>
      <c r="I68" t="s">
        <v>508</v>
      </c>
      <c r="J68" t="s">
        <v>509</v>
      </c>
      <c r="K68" t="s">
        <v>510</v>
      </c>
      <c r="L68">
        <v>1348</v>
      </c>
      <c r="N68">
        <v>1009</v>
      </c>
      <c r="O68" t="s">
        <v>184</v>
      </c>
      <c r="P68" t="s">
        <v>184</v>
      </c>
      <c r="Q68">
        <v>1000</v>
      </c>
      <c r="X68">
        <v>0.03</v>
      </c>
      <c r="Y68">
        <v>836.55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0.03</v>
      </c>
      <c r="AH68">
        <v>2</v>
      </c>
      <c r="AI68">
        <v>46417011</v>
      </c>
      <c r="AJ68">
        <v>70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ROW(Source!A82)</f>
        <v>82</v>
      </c>
      <c r="B69">
        <v>46417037</v>
      </c>
      <c r="C69">
        <v>46416990</v>
      </c>
      <c r="D69">
        <v>42582070</v>
      </c>
      <c r="E69">
        <v>1</v>
      </c>
      <c r="F69">
        <v>1</v>
      </c>
      <c r="G69">
        <v>1</v>
      </c>
      <c r="H69">
        <v>3</v>
      </c>
      <c r="I69" t="s">
        <v>435</v>
      </c>
      <c r="J69" t="s">
        <v>436</v>
      </c>
      <c r="K69" t="s">
        <v>437</v>
      </c>
      <c r="L69">
        <v>1339</v>
      </c>
      <c r="N69">
        <v>1007</v>
      </c>
      <c r="O69" t="s">
        <v>139</v>
      </c>
      <c r="P69" t="s">
        <v>139</v>
      </c>
      <c r="Q69">
        <v>1</v>
      </c>
      <c r="X69">
        <v>7.4880000000000004</v>
      </c>
      <c r="Y69">
        <v>1.3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7.4880000000000004</v>
      </c>
      <c r="AH69">
        <v>2</v>
      </c>
      <c r="AI69">
        <v>46417012</v>
      </c>
      <c r="AJ69">
        <v>71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ROW(Source!A123)</f>
        <v>123</v>
      </c>
      <c r="B70">
        <v>46468043</v>
      </c>
      <c r="C70">
        <v>46468038</v>
      </c>
      <c r="D70">
        <v>42640871</v>
      </c>
      <c r="E70">
        <v>1</v>
      </c>
      <c r="F70">
        <v>1</v>
      </c>
      <c r="G70">
        <v>1</v>
      </c>
      <c r="H70">
        <v>1</v>
      </c>
      <c r="I70" t="s">
        <v>385</v>
      </c>
      <c r="J70" t="s">
        <v>3</v>
      </c>
      <c r="K70" t="s">
        <v>386</v>
      </c>
      <c r="L70">
        <v>1369</v>
      </c>
      <c r="N70">
        <v>1013</v>
      </c>
      <c r="O70" t="s">
        <v>387</v>
      </c>
      <c r="P70" t="s">
        <v>387</v>
      </c>
      <c r="Q70">
        <v>1</v>
      </c>
      <c r="X70">
        <v>12.53</v>
      </c>
      <c r="Y70">
        <v>0</v>
      </c>
      <c r="Z70">
        <v>0</v>
      </c>
      <c r="AA70">
        <v>0</v>
      </c>
      <c r="AB70">
        <v>7.97</v>
      </c>
      <c r="AC70">
        <v>0</v>
      </c>
      <c r="AD70">
        <v>1</v>
      </c>
      <c r="AE70">
        <v>1</v>
      </c>
      <c r="AF70" t="s">
        <v>31</v>
      </c>
      <c r="AG70">
        <v>14.409499999999998</v>
      </c>
      <c r="AH70">
        <v>2</v>
      </c>
      <c r="AI70">
        <v>46468039</v>
      </c>
      <c r="AJ70">
        <v>74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ROW(Source!A123)</f>
        <v>123</v>
      </c>
      <c r="B71">
        <v>46468044</v>
      </c>
      <c r="C71">
        <v>46468038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26</v>
      </c>
      <c r="J71" t="s">
        <v>3</v>
      </c>
      <c r="K71" t="s">
        <v>388</v>
      </c>
      <c r="L71">
        <v>608254</v>
      </c>
      <c r="N71">
        <v>1013</v>
      </c>
      <c r="O71" t="s">
        <v>389</v>
      </c>
      <c r="P71" t="s">
        <v>389</v>
      </c>
      <c r="Q71">
        <v>1</v>
      </c>
      <c r="X71">
        <v>3.04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2</v>
      </c>
      <c r="AF71" t="s">
        <v>31</v>
      </c>
      <c r="AG71">
        <v>3.4959999999999996</v>
      </c>
      <c r="AH71">
        <v>2</v>
      </c>
      <c r="AI71">
        <v>46468040</v>
      </c>
      <c r="AJ71">
        <v>75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ROW(Source!A123)</f>
        <v>123</v>
      </c>
      <c r="B72">
        <v>46468045</v>
      </c>
      <c r="C72">
        <v>46468038</v>
      </c>
      <c r="D72">
        <v>42567659</v>
      </c>
      <c r="E72">
        <v>1</v>
      </c>
      <c r="F72">
        <v>1</v>
      </c>
      <c r="G72">
        <v>1</v>
      </c>
      <c r="H72">
        <v>2</v>
      </c>
      <c r="I72" t="s">
        <v>394</v>
      </c>
      <c r="J72" t="s">
        <v>395</v>
      </c>
      <c r="K72" t="s">
        <v>396</v>
      </c>
      <c r="L72">
        <v>1368</v>
      </c>
      <c r="N72">
        <v>1011</v>
      </c>
      <c r="O72" t="s">
        <v>393</v>
      </c>
      <c r="P72" t="s">
        <v>393</v>
      </c>
      <c r="Q72">
        <v>1</v>
      </c>
      <c r="X72">
        <v>3.04</v>
      </c>
      <c r="Y72">
        <v>0</v>
      </c>
      <c r="Z72">
        <v>98.87</v>
      </c>
      <c r="AA72">
        <v>9.4</v>
      </c>
      <c r="AB72">
        <v>0</v>
      </c>
      <c r="AC72">
        <v>0</v>
      </c>
      <c r="AD72">
        <v>1</v>
      </c>
      <c r="AE72">
        <v>0</v>
      </c>
      <c r="AF72" t="s">
        <v>31</v>
      </c>
      <c r="AG72">
        <v>3.4959999999999996</v>
      </c>
      <c r="AH72">
        <v>2</v>
      </c>
      <c r="AI72">
        <v>46468041</v>
      </c>
      <c r="AJ72">
        <v>76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ROW(Source!A123)</f>
        <v>123</v>
      </c>
      <c r="B73">
        <v>46468046</v>
      </c>
      <c r="C73">
        <v>46468038</v>
      </c>
      <c r="D73">
        <v>42570360</v>
      </c>
      <c r="E73">
        <v>1</v>
      </c>
      <c r="F73">
        <v>1</v>
      </c>
      <c r="G73">
        <v>1</v>
      </c>
      <c r="H73">
        <v>2</v>
      </c>
      <c r="I73" t="s">
        <v>427</v>
      </c>
      <c r="J73" t="s">
        <v>428</v>
      </c>
      <c r="K73" t="s">
        <v>429</v>
      </c>
      <c r="L73">
        <v>1368</v>
      </c>
      <c r="N73">
        <v>1011</v>
      </c>
      <c r="O73" t="s">
        <v>393</v>
      </c>
      <c r="P73" t="s">
        <v>393</v>
      </c>
      <c r="Q73">
        <v>1</v>
      </c>
      <c r="X73">
        <v>12.18</v>
      </c>
      <c r="Y73">
        <v>0</v>
      </c>
      <c r="Z73">
        <v>0.55000000000000004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31</v>
      </c>
      <c r="AG73">
        <v>14.006999999999998</v>
      </c>
      <c r="AH73">
        <v>2</v>
      </c>
      <c r="AI73">
        <v>46468042</v>
      </c>
      <c r="AJ73">
        <v>77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ROW(Source!A124)</f>
        <v>124</v>
      </c>
      <c r="B74">
        <v>46468056</v>
      </c>
      <c r="C74">
        <v>46468047</v>
      </c>
      <c r="D74">
        <v>42645178</v>
      </c>
      <c r="E74">
        <v>1</v>
      </c>
      <c r="F74">
        <v>1</v>
      </c>
      <c r="G74">
        <v>1</v>
      </c>
      <c r="H74">
        <v>1</v>
      </c>
      <c r="I74" t="s">
        <v>430</v>
      </c>
      <c r="J74" t="s">
        <v>3</v>
      </c>
      <c r="K74" t="s">
        <v>431</v>
      </c>
      <c r="L74">
        <v>1369</v>
      </c>
      <c r="N74">
        <v>1013</v>
      </c>
      <c r="O74" t="s">
        <v>387</v>
      </c>
      <c r="P74" t="s">
        <v>387</v>
      </c>
      <c r="Q74">
        <v>1</v>
      </c>
      <c r="X74">
        <v>3.41</v>
      </c>
      <c r="Y74">
        <v>0</v>
      </c>
      <c r="Z74">
        <v>0</v>
      </c>
      <c r="AA74">
        <v>0</v>
      </c>
      <c r="AB74">
        <v>8.07</v>
      </c>
      <c r="AC74">
        <v>0</v>
      </c>
      <c r="AD74">
        <v>1</v>
      </c>
      <c r="AE74">
        <v>1</v>
      </c>
      <c r="AF74" t="s">
        <v>31</v>
      </c>
      <c r="AG74">
        <v>3.9215</v>
      </c>
      <c r="AH74">
        <v>2</v>
      </c>
      <c r="AI74">
        <v>46468048</v>
      </c>
      <c r="AJ74">
        <v>78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ROW(Source!A124)</f>
        <v>124</v>
      </c>
      <c r="B75">
        <v>46468057</v>
      </c>
      <c r="C75">
        <v>46468047</v>
      </c>
      <c r="D75">
        <v>121548</v>
      </c>
      <c r="E75">
        <v>1</v>
      </c>
      <c r="F75">
        <v>1</v>
      </c>
      <c r="G75">
        <v>1</v>
      </c>
      <c r="H75">
        <v>1</v>
      </c>
      <c r="I75" t="s">
        <v>26</v>
      </c>
      <c r="J75" t="s">
        <v>3</v>
      </c>
      <c r="K75" t="s">
        <v>388</v>
      </c>
      <c r="L75">
        <v>608254</v>
      </c>
      <c r="N75">
        <v>1013</v>
      </c>
      <c r="O75" t="s">
        <v>389</v>
      </c>
      <c r="P75" t="s">
        <v>389</v>
      </c>
      <c r="Q75">
        <v>1</v>
      </c>
      <c r="X75">
        <v>0.3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2</v>
      </c>
      <c r="AF75" t="s">
        <v>31</v>
      </c>
      <c r="AG75">
        <v>0.34499999999999997</v>
      </c>
      <c r="AH75">
        <v>2</v>
      </c>
      <c r="AI75">
        <v>46468049</v>
      </c>
      <c r="AJ75">
        <v>79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ROW(Source!A124)</f>
        <v>124</v>
      </c>
      <c r="B76">
        <v>46468058</v>
      </c>
      <c r="C76">
        <v>46468047</v>
      </c>
      <c r="D76">
        <v>42567318</v>
      </c>
      <c r="E76">
        <v>1</v>
      </c>
      <c r="F76">
        <v>1</v>
      </c>
      <c r="G76">
        <v>1</v>
      </c>
      <c r="H76">
        <v>2</v>
      </c>
      <c r="I76" t="s">
        <v>432</v>
      </c>
      <c r="J76" t="s">
        <v>433</v>
      </c>
      <c r="K76" t="s">
        <v>434</v>
      </c>
      <c r="L76">
        <v>1368</v>
      </c>
      <c r="N76">
        <v>1011</v>
      </c>
      <c r="O76" t="s">
        <v>393</v>
      </c>
      <c r="P76" t="s">
        <v>393</v>
      </c>
      <c r="Q76">
        <v>1</v>
      </c>
      <c r="X76">
        <v>0.08</v>
      </c>
      <c r="Y76">
        <v>0</v>
      </c>
      <c r="Z76">
        <v>88.87</v>
      </c>
      <c r="AA76">
        <v>9.4</v>
      </c>
      <c r="AB76">
        <v>0</v>
      </c>
      <c r="AC76">
        <v>0</v>
      </c>
      <c r="AD76">
        <v>1</v>
      </c>
      <c r="AE76">
        <v>0</v>
      </c>
      <c r="AF76" t="s">
        <v>31</v>
      </c>
      <c r="AG76">
        <v>9.1999999999999998E-2</v>
      </c>
      <c r="AH76">
        <v>2</v>
      </c>
      <c r="AI76">
        <v>46468050</v>
      </c>
      <c r="AJ76">
        <v>80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ROW(Source!A124)</f>
        <v>124</v>
      </c>
      <c r="B77">
        <v>46468059</v>
      </c>
      <c r="C77">
        <v>46468047</v>
      </c>
      <c r="D77">
        <v>42567659</v>
      </c>
      <c r="E77">
        <v>1</v>
      </c>
      <c r="F77">
        <v>1</v>
      </c>
      <c r="G77">
        <v>1</v>
      </c>
      <c r="H77">
        <v>2</v>
      </c>
      <c r="I77" t="s">
        <v>394</v>
      </c>
      <c r="J77" t="s">
        <v>395</v>
      </c>
      <c r="K77" t="s">
        <v>396</v>
      </c>
      <c r="L77">
        <v>1368</v>
      </c>
      <c r="N77">
        <v>1011</v>
      </c>
      <c r="O77" t="s">
        <v>393</v>
      </c>
      <c r="P77" t="s">
        <v>393</v>
      </c>
      <c r="Q77">
        <v>1</v>
      </c>
      <c r="X77">
        <v>0.22</v>
      </c>
      <c r="Y77">
        <v>0</v>
      </c>
      <c r="Z77">
        <v>98.87</v>
      </c>
      <c r="AA77">
        <v>9.4</v>
      </c>
      <c r="AB77">
        <v>0</v>
      </c>
      <c r="AC77">
        <v>0</v>
      </c>
      <c r="AD77">
        <v>1</v>
      </c>
      <c r="AE77">
        <v>0</v>
      </c>
      <c r="AF77" t="s">
        <v>31</v>
      </c>
      <c r="AG77">
        <v>0.253</v>
      </c>
      <c r="AH77">
        <v>2</v>
      </c>
      <c r="AI77">
        <v>46468051</v>
      </c>
      <c r="AJ77">
        <v>81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ROW(Source!A124)</f>
        <v>124</v>
      </c>
      <c r="B78">
        <v>46468060</v>
      </c>
      <c r="C78">
        <v>46468047</v>
      </c>
      <c r="D78">
        <v>42570360</v>
      </c>
      <c r="E78">
        <v>1</v>
      </c>
      <c r="F78">
        <v>1</v>
      </c>
      <c r="G78">
        <v>1</v>
      </c>
      <c r="H78">
        <v>2</v>
      </c>
      <c r="I78" t="s">
        <v>427</v>
      </c>
      <c r="J78" t="s">
        <v>428</v>
      </c>
      <c r="K78" t="s">
        <v>429</v>
      </c>
      <c r="L78">
        <v>1368</v>
      </c>
      <c r="N78">
        <v>1011</v>
      </c>
      <c r="O78" t="s">
        <v>393</v>
      </c>
      <c r="P78" t="s">
        <v>393</v>
      </c>
      <c r="Q78">
        <v>1</v>
      </c>
      <c r="X78">
        <v>0.44</v>
      </c>
      <c r="Y78">
        <v>0</v>
      </c>
      <c r="Z78">
        <v>0.55000000000000004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31</v>
      </c>
      <c r="AG78">
        <v>0.50600000000000001</v>
      </c>
      <c r="AH78">
        <v>2</v>
      </c>
      <c r="AI78">
        <v>46468052</v>
      </c>
      <c r="AJ78">
        <v>82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ROW(Source!A124)</f>
        <v>124</v>
      </c>
      <c r="B79">
        <v>46468061</v>
      </c>
      <c r="C79">
        <v>46468047</v>
      </c>
      <c r="D79">
        <v>42581395</v>
      </c>
      <c r="E79">
        <v>1</v>
      </c>
      <c r="F79">
        <v>1</v>
      </c>
      <c r="G79">
        <v>1</v>
      </c>
      <c r="H79">
        <v>3</v>
      </c>
      <c r="I79" t="s">
        <v>137</v>
      </c>
      <c r="J79" t="s">
        <v>140</v>
      </c>
      <c r="K79" t="s">
        <v>138</v>
      </c>
      <c r="L79">
        <v>1339</v>
      </c>
      <c r="N79">
        <v>1007</v>
      </c>
      <c r="O79" t="s">
        <v>139</v>
      </c>
      <c r="P79" t="s">
        <v>139</v>
      </c>
      <c r="Q79">
        <v>1</v>
      </c>
      <c r="X79">
        <v>1.2</v>
      </c>
      <c r="Y79">
        <v>69.83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1.2</v>
      </c>
      <c r="AH79">
        <v>2</v>
      </c>
      <c r="AI79">
        <v>46468053</v>
      </c>
      <c r="AJ79">
        <v>83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ROW(Source!A124)</f>
        <v>124</v>
      </c>
      <c r="B80">
        <v>46468062</v>
      </c>
      <c r="C80">
        <v>46468047</v>
      </c>
      <c r="D80">
        <v>42582070</v>
      </c>
      <c r="E80">
        <v>1</v>
      </c>
      <c r="F80">
        <v>1</v>
      </c>
      <c r="G80">
        <v>1</v>
      </c>
      <c r="H80">
        <v>3</v>
      </c>
      <c r="I80" t="s">
        <v>435</v>
      </c>
      <c r="J80" t="s">
        <v>436</v>
      </c>
      <c r="K80" t="s">
        <v>437</v>
      </c>
      <c r="L80">
        <v>1339</v>
      </c>
      <c r="N80">
        <v>1007</v>
      </c>
      <c r="O80" t="s">
        <v>139</v>
      </c>
      <c r="P80" t="s">
        <v>139</v>
      </c>
      <c r="Q80">
        <v>1</v>
      </c>
      <c r="X80">
        <v>0.15</v>
      </c>
      <c r="Y80">
        <v>1.3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0.15</v>
      </c>
      <c r="AH80">
        <v>2</v>
      </c>
      <c r="AI80">
        <v>46468054</v>
      </c>
      <c r="AJ80">
        <v>84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ROW(Source!A127)</f>
        <v>127</v>
      </c>
      <c r="B81">
        <v>46468067</v>
      </c>
      <c r="C81">
        <v>46468065</v>
      </c>
      <c r="D81">
        <v>42647090</v>
      </c>
      <c r="E81">
        <v>1</v>
      </c>
      <c r="F81">
        <v>1</v>
      </c>
      <c r="G81">
        <v>1</v>
      </c>
      <c r="H81">
        <v>1</v>
      </c>
      <c r="I81" t="s">
        <v>438</v>
      </c>
      <c r="J81" t="s">
        <v>3</v>
      </c>
      <c r="K81" t="s">
        <v>439</v>
      </c>
      <c r="L81">
        <v>1369</v>
      </c>
      <c r="N81">
        <v>1013</v>
      </c>
      <c r="O81" t="s">
        <v>387</v>
      </c>
      <c r="P81" t="s">
        <v>387</v>
      </c>
      <c r="Q81">
        <v>1</v>
      </c>
      <c r="X81">
        <v>88.5</v>
      </c>
      <c r="Y81">
        <v>0</v>
      </c>
      <c r="Z81">
        <v>0</v>
      </c>
      <c r="AA81">
        <v>0</v>
      </c>
      <c r="AB81">
        <v>7.01</v>
      </c>
      <c r="AC81">
        <v>0</v>
      </c>
      <c r="AD81">
        <v>1</v>
      </c>
      <c r="AE81">
        <v>1</v>
      </c>
      <c r="AF81" t="s">
        <v>31</v>
      </c>
      <c r="AG81">
        <v>101.77499999999999</v>
      </c>
      <c r="AH81">
        <v>2</v>
      </c>
      <c r="AI81">
        <v>46468066</v>
      </c>
      <c r="AJ81">
        <v>86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ROW(Source!A128)</f>
        <v>128</v>
      </c>
      <c r="B82">
        <v>46468073</v>
      </c>
      <c r="C82">
        <v>46468068</v>
      </c>
      <c r="D82">
        <v>42646086</v>
      </c>
      <c r="E82">
        <v>1</v>
      </c>
      <c r="F82">
        <v>1</v>
      </c>
      <c r="G82">
        <v>1</v>
      </c>
      <c r="H82">
        <v>1</v>
      </c>
      <c r="I82" t="s">
        <v>440</v>
      </c>
      <c r="J82" t="s">
        <v>3</v>
      </c>
      <c r="K82" t="s">
        <v>441</v>
      </c>
      <c r="L82">
        <v>1369</v>
      </c>
      <c r="N82">
        <v>1013</v>
      </c>
      <c r="O82" t="s">
        <v>387</v>
      </c>
      <c r="P82" t="s">
        <v>387</v>
      </c>
      <c r="Q82">
        <v>1</v>
      </c>
      <c r="X82">
        <v>14.36</v>
      </c>
      <c r="Y82">
        <v>0</v>
      </c>
      <c r="Z82">
        <v>0</v>
      </c>
      <c r="AA82">
        <v>0</v>
      </c>
      <c r="AB82">
        <v>8.17</v>
      </c>
      <c r="AC82">
        <v>0</v>
      </c>
      <c r="AD82">
        <v>1</v>
      </c>
      <c r="AE82">
        <v>1</v>
      </c>
      <c r="AF82" t="s">
        <v>161</v>
      </c>
      <c r="AG82">
        <v>18.991099999999999</v>
      </c>
      <c r="AH82">
        <v>2</v>
      </c>
      <c r="AI82">
        <v>46468069</v>
      </c>
      <c r="AJ82">
        <v>87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ROW(Source!A128)</f>
        <v>128</v>
      </c>
      <c r="B83">
        <v>46468074</v>
      </c>
      <c r="C83">
        <v>46468068</v>
      </c>
      <c r="D83">
        <v>42570797</v>
      </c>
      <c r="E83">
        <v>1</v>
      </c>
      <c r="F83">
        <v>1</v>
      </c>
      <c r="G83">
        <v>1</v>
      </c>
      <c r="H83">
        <v>2</v>
      </c>
      <c r="I83" t="s">
        <v>442</v>
      </c>
      <c r="J83" t="s">
        <v>443</v>
      </c>
      <c r="K83" t="s">
        <v>444</v>
      </c>
      <c r="L83">
        <v>1368</v>
      </c>
      <c r="N83">
        <v>1011</v>
      </c>
      <c r="O83" t="s">
        <v>393</v>
      </c>
      <c r="P83" t="s">
        <v>393</v>
      </c>
      <c r="Q83">
        <v>1</v>
      </c>
      <c r="X83">
        <v>0.25</v>
      </c>
      <c r="Y83">
        <v>0</v>
      </c>
      <c r="Z83">
        <v>60.14</v>
      </c>
      <c r="AA83">
        <v>10.84</v>
      </c>
      <c r="AB83">
        <v>0</v>
      </c>
      <c r="AC83">
        <v>0</v>
      </c>
      <c r="AD83">
        <v>1</v>
      </c>
      <c r="AE83">
        <v>0</v>
      </c>
      <c r="AF83" t="s">
        <v>160</v>
      </c>
      <c r="AG83">
        <v>0.359375</v>
      </c>
      <c r="AH83">
        <v>2</v>
      </c>
      <c r="AI83">
        <v>46468070</v>
      </c>
      <c r="AJ83">
        <v>88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ROW(Source!A128)</f>
        <v>128</v>
      </c>
      <c r="B84">
        <v>46468075</v>
      </c>
      <c r="C84">
        <v>46468068</v>
      </c>
      <c r="D84">
        <v>42596183</v>
      </c>
      <c r="E84">
        <v>1</v>
      </c>
      <c r="F84">
        <v>1</v>
      </c>
      <c r="G84">
        <v>1</v>
      </c>
      <c r="H84">
        <v>3</v>
      </c>
      <c r="I84" t="s">
        <v>445</v>
      </c>
      <c r="J84" t="s">
        <v>446</v>
      </c>
      <c r="K84" t="s">
        <v>447</v>
      </c>
      <c r="L84">
        <v>1346</v>
      </c>
      <c r="N84">
        <v>1009</v>
      </c>
      <c r="O84" t="s">
        <v>448</v>
      </c>
      <c r="P84" t="s">
        <v>448</v>
      </c>
      <c r="Q84">
        <v>1</v>
      </c>
      <c r="X84">
        <v>7.423</v>
      </c>
      <c r="Y84">
        <v>128.96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7.423</v>
      </c>
      <c r="AH84">
        <v>2</v>
      </c>
      <c r="AI84">
        <v>46468071</v>
      </c>
      <c r="AJ84">
        <v>89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ROW(Source!A128)</f>
        <v>128</v>
      </c>
      <c r="B85">
        <v>46468076</v>
      </c>
      <c r="C85">
        <v>46468068</v>
      </c>
      <c r="D85">
        <v>42607941</v>
      </c>
      <c r="E85">
        <v>1</v>
      </c>
      <c r="F85">
        <v>1</v>
      </c>
      <c r="G85">
        <v>1</v>
      </c>
      <c r="H85">
        <v>3</v>
      </c>
      <c r="I85" t="s">
        <v>449</v>
      </c>
      <c r="J85" t="s">
        <v>450</v>
      </c>
      <c r="K85" t="s">
        <v>451</v>
      </c>
      <c r="L85">
        <v>1327</v>
      </c>
      <c r="N85">
        <v>1005</v>
      </c>
      <c r="O85" t="s">
        <v>452</v>
      </c>
      <c r="P85" t="s">
        <v>452</v>
      </c>
      <c r="Q85">
        <v>1</v>
      </c>
      <c r="X85">
        <v>115</v>
      </c>
      <c r="Y85">
        <v>5.56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115</v>
      </c>
      <c r="AH85">
        <v>2</v>
      </c>
      <c r="AI85">
        <v>46468072</v>
      </c>
      <c r="AJ85">
        <v>90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ROW(Source!A129)</f>
        <v>129</v>
      </c>
      <c r="B86">
        <v>46468083</v>
      </c>
      <c r="C86">
        <v>46468077</v>
      </c>
      <c r="D86">
        <v>42640602</v>
      </c>
      <c r="E86">
        <v>1</v>
      </c>
      <c r="F86">
        <v>1</v>
      </c>
      <c r="G86">
        <v>1</v>
      </c>
      <c r="H86">
        <v>1</v>
      </c>
      <c r="I86" t="s">
        <v>453</v>
      </c>
      <c r="J86" t="s">
        <v>3</v>
      </c>
      <c r="K86" t="s">
        <v>454</v>
      </c>
      <c r="L86">
        <v>1369</v>
      </c>
      <c r="N86">
        <v>1013</v>
      </c>
      <c r="O86" t="s">
        <v>387</v>
      </c>
      <c r="P86" t="s">
        <v>387</v>
      </c>
      <c r="Q86">
        <v>1</v>
      </c>
      <c r="X86">
        <v>53.8</v>
      </c>
      <c r="Y86">
        <v>0</v>
      </c>
      <c r="Z86">
        <v>0</v>
      </c>
      <c r="AA86">
        <v>0</v>
      </c>
      <c r="AB86">
        <v>8.2799999999999994</v>
      </c>
      <c r="AC86">
        <v>0</v>
      </c>
      <c r="AD86">
        <v>1</v>
      </c>
      <c r="AE86">
        <v>1</v>
      </c>
      <c r="AF86" t="s">
        <v>161</v>
      </c>
      <c r="AG86">
        <v>71.15049999999998</v>
      </c>
      <c r="AH86">
        <v>2</v>
      </c>
      <c r="AI86">
        <v>46468078</v>
      </c>
      <c r="AJ86">
        <v>91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ROW(Source!A129)</f>
        <v>129</v>
      </c>
      <c r="B87">
        <v>46468084</v>
      </c>
      <c r="C87">
        <v>46468077</v>
      </c>
      <c r="D87">
        <v>42570797</v>
      </c>
      <c r="E87">
        <v>1</v>
      </c>
      <c r="F87">
        <v>1</v>
      </c>
      <c r="G87">
        <v>1</v>
      </c>
      <c r="H87">
        <v>2</v>
      </c>
      <c r="I87" t="s">
        <v>442</v>
      </c>
      <c r="J87" t="s">
        <v>443</v>
      </c>
      <c r="K87" t="s">
        <v>444</v>
      </c>
      <c r="L87">
        <v>1368</v>
      </c>
      <c r="N87">
        <v>1011</v>
      </c>
      <c r="O87" t="s">
        <v>393</v>
      </c>
      <c r="P87" t="s">
        <v>393</v>
      </c>
      <c r="Q87">
        <v>1</v>
      </c>
      <c r="X87">
        <v>0.09</v>
      </c>
      <c r="Y87">
        <v>0</v>
      </c>
      <c r="Z87">
        <v>60.14</v>
      </c>
      <c r="AA87">
        <v>10.84</v>
      </c>
      <c r="AB87">
        <v>0</v>
      </c>
      <c r="AC87">
        <v>0</v>
      </c>
      <c r="AD87">
        <v>1</v>
      </c>
      <c r="AE87">
        <v>0</v>
      </c>
      <c r="AF87" t="s">
        <v>170</v>
      </c>
      <c r="AG87">
        <v>0.12937499999999999</v>
      </c>
      <c r="AH87">
        <v>2</v>
      </c>
      <c r="AI87">
        <v>46468079</v>
      </c>
      <c r="AJ87">
        <v>92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ROW(Source!A129)</f>
        <v>129</v>
      </c>
      <c r="B88">
        <v>46468085</v>
      </c>
      <c r="C88">
        <v>46468077</v>
      </c>
      <c r="D88">
        <v>42594559</v>
      </c>
      <c r="E88">
        <v>1</v>
      </c>
      <c r="F88">
        <v>1</v>
      </c>
      <c r="G88">
        <v>1</v>
      </c>
      <c r="H88">
        <v>3</v>
      </c>
      <c r="I88" t="s">
        <v>455</v>
      </c>
      <c r="J88" t="s">
        <v>456</v>
      </c>
      <c r="K88" t="s">
        <v>457</v>
      </c>
      <c r="L88">
        <v>1327</v>
      </c>
      <c r="N88">
        <v>1005</v>
      </c>
      <c r="O88" t="s">
        <v>452</v>
      </c>
      <c r="P88" t="s">
        <v>452</v>
      </c>
      <c r="Q88">
        <v>1</v>
      </c>
      <c r="X88">
        <v>107</v>
      </c>
      <c r="Y88">
        <v>3.38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107</v>
      </c>
      <c r="AH88">
        <v>2</v>
      </c>
      <c r="AI88">
        <v>46468080</v>
      </c>
      <c r="AJ88">
        <v>93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ROW(Source!A129)</f>
        <v>129</v>
      </c>
      <c r="B89">
        <v>46468086</v>
      </c>
      <c r="C89">
        <v>46468077</v>
      </c>
      <c r="D89">
        <v>42593759</v>
      </c>
      <c r="E89">
        <v>1</v>
      </c>
      <c r="F89">
        <v>1</v>
      </c>
      <c r="G89">
        <v>1</v>
      </c>
      <c r="H89">
        <v>3</v>
      </c>
      <c r="I89" t="s">
        <v>458</v>
      </c>
      <c r="J89" t="s">
        <v>459</v>
      </c>
      <c r="K89" t="s">
        <v>460</v>
      </c>
      <c r="L89">
        <v>1346</v>
      </c>
      <c r="N89">
        <v>1009</v>
      </c>
      <c r="O89" t="s">
        <v>448</v>
      </c>
      <c r="P89" t="s">
        <v>448</v>
      </c>
      <c r="Q89">
        <v>1</v>
      </c>
      <c r="X89">
        <v>22</v>
      </c>
      <c r="Y89">
        <v>16.16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22</v>
      </c>
      <c r="AH89">
        <v>2</v>
      </c>
      <c r="AI89">
        <v>46468081</v>
      </c>
      <c r="AJ89">
        <v>94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ROW(Source!A129)</f>
        <v>129</v>
      </c>
      <c r="B90">
        <v>46468087</v>
      </c>
      <c r="C90">
        <v>46468077</v>
      </c>
      <c r="D90">
        <v>42572018</v>
      </c>
      <c r="E90">
        <v>1</v>
      </c>
      <c r="F90">
        <v>1</v>
      </c>
      <c r="G90">
        <v>1</v>
      </c>
      <c r="H90">
        <v>3</v>
      </c>
      <c r="I90" t="s">
        <v>461</v>
      </c>
      <c r="J90" t="s">
        <v>462</v>
      </c>
      <c r="K90" t="s">
        <v>463</v>
      </c>
      <c r="L90">
        <v>1339</v>
      </c>
      <c r="N90">
        <v>1007</v>
      </c>
      <c r="O90" t="s">
        <v>139</v>
      </c>
      <c r="P90" t="s">
        <v>139</v>
      </c>
      <c r="Q90">
        <v>1</v>
      </c>
      <c r="X90">
        <v>0.26</v>
      </c>
      <c r="Y90">
        <v>438.09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0.26</v>
      </c>
      <c r="AH90">
        <v>2</v>
      </c>
      <c r="AI90">
        <v>46468082</v>
      </c>
      <c r="AJ90">
        <v>95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ROW(Source!A130)</f>
        <v>130</v>
      </c>
      <c r="B91">
        <v>46468114</v>
      </c>
      <c r="C91">
        <v>46468088</v>
      </c>
      <c r="D91">
        <v>42645565</v>
      </c>
      <c r="E91">
        <v>1</v>
      </c>
      <c r="F91">
        <v>1</v>
      </c>
      <c r="G91">
        <v>1</v>
      </c>
      <c r="H91">
        <v>1</v>
      </c>
      <c r="I91" t="s">
        <v>464</v>
      </c>
      <c r="J91" t="s">
        <v>3</v>
      </c>
      <c r="K91" t="s">
        <v>465</v>
      </c>
      <c r="L91">
        <v>1369</v>
      </c>
      <c r="N91">
        <v>1013</v>
      </c>
      <c r="O91" t="s">
        <v>387</v>
      </c>
      <c r="P91" t="s">
        <v>387</v>
      </c>
      <c r="Q91">
        <v>1</v>
      </c>
      <c r="X91">
        <v>278.88</v>
      </c>
      <c r="Y91">
        <v>0</v>
      </c>
      <c r="Z91">
        <v>0</v>
      </c>
      <c r="AA91">
        <v>0</v>
      </c>
      <c r="AB91">
        <v>7.84</v>
      </c>
      <c r="AC91">
        <v>0</v>
      </c>
      <c r="AD91">
        <v>1</v>
      </c>
      <c r="AE91">
        <v>1</v>
      </c>
      <c r="AF91" t="s">
        <v>203</v>
      </c>
      <c r="AG91">
        <v>1106.4563999999998</v>
      </c>
      <c r="AH91">
        <v>2</v>
      </c>
      <c r="AI91">
        <v>46468089</v>
      </c>
      <c r="AJ91">
        <v>96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ROW(Source!A130)</f>
        <v>130</v>
      </c>
      <c r="B92">
        <v>46468115</v>
      </c>
      <c r="C92">
        <v>46468088</v>
      </c>
      <c r="D92">
        <v>121548</v>
      </c>
      <c r="E92">
        <v>1</v>
      </c>
      <c r="F92">
        <v>1</v>
      </c>
      <c r="G92">
        <v>1</v>
      </c>
      <c r="H92">
        <v>1</v>
      </c>
      <c r="I92" t="s">
        <v>26</v>
      </c>
      <c r="J92" t="s">
        <v>3</v>
      </c>
      <c r="K92" t="s">
        <v>388</v>
      </c>
      <c r="L92">
        <v>608254</v>
      </c>
      <c r="N92">
        <v>1013</v>
      </c>
      <c r="O92" t="s">
        <v>389</v>
      </c>
      <c r="P92" t="s">
        <v>389</v>
      </c>
      <c r="Q92">
        <v>1</v>
      </c>
      <c r="X92">
        <v>17.829999999999998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2</v>
      </c>
      <c r="AF92" t="s">
        <v>170</v>
      </c>
      <c r="AG92">
        <v>25.630624999999995</v>
      </c>
      <c r="AH92">
        <v>2</v>
      </c>
      <c r="AI92">
        <v>46468090</v>
      </c>
      <c r="AJ92">
        <v>97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ROW(Source!A130)</f>
        <v>130</v>
      </c>
      <c r="B93">
        <v>46468116</v>
      </c>
      <c r="C93">
        <v>46468088</v>
      </c>
      <c r="D93">
        <v>42567157</v>
      </c>
      <c r="E93">
        <v>1</v>
      </c>
      <c r="F93">
        <v>1</v>
      </c>
      <c r="G93">
        <v>1</v>
      </c>
      <c r="H93">
        <v>2</v>
      </c>
      <c r="I93" t="s">
        <v>466</v>
      </c>
      <c r="J93" t="s">
        <v>467</v>
      </c>
      <c r="K93" t="s">
        <v>468</v>
      </c>
      <c r="L93">
        <v>1368</v>
      </c>
      <c r="N93">
        <v>1011</v>
      </c>
      <c r="O93" t="s">
        <v>393</v>
      </c>
      <c r="P93" t="s">
        <v>393</v>
      </c>
      <c r="Q93">
        <v>1</v>
      </c>
      <c r="X93">
        <v>0.87</v>
      </c>
      <c r="Y93">
        <v>0</v>
      </c>
      <c r="Z93">
        <v>88.87</v>
      </c>
      <c r="AA93">
        <v>12.62</v>
      </c>
      <c r="AB93">
        <v>0</v>
      </c>
      <c r="AC93">
        <v>0</v>
      </c>
      <c r="AD93">
        <v>1</v>
      </c>
      <c r="AE93">
        <v>0</v>
      </c>
      <c r="AF93" t="s">
        <v>170</v>
      </c>
      <c r="AG93">
        <v>1.2506249999999999</v>
      </c>
      <c r="AH93">
        <v>2</v>
      </c>
      <c r="AI93">
        <v>46468091</v>
      </c>
      <c r="AJ93">
        <v>98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ROW(Source!A130)</f>
        <v>130</v>
      </c>
      <c r="B94">
        <v>46468117</v>
      </c>
      <c r="C94">
        <v>46468088</v>
      </c>
      <c r="D94">
        <v>42567205</v>
      </c>
      <c r="E94">
        <v>1</v>
      </c>
      <c r="F94">
        <v>1</v>
      </c>
      <c r="G94">
        <v>1</v>
      </c>
      <c r="H94">
        <v>2</v>
      </c>
      <c r="I94" t="s">
        <v>469</v>
      </c>
      <c r="J94" t="s">
        <v>470</v>
      </c>
      <c r="K94" t="s">
        <v>471</v>
      </c>
      <c r="L94">
        <v>1368</v>
      </c>
      <c r="N94">
        <v>1011</v>
      </c>
      <c r="O94" t="s">
        <v>393</v>
      </c>
      <c r="P94" t="s">
        <v>393</v>
      </c>
      <c r="Q94">
        <v>1</v>
      </c>
      <c r="X94">
        <v>16.690000000000001</v>
      </c>
      <c r="Y94">
        <v>0</v>
      </c>
      <c r="Z94">
        <v>100.9</v>
      </c>
      <c r="AA94">
        <v>12.62</v>
      </c>
      <c r="AB94">
        <v>0</v>
      </c>
      <c r="AC94">
        <v>0</v>
      </c>
      <c r="AD94">
        <v>1</v>
      </c>
      <c r="AE94">
        <v>0</v>
      </c>
      <c r="AF94" t="s">
        <v>170</v>
      </c>
      <c r="AG94">
        <v>23.991875</v>
      </c>
      <c r="AH94">
        <v>2</v>
      </c>
      <c r="AI94">
        <v>46468092</v>
      </c>
      <c r="AJ94">
        <v>99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ROW(Source!A130)</f>
        <v>130</v>
      </c>
      <c r="B95">
        <v>46468118</v>
      </c>
      <c r="C95">
        <v>46468088</v>
      </c>
      <c r="D95">
        <v>42567318</v>
      </c>
      <c r="E95">
        <v>1</v>
      </c>
      <c r="F95">
        <v>1</v>
      </c>
      <c r="G95">
        <v>1</v>
      </c>
      <c r="H95">
        <v>2</v>
      </c>
      <c r="I95" t="s">
        <v>432</v>
      </c>
      <c r="J95" t="s">
        <v>433</v>
      </c>
      <c r="K95" t="s">
        <v>434</v>
      </c>
      <c r="L95">
        <v>1368</v>
      </c>
      <c r="N95">
        <v>1011</v>
      </c>
      <c r="O95" t="s">
        <v>393</v>
      </c>
      <c r="P95" t="s">
        <v>393</v>
      </c>
      <c r="Q95">
        <v>1</v>
      </c>
      <c r="X95">
        <v>0.27</v>
      </c>
      <c r="Y95">
        <v>0</v>
      </c>
      <c r="Z95">
        <v>88.87</v>
      </c>
      <c r="AA95">
        <v>9.4</v>
      </c>
      <c r="AB95">
        <v>0</v>
      </c>
      <c r="AC95">
        <v>0</v>
      </c>
      <c r="AD95">
        <v>1</v>
      </c>
      <c r="AE95">
        <v>0</v>
      </c>
      <c r="AF95" t="s">
        <v>170</v>
      </c>
      <c r="AG95">
        <v>0.388125</v>
      </c>
      <c r="AH95">
        <v>2</v>
      </c>
      <c r="AI95">
        <v>46468093</v>
      </c>
      <c r="AJ95">
        <v>100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ROW(Source!A130)</f>
        <v>130</v>
      </c>
      <c r="B96">
        <v>46468119</v>
      </c>
      <c r="C96">
        <v>46468088</v>
      </c>
      <c r="D96">
        <v>42567594</v>
      </c>
      <c r="E96">
        <v>1</v>
      </c>
      <c r="F96">
        <v>1</v>
      </c>
      <c r="G96">
        <v>1</v>
      </c>
      <c r="H96">
        <v>2</v>
      </c>
      <c r="I96" t="s">
        <v>472</v>
      </c>
      <c r="J96" t="s">
        <v>473</v>
      </c>
      <c r="K96" t="s">
        <v>474</v>
      </c>
      <c r="L96">
        <v>1368</v>
      </c>
      <c r="N96">
        <v>1011</v>
      </c>
      <c r="O96" t="s">
        <v>393</v>
      </c>
      <c r="P96" t="s">
        <v>393</v>
      </c>
      <c r="Q96">
        <v>1</v>
      </c>
      <c r="X96">
        <v>83.1</v>
      </c>
      <c r="Y96">
        <v>0</v>
      </c>
      <c r="Z96">
        <v>8.1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170</v>
      </c>
      <c r="AG96">
        <v>119.45625</v>
      </c>
      <c r="AH96">
        <v>2</v>
      </c>
      <c r="AI96">
        <v>46468094</v>
      </c>
      <c r="AJ96">
        <v>101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ROW(Source!A130)</f>
        <v>130</v>
      </c>
      <c r="B97">
        <v>46468120</v>
      </c>
      <c r="C97">
        <v>46468088</v>
      </c>
      <c r="D97">
        <v>42568333</v>
      </c>
      <c r="E97">
        <v>1</v>
      </c>
      <c r="F97">
        <v>1</v>
      </c>
      <c r="G97">
        <v>1</v>
      </c>
      <c r="H97">
        <v>2</v>
      </c>
      <c r="I97" t="s">
        <v>475</v>
      </c>
      <c r="J97" t="s">
        <v>476</v>
      </c>
      <c r="K97" t="s">
        <v>477</v>
      </c>
      <c r="L97">
        <v>1368</v>
      </c>
      <c r="N97">
        <v>1011</v>
      </c>
      <c r="O97" t="s">
        <v>393</v>
      </c>
      <c r="P97" t="s">
        <v>393</v>
      </c>
      <c r="Q97">
        <v>1</v>
      </c>
      <c r="X97">
        <v>14.56</v>
      </c>
      <c r="Y97">
        <v>0</v>
      </c>
      <c r="Z97">
        <v>1.9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170</v>
      </c>
      <c r="AG97">
        <v>20.929999999999996</v>
      </c>
      <c r="AH97">
        <v>2</v>
      </c>
      <c r="AI97">
        <v>46468095</v>
      </c>
      <c r="AJ97">
        <v>102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ROW(Source!A130)</f>
        <v>130</v>
      </c>
      <c r="B98">
        <v>46468121</v>
      </c>
      <c r="C98">
        <v>46468088</v>
      </c>
      <c r="D98">
        <v>42570399</v>
      </c>
      <c r="E98">
        <v>1</v>
      </c>
      <c r="F98">
        <v>1</v>
      </c>
      <c r="G98">
        <v>1</v>
      </c>
      <c r="H98">
        <v>2</v>
      </c>
      <c r="I98" t="s">
        <v>478</v>
      </c>
      <c r="J98" t="s">
        <v>479</v>
      </c>
      <c r="K98" t="s">
        <v>480</v>
      </c>
      <c r="L98">
        <v>1368</v>
      </c>
      <c r="N98">
        <v>1011</v>
      </c>
      <c r="O98" t="s">
        <v>393</v>
      </c>
      <c r="P98" t="s">
        <v>393</v>
      </c>
      <c r="Q98">
        <v>1</v>
      </c>
      <c r="X98">
        <v>0.52</v>
      </c>
      <c r="Y98">
        <v>0</v>
      </c>
      <c r="Z98">
        <v>3.27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170</v>
      </c>
      <c r="AG98">
        <v>0.74749999999999994</v>
      </c>
      <c r="AH98">
        <v>2</v>
      </c>
      <c r="AI98">
        <v>46468096</v>
      </c>
      <c r="AJ98">
        <v>103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ROW(Source!A130)</f>
        <v>130</v>
      </c>
      <c r="B99">
        <v>46468122</v>
      </c>
      <c r="C99">
        <v>46468088</v>
      </c>
      <c r="D99">
        <v>42570797</v>
      </c>
      <c r="E99">
        <v>1</v>
      </c>
      <c r="F99">
        <v>1</v>
      </c>
      <c r="G99">
        <v>1</v>
      </c>
      <c r="H99">
        <v>2</v>
      </c>
      <c r="I99" t="s">
        <v>442</v>
      </c>
      <c r="J99" t="s">
        <v>443</v>
      </c>
      <c r="K99" t="s">
        <v>444</v>
      </c>
      <c r="L99">
        <v>1368</v>
      </c>
      <c r="N99">
        <v>1011</v>
      </c>
      <c r="O99" t="s">
        <v>393</v>
      </c>
      <c r="P99" t="s">
        <v>393</v>
      </c>
      <c r="Q99">
        <v>1</v>
      </c>
      <c r="X99">
        <v>1.31</v>
      </c>
      <c r="Y99">
        <v>0</v>
      </c>
      <c r="Z99">
        <v>60.14</v>
      </c>
      <c r="AA99">
        <v>10.84</v>
      </c>
      <c r="AB99">
        <v>0</v>
      </c>
      <c r="AC99">
        <v>0</v>
      </c>
      <c r="AD99">
        <v>1</v>
      </c>
      <c r="AE99">
        <v>0</v>
      </c>
      <c r="AF99" t="s">
        <v>170</v>
      </c>
      <c r="AG99">
        <v>1.8831250000000002</v>
      </c>
      <c r="AH99">
        <v>2</v>
      </c>
      <c r="AI99">
        <v>46468097</v>
      </c>
      <c r="AJ99">
        <v>104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ROW(Source!A130)</f>
        <v>130</v>
      </c>
      <c r="B100">
        <v>46468123</v>
      </c>
      <c r="C100">
        <v>46468088</v>
      </c>
      <c r="D100">
        <v>42598779</v>
      </c>
      <c r="E100">
        <v>1</v>
      </c>
      <c r="F100">
        <v>1</v>
      </c>
      <c r="G100">
        <v>1</v>
      </c>
      <c r="H100">
        <v>3</v>
      </c>
      <c r="I100" t="s">
        <v>481</v>
      </c>
      <c r="J100" t="s">
        <v>482</v>
      </c>
      <c r="K100" t="s">
        <v>483</v>
      </c>
      <c r="L100">
        <v>1348</v>
      </c>
      <c r="N100">
        <v>1009</v>
      </c>
      <c r="O100" t="s">
        <v>184</v>
      </c>
      <c r="P100" t="s">
        <v>184</v>
      </c>
      <c r="Q100">
        <v>1000</v>
      </c>
      <c r="X100">
        <v>1.4999999999999999E-2</v>
      </c>
      <c r="Y100">
        <v>4270.78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1.4999999999999999E-2</v>
      </c>
      <c r="AH100">
        <v>2</v>
      </c>
      <c r="AI100">
        <v>46468098</v>
      </c>
      <c r="AJ100">
        <v>105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ROW(Source!A130)</f>
        <v>130</v>
      </c>
      <c r="B101">
        <v>46468124</v>
      </c>
      <c r="C101">
        <v>46468088</v>
      </c>
      <c r="D101">
        <v>42599326</v>
      </c>
      <c r="E101">
        <v>1</v>
      </c>
      <c r="F101">
        <v>1</v>
      </c>
      <c r="G101">
        <v>1</v>
      </c>
      <c r="H101">
        <v>3</v>
      </c>
      <c r="I101" t="s">
        <v>484</v>
      </c>
      <c r="J101" t="s">
        <v>485</v>
      </c>
      <c r="K101" t="s">
        <v>486</v>
      </c>
      <c r="L101">
        <v>1348</v>
      </c>
      <c r="N101">
        <v>1009</v>
      </c>
      <c r="O101" t="s">
        <v>184</v>
      </c>
      <c r="P101" t="s">
        <v>184</v>
      </c>
      <c r="Q101">
        <v>1000</v>
      </c>
      <c r="X101">
        <v>0.106</v>
      </c>
      <c r="Y101">
        <v>9799.7199999999993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0.106</v>
      </c>
      <c r="AH101">
        <v>2</v>
      </c>
      <c r="AI101">
        <v>46468099</v>
      </c>
      <c r="AJ101">
        <v>106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ROW(Source!A130)</f>
        <v>130</v>
      </c>
      <c r="B102">
        <v>46468125</v>
      </c>
      <c r="C102">
        <v>46468088</v>
      </c>
      <c r="D102">
        <v>42593928</v>
      </c>
      <c r="E102">
        <v>1</v>
      </c>
      <c r="F102">
        <v>1</v>
      </c>
      <c r="G102">
        <v>1</v>
      </c>
      <c r="H102">
        <v>3</v>
      </c>
      <c r="I102" t="s">
        <v>487</v>
      </c>
      <c r="J102" t="s">
        <v>488</v>
      </c>
      <c r="K102" t="s">
        <v>489</v>
      </c>
      <c r="L102">
        <v>1327</v>
      </c>
      <c r="N102">
        <v>1005</v>
      </c>
      <c r="O102" t="s">
        <v>452</v>
      </c>
      <c r="P102" t="s">
        <v>452</v>
      </c>
      <c r="Q102">
        <v>1</v>
      </c>
      <c r="X102">
        <v>8.9</v>
      </c>
      <c r="Y102">
        <v>10.61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8.9</v>
      </c>
      <c r="AH102">
        <v>2</v>
      </c>
      <c r="AI102">
        <v>46468100</v>
      </c>
      <c r="AJ102">
        <v>107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ROW(Source!A130)</f>
        <v>130</v>
      </c>
      <c r="B103">
        <v>46468126</v>
      </c>
      <c r="C103">
        <v>46468088</v>
      </c>
      <c r="D103">
        <v>42599638</v>
      </c>
      <c r="E103">
        <v>1</v>
      </c>
      <c r="F103">
        <v>1</v>
      </c>
      <c r="G103">
        <v>1</v>
      </c>
      <c r="H103">
        <v>3</v>
      </c>
      <c r="I103" t="s">
        <v>490</v>
      </c>
      <c r="J103" t="s">
        <v>491</v>
      </c>
      <c r="K103" t="s">
        <v>492</v>
      </c>
      <c r="L103">
        <v>1348</v>
      </c>
      <c r="N103">
        <v>1009</v>
      </c>
      <c r="O103" t="s">
        <v>184</v>
      </c>
      <c r="P103" t="s">
        <v>184</v>
      </c>
      <c r="Q103">
        <v>1000</v>
      </c>
      <c r="X103">
        <v>8.0000000000000002E-3</v>
      </c>
      <c r="Y103">
        <v>11456.88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8.0000000000000002E-3</v>
      </c>
      <c r="AH103">
        <v>2</v>
      </c>
      <c r="AI103">
        <v>46468101</v>
      </c>
      <c r="AJ103">
        <v>108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ROW(Source!A130)</f>
        <v>130</v>
      </c>
      <c r="B104">
        <v>46468127</v>
      </c>
      <c r="C104">
        <v>46468088</v>
      </c>
      <c r="D104">
        <v>42601169</v>
      </c>
      <c r="E104">
        <v>1</v>
      </c>
      <c r="F104">
        <v>1</v>
      </c>
      <c r="G104">
        <v>1</v>
      </c>
      <c r="H104">
        <v>3</v>
      </c>
      <c r="I104" t="s">
        <v>493</v>
      </c>
      <c r="J104" t="s">
        <v>494</v>
      </c>
      <c r="K104" t="s">
        <v>495</v>
      </c>
      <c r="L104">
        <v>1339</v>
      </c>
      <c r="N104">
        <v>1007</v>
      </c>
      <c r="O104" t="s">
        <v>139</v>
      </c>
      <c r="P104" t="s">
        <v>139</v>
      </c>
      <c r="Q104">
        <v>1</v>
      </c>
      <c r="X104">
        <v>0.22</v>
      </c>
      <c r="Y104">
        <v>606.29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0.22</v>
      </c>
      <c r="AH104">
        <v>2</v>
      </c>
      <c r="AI104">
        <v>46468102</v>
      </c>
      <c r="AJ104">
        <v>109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ROW(Source!A130)</f>
        <v>130</v>
      </c>
      <c r="B105">
        <v>46468128</v>
      </c>
      <c r="C105">
        <v>46468088</v>
      </c>
      <c r="D105">
        <v>42600692</v>
      </c>
      <c r="E105">
        <v>1</v>
      </c>
      <c r="F105">
        <v>1</v>
      </c>
      <c r="G105">
        <v>1</v>
      </c>
      <c r="H105">
        <v>3</v>
      </c>
      <c r="I105" t="s">
        <v>496</v>
      </c>
      <c r="J105" t="s">
        <v>497</v>
      </c>
      <c r="K105" t="s">
        <v>498</v>
      </c>
      <c r="L105">
        <v>1339</v>
      </c>
      <c r="N105">
        <v>1007</v>
      </c>
      <c r="O105" t="s">
        <v>139</v>
      </c>
      <c r="P105" t="s">
        <v>139</v>
      </c>
      <c r="Q105">
        <v>1</v>
      </c>
      <c r="X105">
        <v>0.02</v>
      </c>
      <c r="Y105">
        <v>1397.5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3</v>
      </c>
      <c r="AG105">
        <v>0.02</v>
      </c>
      <c r="AH105">
        <v>2</v>
      </c>
      <c r="AI105">
        <v>46468103</v>
      </c>
      <c r="AJ105">
        <v>110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ROW(Source!A130)</f>
        <v>130</v>
      </c>
      <c r="B106">
        <v>46468129</v>
      </c>
      <c r="C106">
        <v>46468088</v>
      </c>
      <c r="D106">
        <v>42600981</v>
      </c>
      <c r="E106">
        <v>1</v>
      </c>
      <c r="F106">
        <v>1</v>
      </c>
      <c r="G106">
        <v>1</v>
      </c>
      <c r="H106">
        <v>3</v>
      </c>
      <c r="I106" t="s">
        <v>499</v>
      </c>
      <c r="J106" t="s">
        <v>500</v>
      </c>
      <c r="K106" t="s">
        <v>501</v>
      </c>
      <c r="L106">
        <v>1339</v>
      </c>
      <c r="N106">
        <v>1007</v>
      </c>
      <c r="O106" t="s">
        <v>139</v>
      </c>
      <c r="P106" t="s">
        <v>139</v>
      </c>
      <c r="Q106">
        <v>1</v>
      </c>
      <c r="X106">
        <v>0.02</v>
      </c>
      <c r="Y106">
        <v>1194.54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0.02</v>
      </c>
      <c r="AH106">
        <v>2</v>
      </c>
      <c r="AI106">
        <v>46468104</v>
      </c>
      <c r="AJ106">
        <v>111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ROW(Source!A130)</f>
        <v>130</v>
      </c>
      <c r="B107">
        <v>46468130</v>
      </c>
      <c r="C107">
        <v>46468088</v>
      </c>
      <c r="D107">
        <v>42600997</v>
      </c>
      <c r="E107">
        <v>1</v>
      </c>
      <c r="F107">
        <v>1</v>
      </c>
      <c r="G107">
        <v>1</v>
      </c>
      <c r="H107">
        <v>3</v>
      </c>
      <c r="I107" t="s">
        <v>502</v>
      </c>
      <c r="J107" t="s">
        <v>503</v>
      </c>
      <c r="K107" t="s">
        <v>504</v>
      </c>
      <c r="L107">
        <v>1339</v>
      </c>
      <c r="N107">
        <v>1007</v>
      </c>
      <c r="O107" t="s">
        <v>139</v>
      </c>
      <c r="P107" t="s">
        <v>139</v>
      </c>
      <c r="Q107">
        <v>1</v>
      </c>
      <c r="X107">
        <v>0.28000000000000003</v>
      </c>
      <c r="Y107">
        <v>1146.69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0.28000000000000003</v>
      </c>
      <c r="AH107">
        <v>2</v>
      </c>
      <c r="AI107">
        <v>46468105</v>
      </c>
      <c r="AJ107">
        <v>112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ROW(Source!A130)</f>
        <v>130</v>
      </c>
      <c r="B108">
        <v>46468131</v>
      </c>
      <c r="C108">
        <v>46468088</v>
      </c>
      <c r="D108">
        <v>42589192</v>
      </c>
      <c r="E108">
        <v>1</v>
      </c>
      <c r="F108">
        <v>1</v>
      </c>
      <c r="G108">
        <v>1</v>
      </c>
      <c r="H108">
        <v>3</v>
      </c>
      <c r="I108" t="s">
        <v>505</v>
      </c>
      <c r="J108" t="s">
        <v>506</v>
      </c>
      <c r="K108" t="s">
        <v>507</v>
      </c>
      <c r="L108">
        <v>1327</v>
      </c>
      <c r="N108">
        <v>1005</v>
      </c>
      <c r="O108" t="s">
        <v>452</v>
      </c>
      <c r="P108" t="s">
        <v>452</v>
      </c>
      <c r="Q108">
        <v>1</v>
      </c>
      <c r="X108">
        <v>20.7</v>
      </c>
      <c r="Y108">
        <v>54.99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20.7</v>
      </c>
      <c r="AH108">
        <v>2</v>
      </c>
      <c r="AI108">
        <v>46468106</v>
      </c>
      <c r="AJ108">
        <v>113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ROW(Source!A130)</f>
        <v>130</v>
      </c>
      <c r="B109">
        <v>46468132</v>
      </c>
      <c r="C109">
        <v>46468088</v>
      </c>
      <c r="D109">
        <v>42589206</v>
      </c>
      <c r="E109">
        <v>1</v>
      </c>
      <c r="F109">
        <v>1</v>
      </c>
      <c r="G109">
        <v>1</v>
      </c>
      <c r="H109">
        <v>3</v>
      </c>
      <c r="I109" t="s">
        <v>182</v>
      </c>
      <c r="J109" t="s">
        <v>185</v>
      </c>
      <c r="K109" t="s">
        <v>183</v>
      </c>
      <c r="L109">
        <v>1348</v>
      </c>
      <c r="N109">
        <v>1009</v>
      </c>
      <c r="O109" t="s">
        <v>184</v>
      </c>
      <c r="P109" t="s">
        <v>184</v>
      </c>
      <c r="Q109">
        <v>1000</v>
      </c>
      <c r="X109">
        <v>3.2</v>
      </c>
      <c r="Y109">
        <v>5416.2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</v>
      </c>
      <c r="AG109">
        <v>3.2</v>
      </c>
      <c r="AH109">
        <v>2</v>
      </c>
      <c r="AI109">
        <v>46468108</v>
      </c>
      <c r="AJ109">
        <v>115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ROW(Source!A130)</f>
        <v>130</v>
      </c>
      <c r="B110">
        <v>46468133</v>
      </c>
      <c r="C110">
        <v>46468088</v>
      </c>
      <c r="D110">
        <v>42571927</v>
      </c>
      <c r="E110">
        <v>1</v>
      </c>
      <c r="F110">
        <v>1</v>
      </c>
      <c r="G110">
        <v>1</v>
      </c>
      <c r="H110">
        <v>3</v>
      </c>
      <c r="I110" t="s">
        <v>187</v>
      </c>
      <c r="J110" t="s">
        <v>189</v>
      </c>
      <c r="K110" t="s">
        <v>188</v>
      </c>
      <c r="L110">
        <v>1339</v>
      </c>
      <c r="N110">
        <v>1007</v>
      </c>
      <c r="O110" t="s">
        <v>139</v>
      </c>
      <c r="P110" t="s">
        <v>139</v>
      </c>
      <c r="Q110">
        <v>1</v>
      </c>
      <c r="X110">
        <v>101.5</v>
      </c>
      <c r="Y110">
        <v>747.74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101.5</v>
      </c>
      <c r="AH110">
        <v>2</v>
      </c>
      <c r="AI110">
        <v>46468109</v>
      </c>
      <c r="AJ110">
        <v>116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ROW(Source!A130)</f>
        <v>130</v>
      </c>
      <c r="B111">
        <v>46468134</v>
      </c>
      <c r="C111">
        <v>46468088</v>
      </c>
      <c r="D111">
        <v>42580849</v>
      </c>
      <c r="E111">
        <v>1</v>
      </c>
      <c r="F111">
        <v>1</v>
      </c>
      <c r="G111">
        <v>1</v>
      </c>
      <c r="H111">
        <v>3</v>
      </c>
      <c r="I111" t="s">
        <v>508</v>
      </c>
      <c r="J111" t="s">
        <v>509</v>
      </c>
      <c r="K111" t="s">
        <v>510</v>
      </c>
      <c r="L111">
        <v>1348</v>
      </c>
      <c r="N111">
        <v>1009</v>
      </c>
      <c r="O111" t="s">
        <v>184</v>
      </c>
      <c r="P111" t="s">
        <v>184</v>
      </c>
      <c r="Q111">
        <v>1000</v>
      </c>
      <c r="X111">
        <v>0.03</v>
      </c>
      <c r="Y111">
        <v>836.55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0.03</v>
      </c>
      <c r="AH111">
        <v>2</v>
      </c>
      <c r="AI111">
        <v>46468110</v>
      </c>
      <c r="AJ111">
        <v>117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ROW(Source!A130)</f>
        <v>130</v>
      </c>
      <c r="B112">
        <v>46468135</v>
      </c>
      <c r="C112">
        <v>46468088</v>
      </c>
      <c r="D112">
        <v>42582070</v>
      </c>
      <c r="E112">
        <v>1</v>
      </c>
      <c r="F112">
        <v>1</v>
      </c>
      <c r="G112">
        <v>1</v>
      </c>
      <c r="H112">
        <v>3</v>
      </c>
      <c r="I112" t="s">
        <v>435</v>
      </c>
      <c r="J112" t="s">
        <v>436</v>
      </c>
      <c r="K112" t="s">
        <v>437</v>
      </c>
      <c r="L112">
        <v>1339</v>
      </c>
      <c r="N112">
        <v>1007</v>
      </c>
      <c r="O112" t="s">
        <v>139</v>
      </c>
      <c r="P112" t="s">
        <v>139</v>
      </c>
      <c r="Q112">
        <v>1</v>
      </c>
      <c r="X112">
        <v>7.4880000000000004</v>
      </c>
      <c r="Y112">
        <v>1.3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7.4880000000000004</v>
      </c>
      <c r="AH112">
        <v>2</v>
      </c>
      <c r="AI112">
        <v>46468111</v>
      </c>
      <c r="AJ112">
        <v>118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ROW(Source!A171)</f>
        <v>171</v>
      </c>
      <c r="B113">
        <v>46468146</v>
      </c>
      <c r="C113">
        <v>46468141</v>
      </c>
      <c r="D113">
        <v>42640871</v>
      </c>
      <c r="E113">
        <v>1</v>
      </c>
      <c r="F113">
        <v>1</v>
      </c>
      <c r="G113">
        <v>1</v>
      </c>
      <c r="H113">
        <v>1</v>
      </c>
      <c r="I113" t="s">
        <v>385</v>
      </c>
      <c r="J113" t="s">
        <v>3</v>
      </c>
      <c r="K113" t="s">
        <v>386</v>
      </c>
      <c r="L113">
        <v>1369</v>
      </c>
      <c r="N113">
        <v>1013</v>
      </c>
      <c r="O113" t="s">
        <v>387</v>
      </c>
      <c r="P113" t="s">
        <v>387</v>
      </c>
      <c r="Q113">
        <v>1</v>
      </c>
      <c r="X113">
        <v>12.53</v>
      </c>
      <c r="Y113">
        <v>0</v>
      </c>
      <c r="Z113">
        <v>0</v>
      </c>
      <c r="AA113">
        <v>0</v>
      </c>
      <c r="AB113">
        <v>7.97</v>
      </c>
      <c r="AC113">
        <v>0</v>
      </c>
      <c r="AD113">
        <v>1</v>
      </c>
      <c r="AE113">
        <v>1</v>
      </c>
      <c r="AF113" t="s">
        <v>31</v>
      </c>
      <c r="AG113">
        <v>14.409499999999998</v>
      </c>
      <c r="AH113">
        <v>2</v>
      </c>
      <c r="AI113">
        <v>46468142</v>
      </c>
      <c r="AJ113">
        <v>121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ROW(Source!A171)</f>
        <v>171</v>
      </c>
      <c r="B114">
        <v>46468147</v>
      </c>
      <c r="C114">
        <v>46468141</v>
      </c>
      <c r="D114">
        <v>121548</v>
      </c>
      <c r="E114">
        <v>1</v>
      </c>
      <c r="F114">
        <v>1</v>
      </c>
      <c r="G114">
        <v>1</v>
      </c>
      <c r="H114">
        <v>1</v>
      </c>
      <c r="I114" t="s">
        <v>26</v>
      </c>
      <c r="J114" t="s">
        <v>3</v>
      </c>
      <c r="K114" t="s">
        <v>388</v>
      </c>
      <c r="L114">
        <v>608254</v>
      </c>
      <c r="N114">
        <v>1013</v>
      </c>
      <c r="O114" t="s">
        <v>389</v>
      </c>
      <c r="P114" t="s">
        <v>389</v>
      </c>
      <c r="Q114">
        <v>1</v>
      </c>
      <c r="X114">
        <v>3.04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2</v>
      </c>
      <c r="AF114" t="s">
        <v>31</v>
      </c>
      <c r="AG114">
        <v>3.4959999999999996</v>
      </c>
      <c r="AH114">
        <v>2</v>
      </c>
      <c r="AI114">
        <v>46468143</v>
      </c>
      <c r="AJ114">
        <v>122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ROW(Source!A171)</f>
        <v>171</v>
      </c>
      <c r="B115">
        <v>46468148</v>
      </c>
      <c r="C115">
        <v>46468141</v>
      </c>
      <c r="D115">
        <v>42567659</v>
      </c>
      <c r="E115">
        <v>1</v>
      </c>
      <c r="F115">
        <v>1</v>
      </c>
      <c r="G115">
        <v>1</v>
      </c>
      <c r="H115">
        <v>2</v>
      </c>
      <c r="I115" t="s">
        <v>394</v>
      </c>
      <c r="J115" t="s">
        <v>395</v>
      </c>
      <c r="K115" t="s">
        <v>396</v>
      </c>
      <c r="L115">
        <v>1368</v>
      </c>
      <c r="N115">
        <v>1011</v>
      </c>
      <c r="O115" t="s">
        <v>393</v>
      </c>
      <c r="P115" t="s">
        <v>393</v>
      </c>
      <c r="Q115">
        <v>1</v>
      </c>
      <c r="X115">
        <v>3.04</v>
      </c>
      <c r="Y115">
        <v>0</v>
      </c>
      <c r="Z115">
        <v>98.87</v>
      </c>
      <c r="AA115">
        <v>9.4</v>
      </c>
      <c r="AB115">
        <v>0</v>
      </c>
      <c r="AC115">
        <v>0</v>
      </c>
      <c r="AD115">
        <v>1</v>
      </c>
      <c r="AE115">
        <v>0</v>
      </c>
      <c r="AF115" t="s">
        <v>31</v>
      </c>
      <c r="AG115">
        <v>3.4959999999999996</v>
      </c>
      <c r="AH115">
        <v>2</v>
      </c>
      <c r="AI115">
        <v>46468144</v>
      </c>
      <c r="AJ115">
        <v>123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ROW(Source!A171)</f>
        <v>171</v>
      </c>
      <c r="B116">
        <v>46468149</v>
      </c>
      <c r="C116">
        <v>46468141</v>
      </c>
      <c r="D116">
        <v>42570360</v>
      </c>
      <c r="E116">
        <v>1</v>
      </c>
      <c r="F116">
        <v>1</v>
      </c>
      <c r="G116">
        <v>1</v>
      </c>
      <c r="H116">
        <v>2</v>
      </c>
      <c r="I116" t="s">
        <v>427</v>
      </c>
      <c r="J116" t="s">
        <v>428</v>
      </c>
      <c r="K116" t="s">
        <v>429</v>
      </c>
      <c r="L116">
        <v>1368</v>
      </c>
      <c r="N116">
        <v>1011</v>
      </c>
      <c r="O116" t="s">
        <v>393</v>
      </c>
      <c r="P116" t="s">
        <v>393</v>
      </c>
      <c r="Q116">
        <v>1</v>
      </c>
      <c r="X116">
        <v>12.18</v>
      </c>
      <c r="Y116">
        <v>0</v>
      </c>
      <c r="Z116">
        <v>0.55000000000000004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31</v>
      </c>
      <c r="AG116">
        <v>14.006999999999998</v>
      </c>
      <c r="AH116">
        <v>2</v>
      </c>
      <c r="AI116">
        <v>46468145</v>
      </c>
      <c r="AJ116">
        <v>124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ROW(Source!A172)</f>
        <v>172</v>
      </c>
      <c r="B117">
        <v>46417197</v>
      </c>
      <c r="C117">
        <v>46417188</v>
      </c>
      <c r="D117">
        <v>42645178</v>
      </c>
      <c r="E117">
        <v>1</v>
      </c>
      <c r="F117">
        <v>1</v>
      </c>
      <c r="G117">
        <v>1</v>
      </c>
      <c r="H117">
        <v>1</v>
      </c>
      <c r="I117" t="s">
        <v>430</v>
      </c>
      <c r="J117" t="s">
        <v>3</v>
      </c>
      <c r="K117" t="s">
        <v>431</v>
      </c>
      <c r="L117">
        <v>1369</v>
      </c>
      <c r="N117">
        <v>1013</v>
      </c>
      <c r="O117" t="s">
        <v>387</v>
      </c>
      <c r="P117" t="s">
        <v>387</v>
      </c>
      <c r="Q117">
        <v>1</v>
      </c>
      <c r="X117">
        <v>3.41</v>
      </c>
      <c r="Y117">
        <v>0</v>
      </c>
      <c r="Z117">
        <v>0</v>
      </c>
      <c r="AA117">
        <v>0</v>
      </c>
      <c r="AB117">
        <v>8.07</v>
      </c>
      <c r="AC117">
        <v>0</v>
      </c>
      <c r="AD117">
        <v>1</v>
      </c>
      <c r="AE117">
        <v>1</v>
      </c>
      <c r="AF117" t="s">
        <v>31</v>
      </c>
      <c r="AG117">
        <v>3.9215</v>
      </c>
      <c r="AH117">
        <v>2</v>
      </c>
      <c r="AI117">
        <v>46417189</v>
      </c>
      <c r="AJ117">
        <v>125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ROW(Source!A172)</f>
        <v>172</v>
      </c>
      <c r="B118">
        <v>46417198</v>
      </c>
      <c r="C118">
        <v>46417188</v>
      </c>
      <c r="D118">
        <v>121548</v>
      </c>
      <c r="E118">
        <v>1</v>
      </c>
      <c r="F118">
        <v>1</v>
      </c>
      <c r="G118">
        <v>1</v>
      </c>
      <c r="H118">
        <v>1</v>
      </c>
      <c r="I118" t="s">
        <v>26</v>
      </c>
      <c r="J118" t="s">
        <v>3</v>
      </c>
      <c r="K118" t="s">
        <v>388</v>
      </c>
      <c r="L118">
        <v>608254</v>
      </c>
      <c r="N118">
        <v>1013</v>
      </c>
      <c r="O118" t="s">
        <v>389</v>
      </c>
      <c r="P118" t="s">
        <v>389</v>
      </c>
      <c r="Q118">
        <v>1</v>
      </c>
      <c r="X118">
        <v>0.3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2</v>
      </c>
      <c r="AF118" t="s">
        <v>31</v>
      </c>
      <c r="AG118">
        <v>0.34499999999999997</v>
      </c>
      <c r="AH118">
        <v>2</v>
      </c>
      <c r="AI118">
        <v>46417190</v>
      </c>
      <c r="AJ118">
        <v>126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ROW(Source!A172)</f>
        <v>172</v>
      </c>
      <c r="B119">
        <v>46417199</v>
      </c>
      <c r="C119">
        <v>46417188</v>
      </c>
      <c r="D119">
        <v>42567318</v>
      </c>
      <c r="E119">
        <v>1</v>
      </c>
      <c r="F119">
        <v>1</v>
      </c>
      <c r="G119">
        <v>1</v>
      </c>
      <c r="H119">
        <v>2</v>
      </c>
      <c r="I119" t="s">
        <v>432</v>
      </c>
      <c r="J119" t="s">
        <v>433</v>
      </c>
      <c r="K119" t="s">
        <v>434</v>
      </c>
      <c r="L119">
        <v>1368</v>
      </c>
      <c r="N119">
        <v>1011</v>
      </c>
      <c r="O119" t="s">
        <v>393</v>
      </c>
      <c r="P119" t="s">
        <v>393</v>
      </c>
      <c r="Q119">
        <v>1</v>
      </c>
      <c r="X119">
        <v>0.08</v>
      </c>
      <c r="Y119">
        <v>0</v>
      </c>
      <c r="Z119">
        <v>88.87</v>
      </c>
      <c r="AA119">
        <v>9.4</v>
      </c>
      <c r="AB119">
        <v>0</v>
      </c>
      <c r="AC119">
        <v>0</v>
      </c>
      <c r="AD119">
        <v>1</v>
      </c>
      <c r="AE119">
        <v>0</v>
      </c>
      <c r="AF119" t="s">
        <v>31</v>
      </c>
      <c r="AG119">
        <v>9.1999999999999998E-2</v>
      </c>
      <c r="AH119">
        <v>2</v>
      </c>
      <c r="AI119">
        <v>46417191</v>
      </c>
      <c r="AJ119">
        <v>127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ROW(Source!A172)</f>
        <v>172</v>
      </c>
      <c r="B120">
        <v>46417200</v>
      </c>
      <c r="C120">
        <v>46417188</v>
      </c>
      <c r="D120">
        <v>42567659</v>
      </c>
      <c r="E120">
        <v>1</v>
      </c>
      <c r="F120">
        <v>1</v>
      </c>
      <c r="G120">
        <v>1</v>
      </c>
      <c r="H120">
        <v>2</v>
      </c>
      <c r="I120" t="s">
        <v>394</v>
      </c>
      <c r="J120" t="s">
        <v>395</v>
      </c>
      <c r="K120" t="s">
        <v>396</v>
      </c>
      <c r="L120">
        <v>1368</v>
      </c>
      <c r="N120">
        <v>1011</v>
      </c>
      <c r="O120" t="s">
        <v>393</v>
      </c>
      <c r="P120" t="s">
        <v>393</v>
      </c>
      <c r="Q120">
        <v>1</v>
      </c>
      <c r="X120">
        <v>0.22</v>
      </c>
      <c r="Y120">
        <v>0</v>
      </c>
      <c r="Z120">
        <v>98.87</v>
      </c>
      <c r="AA120">
        <v>9.4</v>
      </c>
      <c r="AB120">
        <v>0</v>
      </c>
      <c r="AC120">
        <v>0</v>
      </c>
      <c r="AD120">
        <v>1</v>
      </c>
      <c r="AE120">
        <v>0</v>
      </c>
      <c r="AF120" t="s">
        <v>31</v>
      </c>
      <c r="AG120">
        <v>0.253</v>
      </c>
      <c r="AH120">
        <v>2</v>
      </c>
      <c r="AI120">
        <v>46417192</v>
      </c>
      <c r="AJ120">
        <v>128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ROW(Source!A172)</f>
        <v>172</v>
      </c>
      <c r="B121">
        <v>46417201</v>
      </c>
      <c r="C121">
        <v>46417188</v>
      </c>
      <c r="D121">
        <v>42570360</v>
      </c>
      <c r="E121">
        <v>1</v>
      </c>
      <c r="F121">
        <v>1</v>
      </c>
      <c r="G121">
        <v>1</v>
      </c>
      <c r="H121">
        <v>2</v>
      </c>
      <c r="I121" t="s">
        <v>427</v>
      </c>
      <c r="J121" t="s">
        <v>428</v>
      </c>
      <c r="K121" t="s">
        <v>429</v>
      </c>
      <c r="L121">
        <v>1368</v>
      </c>
      <c r="N121">
        <v>1011</v>
      </c>
      <c r="O121" t="s">
        <v>393</v>
      </c>
      <c r="P121" t="s">
        <v>393</v>
      </c>
      <c r="Q121">
        <v>1</v>
      </c>
      <c r="X121">
        <v>0.44</v>
      </c>
      <c r="Y121">
        <v>0</v>
      </c>
      <c r="Z121">
        <v>0.55000000000000004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31</v>
      </c>
      <c r="AG121">
        <v>0.50600000000000001</v>
      </c>
      <c r="AH121">
        <v>2</v>
      </c>
      <c r="AI121">
        <v>46417193</v>
      </c>
      <c r="AJ121">
        <v>129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ROW(Source!A172)</f>
        <v>172</v>
      </c>
      <c r="B122">
        <v>46417202</v>
      </c>
      <c r="C122">
        <v>46417188</v>
      </c>
      <c r="D122">
        <v>42581395</v>
      </c>
      <c r="E122">
        <v>1</v>
      </c>
      <c r="F122">
        <v>1</v>
      </c>
      <c r="G122">
        <v>1</v>
      </c>
      <c r="H122">
        <v>3</v>
      </c>
      <c r="I122" t="s">
        <v>137</v>
      </c>
      <c r="J122" t="s">
        <v>140</v>
      </c>
      <c r="K122" t="s">
        <v>138</v>
      </c>
      <c r="L122">
        <v>1339</v>
      </c>
      <c r="N122">
        <v>1007</v>
      </c>
      <c r="O122" t="s">
        <v>139</v>
      </c>
      <c r="P122" t="s">
        <v>139</v>
      </c>
      <c r="Q122">
        <v>1</v>
      </c>
      <c r="X122">
        <v>1.2</v>
      </c>
      <c r="Y122">
        <v>69.83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1.2</v>
      </c>
      <c r="AH122">
        <v>2</v>
      </c>
      <c r="AI122">
        <v>46417194</v>
      </c>
      <c r="AJ122">
        <v>130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ROW(Source!A172)</f>
        <v>172</v>
      </c>
      <c r="B123">
        <v>46417203</v>
      </c>
      <c r="C123">
        <v>46417188</v>
      </c>
      <c r="D123">
        <v>42582070</v>
      </c>
      <c r="E123">
        <v>1</v>
      </c>
      <c r="F123">
        <v>1</v>
      </c>
      <c r="G123">
        <v>1</v>
      </c>
      <c r="H123">
        <v>3</v>
      </c>
      <c r="I123" t="s">
        <v>435</v>
      </c>
      <c r="J123" t="s">
        <v>436</v>
      </c>
      <c r="K123" t="s">
        <v>437</v>
      </c>
      <c r="L123">
        <v>1339</v>
      </c>
      <c r="N123">
        <v>1007</v>
      </c>
      <c r="O123" t="s">
        <v>139</v>
      </c>
      <c r="P123" t="s">
        <v>139</v>
      </c>
      <c r="Q123">
        <v>1</v>
      </c>
      <c r="X123">
        <v>0.15</v>
      </c>
      <c r="Y123">
        <v>1.3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0.15</v>
      </c>
      <c r="AH123">
        <v>2</v>
      </c>
      <c r="AI123">
        <v>46417195</v>
      </c>
      <c r="AJ123">
        <v>131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ROW(Source!A175)</f>
        <v>175</v>
      </c>
      <c r="B124">
        <v>46468212</v>
      </c>
      <c r="C124">
        <v>46468203</v>
      </c>
      <c r="D124">
        <v>42640871</v>
      </c>
      <c r="E124">
        <v>1</v>
      </c>
      <c r="F124">
        <v>1</v>
      </c>
      <c r="G124">
        <v>1</v>
      </c>
      <c r="H124">
        <v>1</v>
      </c>
      <c r="I124" t="s">
        <v>385</v>
      </c>
      <c r="J124" t="s">
        <v>3</v>
      </c>
      <c r="K124" t="s">
        <v>386</v>
      </c>
      <c r="L124">
        <v>1369</v>
      </c>
      <c r="N124">
        <v>1013</v>
      </c>
      <c r="O124" t="s">
        <v>387</v>
      </c>
      <c r="P124" t="s">
        <v>387</v>
      </c>
      <c r="Q124">
        <v>1</v>
      </c>
      <c r="X124">
        <v>20.100000000000001</v>
      </c>
      <c r="Y124">
        <v>0</v>
      </c>
      <c r="Z124">
        <v>0</v>
      </c>
      <c r="AA124">
        <v>0</v>
      </c>
      <c r="AB124">
        <v>7.97</v>
      </c>
      <c r="AC124">
        <v>0</v>
      </c>
      <c r="AD124">
        <v>1</v>
      </c>
      <c r="AE124">
        <v>1</v>
      </c>
      <c r="AF124" t="s">
        <v>161</v>
      </c>
      <c r="AG124">
        <v>26.582249999999995</v>
      </c>
      <c r="AH124">
        <v>2</v>
      </c>
      <c r="AI124">
        <v>46468204</v>
      </c>
      <c r="AJ124">
        <v>133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ROW(Source!A175)</f>
        <v>175</v>
      </c>
      <c r="B125">
        <v>46468213</v>
      </c>
      <c r="C125">
        <v>46468203</v>
      </c>
      <c r="D125">
        <v>42568472</v>
      </c>
      <c r="E125">
        <v>1</v>
      </c>
      <c r="F125">
        <v>1</v>
      </c>
      <c r="G125">
        <v>1</v>
      </c>
      <c r="H125">
        <v>2</v>
      </c>
      <c r="I125" t="s">
        <v>511</v>
      </c>
      <c r="J125" t="s">
        <v>512</v>
      </c>
      <c r="K125" t="s">
        <v>513</v>
      </c>
      <c r="L125">
        <v>1368</v>
      </c>
      <c r="N125">
        <v>1011</v>
      </c>
      <c r="O125" t="s">
        <v>393</v>
      </c>
      <c r="P125" t="s">
        <v>393</v>
      </c>
      <c r="Q125">
        <v>1</v>
      </c>
      <c r="X125">
        <v>3.41</v>
      </c>
      <c r="Y125">
        <v>0</v>
      </c>
      <c r="Z125">
        <v>30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160</v>
      </c>
      <c r="AG125">
        <v>4.9018750000000004</v>
      </c>
      <c r="AH125">
        <v>2</v>
      </c>
      <c r="AI125">
        <v>46468205</v>
      </c>
      <c r="AJ125">
        <v>134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ROW(Source!A175)</f>
        <v>175</v>
      </c>
      <c r="B126">
        <v>46468214</v>
      </c>
      <c r="C126">
        <v>46468203</v>
      </c>
      <c r="D126">
        <v>42570797</v>
      </c>
      <c r="E126">
        <v>1</v>
      </c>
      <c r="F126">
        <v>1</v>
      </c>
      <c r="G126">
        <v>1</v>
      </c>
      <c r="H126">
        <v>2</v>
      </c>
      <c r="I126" t="s">
        <v>442</v>
      </c>
      <c r="J126" t="s">
        <v>443</v>
      </c>
      <c r="K126" t="s">
        <v>444</v>
      </c>
      <c r="L126">
        <v>1368</v>
      </c>
      <c r="N126">
        <v>1011</v>
      </c>
      <c r="O126" t="s">
        <v>393</v>
      </c>
      <c r="P126" t="s">
        <v>393</v>
      </c>
      <c r="Q126">
        <v>1</v>
      </c>
      <c r="X126">
        <v>0.7</v>
      </c>
      <c r="Y126">
        <v>0</v>
      </c>
      <c r="Z126">
        <v>60.14</v>
      </c>
      <c r="AA126">
        <v>10.84</v>
      </c>
      <c r="AB126">
        <v>0</v>
      </c>
      <c r="AC126">
        <v>0</v>
      </c>
      <c r="AD126">
        <v>1</v>
      </c>
      <c r="AE126">
        <v>0</v>
      </c>
      <c r="AF126" t="s">
        <v>160</v>
      </c>
      <c r="AG126">
        <v>1.0062499999999999</v>
      </c>
      <c r="AH126">
        <v>2</v>
      </c>
      <c r="AI126">
        <v>46468206</v>
      </c>
      <c r="AJ126">
        <v>135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ROW(Source!A175)</f>
        <v>175</v>
      </c>
      <c r="B127">
        <v>46468215</v>
      </c>
      <c r="C127">
        <v>46468203</v>
      </c>
      <c r="D127">
        <v>42594059</v>
      </c>
      <c r="E127">
        <v>1</v>
      </c>
      <c r="F127">
        <v>1</v>
      </c>
      <c r="G127">
        <v>1</v>
      </c>
      <c r="H127">
        <v>3</v>
      </c>
      <c r="I127" t="s">
        <v>514</v>
      </c>
      <c r="J127" t="s">
        <v>515</v>
      </c>
      <c r="K127" t="s">
        <v>516</v>
      </c>
      <c r="L127">
        <v>1348</v>
      </c>
      <c r="N127">
        <v>1009</v>
      </c>
      <c r="O127" t="s">
        <v>184</v>
      </c>
      <c r="P127" t="s">
        <v>184</v>
      </c>
      <c r="Q127">
        <v>1000</v>
      </c>
      <c r="X127">
        <v>1.6E-2</v>
      </c>
      <c r="Y127">
        <v>2154.3200000000002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1.6E-2</v>
      </c>
      <c r="AH127">
        <v>2</v>
      </c>
      <c r="AI127">
        <v>46468207</v>
      </c>
      <c r="AJ127">
        <v>136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ROW(Source!A175)</f>
        <v>175</v>
      </c>
      <c r="B128">
        <v>46468216</v>
      </c>
      <c r="C128">
        <v>46468203</v>
      </c>
      <c r="D128">
        <v>42593348</v>
      </c>
      <c r="E128">
        <v>1</v>
      </c>
      <c r="F128">
        <v>1</v>
      </c>
      <c r="G128">
        <v>1</v>
      </c>
      <c r="H128">
        <v>3</v>
      </c>
      <c r="I128" t="s">
        <v>517</v>
      </c>
      <c r="J128" t="s">
        <v>518</v>
      </c>
      <c r="K128" t="s">
        <v>519</v>
      </c>
      <c r="L128">
        <v>1348</v>
      </c>
      <c r="N128">
        <v>1009</v>
      </c>
      <c r="O128" t="s">
        <v>184</v>
      </c>
      <c r="P128" t="s">
        <v>184</v>
      </c>
      <c r="Q128">
        <v>1000</v>
      </c>
      <c r="X128">
        <v>2.4E-2</v>
      </c>
      <c r="Y128">
        <v>2710.82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2.4E-2</v>
      </c>
      <c r="AH128">
        <v>2</v>
      </c>
      <c r="AI128">
        <v>46468208</v>
      </c>
      <c r="AJ128">
        <v>137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ROW(Source!A175)</f>
        <v>175</v>
      </c>
      <c r="B129">
        <v>46468217</v>
      </c>
      <c r="C129">
        <v>46468203</v>
      </c>
      <c r="D129">
        <v>42594083</v>
      </c>
      <c r="E129">
        <v>1</v>
      </c>
      <c r="F129">
        <v>1</v>
      </c>
      <c r="G129">
        <v>1</v>
      </c>
      <c r="H129">
        <v>3</v>
      </c>
      <c r="I129" t="s">
        <v>520</v>
      </c>
      <c r="J129" t="s">
        <v>521</v>
      </c>
      <c r="K129" t="s">
        <v>522</v>
      </c>
      <c r="L129">
        <v>1348</v>
      </c>
      <c r="N129">
        <v>1009</v>
      </c>
      <c r="O129" t="s">
        <v>184</v>
      </c>
      <c r="P129" t="s">
        <v>184</v>
      </c>
      <c r="Q129">
        <v>1000</v>
      </c>
      <c r="X129">
        <v>0.42</v>
      </c>
      <c r="Y129">
        <v>3681.52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0.42</v>
      </c>
      <c r="AH129">
        <v>2</v>
      </c>
      <c r="AI129">
        <v>46468209</v>
      </c>
      <c r="AJ129">
        <v>138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ROW(Source!A175)</f>
        <v>175</v>
      </c>
      <c r="B130">
        <v>46468218</v>
      </c>
      <c r="C130">
        <v>46468203</v>
      </c>
      <c r="D130">
        <v>42594604</v>
      </c>
      <c r="E130">
        <v>1</v>
      </c>
      <c r="F130">
        <v>1</v>
      </c>
      <c r="G130">
        <v>1</v>
      </c>
      <c r="H130">
        <v>3</v>
      </c>
      <c r="I130" t="s">
        <v>523</v>
      </c>
      <c r="J130" t="s">
        <v>524</v>
      </c>
      <c r="K130" t="s">
        <v>525</v>
      </c>
      <c r="L130">
        <v>1327</v>
      </c>
      <c r="N130">
        <v>1005</v>
      </c>
      <c r="O130" t="s">
        <v>452</v>
      </c>
      <c r="P130" t="s">
        <v>452</v>
      </c>
      <c r="Q130">
        <v>1</v>
      </c>
      <c r="X130">
        <v>220</v>
      </c>
      <c r="Y130">
        <v>5.93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220</v>
      </c>
      <c r="AH130">
        <v>2</v>
      </c>
      <c r="AI130">
        <v>46468210</v>
      </c>
      <c r="AJ130">
        <v>139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ROW(Source!A175)</f>
        <v>175</v>
      </c>
      <c r="B131">
        <v>46468219</v>
      </c>
      <c r="C131">
        <v>46468203</v>
      </c>
      <c r="D131">
        <v>42572012</v>
      </c>
      <c r="E131">
        <v>1</v>
      </c>
      <c r="F131">
        <v>1</v>
      </c>
      <c r="G131">
        <v>1</v>
      </c>
      <c r="H131">
        <v>3</v>
      </c>
      <c r="I131" t="s">
        <v>526</v>
      </c>
      <c r="J131" t="s">
        <v>527</v>
      </c>
      <c r="K131" t="s">
        <v>528</v>
      </c>
      <c r="L131">
        <v>1339</v>
      </c>
      <c r="N131">
        <v>1007</v>
      </c>
      <c r="O131" t="s">
        <v>139</v>
      </c>
      <c r="P131" t="s">
        <v>139</v>
      </c>
      <c r="Q131">
        <v>1</v>
      </c>
      <c r="X131">
        <v>2.5</v>
      </c>
      <c r="Y131">
        <v>518.15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2.5</v>
      </c>
      <c r="AH131">
        <v>2</v>
      </c>
      <c r="AI131">
        <v>46468211</v>
      </c>
      <c r="AJ131">
        <v>140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ROW(Source!A176)</f>
        <v>176</v>
      </c>
      <c r="B132">
        <v>46468176</v>
      </c>
      <c r="C132">
        <v>46468150</v>
      </c>
      <c r="D132">
        <v>42645565</v>
      </c>
      <c r="E132">
        <v>1</v>
      </c>
      <c r="F132">
        <v>1</v>
      </c>
      <c r="G132">
        <v>1</v>
      </c>
      <c r="H132">
        <v>1</v>
      </c>
      <c r="I132" t="s">
        <v>464</v>
      </c>
      <c r="J132" t="s">
        <v>3</v>
      </c>
      <c r="K132" t="s">
        <v>465</v>
      </c>
      <c r="L132">
        <v>1369</v>
      </c>
      <c r="N132">
        <v>1013</v>
      </c>
      <c r="O132" t="s">
        <v>387</v>
      </c>
      <c r="P132" t="s">
        <v>387</v>
      </c>
      <c r="Q132">
        <v>1</v>
      </c>
      <c r="X132">
        <v>278.88</v>
      </c>
      <c r="Y132">
        <v>0</v>
      </c>
      <c r="Z132">
        <v>0</v>
      </c>
      <c r="AA132">
        <v>0</v>
      </c>
      <c r="AB132">
        <v>7.84</v>
      </c>
      <c r="AC132">
        <v>0</v>
      </c>
      <c r="AD132">
        <v>1</v>
      </c>
      <c r="AE132">
        <v>1</v>
      </c>
      <c r="AF132" t="s">
        <v>218</v>
      </c>
      <c r="AG132">
        <v>1844.0939999999998</v>
      </c>
      <c r="AH132">
        <v>2</v>
      </c>
      <c r="AI132">
        <v>46468151</v>
      </c>
      <c r="AJ132">
        <v>141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ROW(Source!A176)</f>
        <v>176</v>
      </c>
      <c r="B133">
        <v>46468177</v>
      </c>
      <c r="C133">
        <v>46468150</v>
      </c>
      <c r="D133">
        <v>121548</v>
      </c>
      <c r="E133">
        <v>1</v>
      </c>
      <c r="F133">
        <v>1</v>
      </c>
      <c r="G133">
        <v>1</v>
      </c>
      <c r="H133">
        <v>1</v>
      </c>
      <c r="I133" t="s">
        <v>26</v>
      </c>
      <c r="J133" t="s">
        <v>3</v>
      </c>
      <c r="K133" t="s">
        <v>388</v>
      </c>
      <c r="L133">
        <v>608254</v>
      </c>
      <c r="N133">
        <v>1013</v>
      </c>
      <c r="O133" t="s">
        <v>389</v>
      </c>
      <c r="P133" t="s">
        <v>389</v>
      </c>
      <c r="Q133">
        <v>1</v>
      </c>
      <c r="X133">
        <v>17.829999999999998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2</v>
      </c>
      <c r="AF133" t="s">
        <v>170</v>
      </c>
      <c r="AG133">
        <v>25.630624999999995</v>
      </c>
      <c r="AH133">
        <v>2</v>
      </c>
      <c r="AI133">
        <v>46468152</v>
      </c>
      <c r="AJ133">
        <v>142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ROW(Source!A176)</f>
        <v>176</v>
      </c>
      <c r="B134">
        <v>46468178</v>
      </c>
      <c r="C134">
        <v>46468150</v>
      </c>
      <c r="D134">
        <v>42567157</v>
      </c>
      <c r="E134">
        <v>1</v>
      </c>
      <c r="F134">
        <v>1</v>
      </c>
      <c r="G134">
        <v>1</v>
      </c>
      <c r="H134">
        <v>2</v>
      </c>
      <c r="I134" t="s">
        <v>466</v>
      </c>
      <c r="J134" t="s">
        <v>467</v>
      </c>
      <c r="K134" t="s">
        <v>468</v>
      </c>
      <c r="L134">
        <v>1368</v>
      </c>
      <c r="N134">
        <v>1011</v>
      </c>
      <c r="O134" t="s">
        <v>393</v>
      </c>
      <c r="P134" t="s">
        <v>393</v>
      </c>
      <c r="Q134">
        <v>1</v>
      </c>
      <c r="X134">
        <v>0.87</v>
      </c>
      <c r="Y134">
        <v>0</v>
      </c>
      <c r="Z134">
        <v>88.87</v>
      </c>
      <c r="AA134">
        <v>12.62</v>
      </c>
      <c r="AB134">
        <v>0</v>
      </c>
      <c r="AC134">
        <v>0</v>
      </c>
      <c r="AD134">
        <v>1</v>
      </c>
      <c r="AE134">
        <v>0</v>
      </c>
      <c r="AF134" t="s">
        <v>170</v>
      </c>
      <c r="AG134">
        <v>1.2506249999999999</v>
      </c>
      <c r="AH134">
        <v>2</v>
      </c>
      <c r="AI134">
        <v>46468153</v>
      </c>
      <c r="AJ134">
        <v>143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ROW(Source!A176)</f>
        <v>176</v>
      </c>
      <c r="B135">
        <v>46468179</v>
      </c>
      <c r="C135">
        <v>46468150</v>
      </c>
      <c r="D135">
        <v>42567205</v>
      </c>
      <c r="E135">
        <v>1</v>
      </c>
      <c r="F135">
        <v>1</v>
      </c>
      <c r="G135">
        <v>1</v>
      </c>
      <c r="H135">
        <v>2</v>
      </c>
      <c r="I135" t="s">
        <v>469</v>
      </c>
      <c r="J135" t="s">
        <v>470</v>
      </c>
      <c r="K135" t="s">
        <v>471</v>
      </c>
      <c r="L135">
        <v>1368</v>
      </c>
      <c r="N135">
        <v>1011</v>
      </c>
      <c r="O135" t="s">
        <v>393</v>
      </c>
      <c r="P135" t="s">
        <v>393</v>
      </c>
      <c r="Q135">
        <v>1</v>
      </c>
      <c r="X135">
        <v>16.690000000000001</v>
      </c>
      <c r="Y135">
        <v>0</v>
      </c>
      <c r="Z135">
        <v>100.9</v>
      </c>
      <c r="AA135">
        <v>12.62</v>
      </c>
      <c r="AB135">
        <v>0</v>
      </c>
      <c r="AC135">
        <v>0</v>
      </c>
      <c r="AD135">
        <v>1</v>
      </c>
      <c r="AE135">
        <v>0</v>
      </c>
      <c r="AF135" t="s">
        <v>170</v>
      </c>
      <c r="AG135">
        <v>23.991875</v>
      </c>
      <c r="AH135">
        <v>2</v>
      </c>
      <c r="AI135">
        <v>46468154</v>
      </c>
      <c r="AJ135">
        <v>144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ROW(Source!A176)</f>
        <v>176</v>
      </c>
      <c r="B136">
        <v>46468180</v>
      </c>
      <c r="C136">
        <v>46468150</v>
      </c>
      <c r="D136">
        <v>42567318</v>
      </c>
      <c r="E136">
        <v>1</v>
      </c>
      <c r="F136">
        <v>1</v>
      </c>
      <c r="G136">
        <v>1</v>
      </c>
      <c r="H136">
        <v>2</v>
      </c>
      <c r="I136" t="s">
        <v>432</v>
      </c>
      <c r="J136" t="s">
        <v>433</v>
      </c>
      <c r="K136" t="s">
        <v>434</v>
      </c>
      <c r="L136">
        <v>1368</v>
      </c>
      <c r="N136">
        <v>1011</v>
      </c>
      <c r="O136" t="s">
        <v>393</v>
      </c>
      <c r="P136" t="s">
        <v>393</v>
      </c>
      <c r="Q136">
        <v>1</v>
      </c>
      <c r="X136">
        <v>0.27</v>
      </c>
      <c r="Y136">
        <v>0</v>
      </c>
      <c r="Z136">
        <v>88.87</v>
      </c>
      <c r="AA136">
        <v>9.4</v>
      </c>
      <c r="AB136">
        <v>0</v>
      </c>
      <c r="AC136">
        <v>0</v>
      </c>
      <c r="AD136">
        <v>1</v>
      </c>
      <c r="AE136">
        <v>0</v>
      </c>
      <c r="AF136" t="s">
        <v>170</v>
      </c>
      <c r="AG136">
        <v>0.388125</v>
      </c>
      <c r="AH136">
        <v>2</v>
      </c>
      <c r="AI136">
        <v>46468155</v>
      </c>
      <c r="AJ136">
        <v>145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ROW(Source!A176)</f>
        <v>176</v>
      </c>
      <c r="B137">
        <v>46468181</v>
      </c>
      <c r="C137">
        <v>46468150</v>
      </c>
      <c r="D137">
        <v>42567594</v>
      </c>
      <c r="E137">
        <v>1</v>
      </c>
      <c r="F137">
        <v>1</v>
      </c>
      <c r="G137">
        <v>1</v>
      </c>
      <c r="H137">
        <v>2</v>
      </c>
      <c r="I137" t="s">
        <v>472</v>
      </c>
      <c r="J137" t="s">
        <v>473</v>
      </c>
      <c r="K137" t="s">
        <v>474</v>
      </c>
      <c r="L137">
        <v>1368</v>
      </c>
      <c r="N137">
        <v>1011</v>
      </c>
      <c r="O137" t="s">
        <v>393</v>
      </c>
      <c r="P137" t="s">
        <v>393</v>
      </c>
      <c r="Q137">
        <v>1</v>
      </c>
      <c r="X137">
        <v>83.1</v>
      </c>
      <c r="Y137">
        <v>0</v>
      </c>
      <c r="Z137">
        <v>8.1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170</v>
      </c>
      <c r="AG137">
        <v>119.45625</v>
      </c>
      <c r="AH137">
        <v>2</v>
      </c>
      <c r="AI137">
        <v>46468156</v>
      </c>
      <c r="AJ137">
        <v>146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ROW(Source!A176)</f>
        <v>176</v>
      </c>
      <c r="B138">
        <v>46468182</v>
      </c>
      <c r="C138">
        <v>46468150</v>
      </c>
      <c r="D138">
        <v>42568333</v>
      </c>
      <c r="E138">
        <v>1</v>
      </c>
      <c r="F138">
        <v>1</v>
      </c>
      <c r="G138">
        <v>1</v>
      </c>
      <c r="H138">
        <v>2</v>
      </c>
      <c r="I138" t="s">
        <v>475</v>
      </c>
      <c r="J138" t="s">
        <v>476</v>
      </c>
      <c r="K138" t="s">
        <v>477</v>
      </c>
      <c r="L138">
        <v>1368</v>
      </c>
      <c r="N138">
        <v>1011</v>
      </c>
      <c r="O138" t="s">
        <v>393</v>
      </c>
      <c r="P138" t="s">
        <v>393</v>
      </c>
      <c r="Q138">
        <v>1</v>
      </c>
      <c r="X138">
        <v>14.56</v>
      </c>
      <c r="Y138">
        <v>0</v>
      </c>
      <c r="Z138">
        <v>1.9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170</v>
      </c>
      <c r="AG138">
        <v>20.929999999999996</v>
      </c>
      <c r="AH138">
        <v>2</v>
      </c>
      <c r="AI138">
        <v>46468157</v>
      </c>
      <c r="AJ138">
        <v>147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ROW(Source!A176)</f>
        <v>176</v>
      </c>
      <c r="B139">
        <v>46468183</v>
      </c>
      <c r="C139">
        <v>46468150</v>
      </c>
      <c r="D139">
        <v>42570399</v>
      </c>
      <c r="E139">
        <v>1</v>
      </c>
      <c r="F139">
        <v>1</v>
      </c>
      <c r="G139">
        <v>1</v>
      </c>
      <c r="H139">
        <v>2</v>
      </c>
      <c r="I139" t="s">
        <v>478</v>
      </c>
      <c r="J139" t="s">
        <v>479</v>
      </c>
      <c r="K139" t="s">
        <v>480</v>
      </c>
      <c r="L139">
        <v>1368</v>
      </c>
      <c r="N139">
        <v>1011</v>
      </c>
      <c r="O139" t="s">
        <v>393</v>
      </c>
      <c r="P139" t="s">
        <v>393</v>
      </c>
      <c r="Q139">
        <v>1</v>
      </c>
      <c r="X139">
        <v>0.52</v>
      </c>
      <c r="Y139">
        <v>0</v>
      </c>
      <c r="Z139">
        <v>3.27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170</v>
      </c>
      <c r="AG139">
        <v>0.74749999999999994</v>
      </c>
      <c r="AH139">
        <v>2</v>
      </c>
      <c r="AI139">
        <v>46468158</v>
      </c>
      <c r="AJ139">
        <v>148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ROW(Source!A176)</f>
        <v>176</v>
      </c>
      <c r="B140">
        <v>46468184</v>
      </c>
      <c r="C140">
        <v>46468150</v>
      </c>
      <c r="D140">
        <v>42570797</v>
      </c>
      <c r="E140">
        <v>1</v>
      </c>
      <c r="F140">
        <v>1</v>
      </c>
      <c r="G140">
        <v>1</v>
      </c>
      <c r="H140">
        <v>2</v>
      </c>
      <c r="I140" t="s">
        <v>442</v>
      </c>
      <c r="J140" t="s">
        <v>443</v>
      </c>
      <c r="K140" t="s">
        <v>444</v>
      </c>
      <c r="L140">
        <v>1368</v>
      </c>
      <c r="N140">
        <v>1011</v>
      </c>
      <c r="O140" t="s">
        <v>393</v>
      </c>
      <c r="P140" t="s">
        <v>393</v>
      </c>
      <c r="Q140">
        <v>1</v>
      </c>
      <c r="X140">
        <v>1.31</v>
      </c>
      <c r="Y140">
        <v>0</v>
      </c>
      <c r="Z140">
        <v>60.14</v>
      </c>
      <c r="AA140">
        <v>10.84</v>
      </c>
      <c r="AB140">
        <v>0</v>
      </c>
      <c r="AC140">
        <v>0</v>
      </c>
      <c r="AD140">
        <v>1</v>
      </c>
      <c r="AE140">
        <v>0</v>
      </c>
      <c r="AF140" t="s">
        <v>170</v>
      </c>
      <c r="AG140">
        <v>1.8831250000000002</v>
      </c>
      <c r="AH140">
        <v>2</v>
      </c>
      <c r="AI140">
        <v>46468159</v>
      </c>
      <c r="AJ140">
        <v>149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ROW(Source!A176)</f>
        <v>176</v>
      </c>
      <c r="B141">
        <v>46468185</v>
      </c>
      <c r="C141">
        <v>46468150</v>
      </c>
      <c r="D141">
        <v>42598779</v>
      </c>
      <c r="E141">
        <v>1</v>
      </c>
      <c r="F141">
        <v>1</v>
      </c>
      <c r="G141">
        <v>1</v>
      </c>
      <c r="H141">
        <v>3</v>
      </c>
      <c r="I141" t="s">
        <v>481</v>
      </c>
      <c r="J141" t="s">
        <v>482</v>
      </c>
      <c r="K141" t="s">
        <v>483</v>
      </c>
      <c r="L141">
        <v>1348</v>
      </c>
      <c r="N141">
        <v>1009</v>
      </c>
      <c r="O141" t="s">
        <v>184</v>
      </c>
      <c r="P141" t="s">
        <v>184</v>
      </c>
      <c r="Q141">
        <v>1000</v>
      </c>
      <c r="X141">
        <v>1.4999999999999999E-2</v>
      </c>
      <c r="Y141">
        <v>4270.78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1.4999999999999999E-2</v>
      </c>
      <c r="AH141">
        <v>2</v>
      </c>
      <c r="AI141">
        <v>46468160</v>
      </c>
      <c r="AJ141">
        <v>150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ROW(Source!A176)</f>
        <v>176</v>
      </c>
      <c r="B142">
        <v>46468186</v>
      </c>
      <c r="C142">
        <v>46468150</v>
      </c>
      <c r="D142">
        <v>42599326</v>
      </c>
      <c r="E142">
        <v>1</v>
      </c>
      <c r="F142">
        <v>1</v>
      </c>
      <c r="G142">
        <v>1</v>
      </c>
      <c r="H142">
        <v>3</v>
      </c>
      <c r="I142" t="s">
        <v>484</v>
      </c>
      <c r="J142" t="s">
        <v>485</v>
      </c>
      <c r="K142" t="s">
        <v>486</v>
      </c>
      <c r="L142">
        <v>1348</v>
      </c>
      <c r="N142">
        <v>1009</v>
      </c>
      <c r="O142" t="s">
        <v>184</v>
      </c>
      <c r="P142" t="s">
        <v>184</v>
      </c>
      <c r="Q142">
        <v>1000</v>
      </c>
      <c r="X142">
        <v>0.106</v>
      </c>
      <c r="Y142">
        <v>9799.7199999999993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0.106</v>
      </c>
      <c r="AH142">
        <v>2</v>
      </c>
      <c r="AI142">
        <v>46468161</v>
      </c>
      <c r="AJ142">
        <v>151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ROW(Source!A176)</f>
        <v>176</v>
      </c>
      <c r="B143">
        <v>46468187</v>
      </c>
      <c r="C143">
        <v>46468150</v>
      </c>
      <c r="D143">
        <v>42593928</v>
      </c>
      <c r="E143">
        <v>1</v>
      </c>
      <c r="F143">
        <v>1</v>
      </c>
      <c r="G143">
        <v>1</v>
      </c>
      <c r="H143">
        <v>3</v>
      </c>
      <c r="I143" t="s">
        <v>487</v>
      </c>
      <c r="J143" t="s">
        <v>488</v>
      </c>
      <c r="K143" t="s">
        <v>489</v>
      </c>
      <c r="L143">
        <v>1327</v>
      </c>
      <c r="N143">
        <v>1005</v>
      </c>
      <c r="O143" t="s">
        <v>452</v>
      </c>
      <c r="P143" t="s">
        <v>452</v>
      </c>
      <c r="Q143">
        <v>1</v>
      </c>
      <c r="X143">
        <v>8.9</v>
      </c>
      <c r="Y143">
        <v>10.61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8.9</v>
      </c>
      <c r="AH143">
        <v>2</v>
      </c>
      <c r="AI143">
        <v>46468162</v>
      </c>
      <c r="AJ143">
        <v>152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ROW(Source!A176)</f>
        <v>176</v>
      </c>
      <c r="B144">
        <v>46468188</v>
      </c>
      <c r="C144">
        <v>46468150</v>
      </c>
      <c r="D144">
        <v>42599638</v>
      </c>
      <c r="E144">
        <v>1</v>
      </c>
      <c r="F144">
        <v>1</v>
      </c>
      <c r="G144">
        <v>1</v>
      </c>
      <c r="H144">
        <v>3</v>
      </c>
      <c r="I144" t="s">
        <v>490</v>
      </c>
      <c r="J144" t="s">
        <v>491</v>
      </c>
      <c r="K144" t="s">
        <v>492</v>
      </c>
      <c r="L144">
        <v>1348</v>
      </c>
      <c r="N144">
        <v>1009</v>
      </c>
      <c r="O144" t="s">
        <v>184</v>
      </c>
      <c r="P144" t="s">
        <v>184</v>
      </c>
      <c r="Q144">
        <v>1000</v>
      </c>
      <c r="X144">
        <v>8.0000000000000002E-3</v>
      </c>
      <c r="Y144">
        <v>11456.88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8.0000000000000002E-3</v>
      </c>
      <c r="AH144">
        <v>2</v>
      </c>
      <c r="AI144">
        <v>46468163</v>
      </c>
      <c r="AJ144">
        <v>153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ROW(Source!A176)</f>
        <v>176</v>
      </c>
      <c r="B145">
        <v>46468189</v>
      </c>
      <c r="C145">
        <v>46468150</v>
      </c>
      <c r="D145">
        <v>42601169</v>
      </c>
      <c r="E145">
        <v>1</v>
      </c>
      <c r="F145">
        <v>1</v>
      </c>
      <c r="G145">
        <v>1</v>
      </c>
      <c r="H145">
        <v>3</v>
      </c>
      <c r="I145" t="s">
        <v>493</v>
      </c>
      <c r="J145" t="s">
        <v>494</v>
      </c>
      <c r="K145" t="s">
        <v>495</v>
      </c>
      <c r="L145">
        <v>1339</v>
      </c>
      <c r="N145">
        <v>1007</v>
      </c>
      <c r="O145" t="s">
        <v>139</v>
      </c>
      <c r="P145" t="s">
        <v>139</v>
      </c>
      <c r="Q145">
        <v>1</v>
      </c>
      <c r="X145">
        <v>0.22</v>
      </c>
      <c r="Y145">
        <v>606.29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0.22</v>
      </c>
      <c r="AH145">
        <v>2</v>
      </c>
      <c r="AI145">
        <v>46468164</v>
      </c>
      <c r="AJ145">
        <v>154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ROW(Source!A176)</f>
        <v>176</v>
      </c>
      <c r="B146">
        <v>46468190</v>
      </c>
      <c r="C146">
        <v>46468150</v>
      </c>
      <c r="D146">
        <v>42600692</v>
      </c>
      <c r="E146">
        <v>1</v>
      </c>
      <c r="F146">
        <v>1</v>
      </c>
      <c r="G146">
        <v>1</v>
      </c>
      <c r="H146">
        <v>3</v>
      </c>
      <c r="I146" t="s">
        <v>496</v>
      </c>
      <c r="J146" t="s">
        <v>497</v>
      </c>
      <c r="K146" t="s">
        <v>498</v>
      </c>
      <c r="L146">
        <v>1339</v>
      </c>
      <c r="N146">
        <v>1007</v>
      </c>
      <c r="O146" t="s">
        <v>139</v>
      </c>
      <c r="P146" t="s">
        <v>139</v>
      </c>
      <c r="Q146">
        <v>1</v>
      </c>
      <c r="X146">
        <v>0.02</v>
      </c>
      <c r="Y146">
        <v>1397.5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0.02</v>
      </c>
      <c r="AH146">
        <v>2</v>
      </c>
      <c r="AI146">
        <v>46468165</v>
      </c>
      <c r="AJ146">
        <v>155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ROW(Source!A176)</f>
        <v>176</v>
      </c>
      <c r="B147">
        <v>46468191</v>
      </c>
      <c r="C147">
        <v>46468150</v>
      </c>
      <c r="D147">
        <v>42600981</v>
      </c>
      <c r="E147">
        <v>1</v>
      </c>
      <c r="F147">
        <v>1</v>
      </c>
      <c r="G147">
        <v>1</v>
      </c>
      <c r="H147">
        <v>3</v>
      </c>
      <c r="I147" t="s">
        <v>499</v>
      </c>
      <c r="J147" t="s">
        <v>500</v>
      </c>
      <c r="K147" t="s">
        <v>501</v>
      </c>
      <c r="L147">
        <v>1339</v>
      </c>
      <c r="N147">
        <v>1007</v>
      </c>
      <c r="O147" t="s">
        <v>139</v>
      </c>
      <c r="P147" t="s">
        <v>139</v>
      </c>
      <c r="Q147">
        <v>1</v>
      </c>
      <c r="X147">
        <v>0.02</v>
      </c>
      <c r="Y147">
        <v>1194.54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3</v>
      </c>
      <c r="AG147">
        <v>0.02</v>
      </c>
      <c r="AH147">
        <v>2</v>
      </c>
      <c r="AI147">
        <v>46468166</v>
      </c>
      <c r="AJ147">
        <v>156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ROW(Source!A176)</f>
        <v>176</v>
      </c>
      <c r="B148">
        <v>46468192</v>
      </c>
      <c r="C148">
        <v>46468150</v>
      </c>
      <c r="D148">
        <v>42600997</v>
      </c>
      <c r="E148">
        <v>1</v>
      </c>
      <c r="F148">
        <v>1</v>
      </c>
      <c r="G148">
        <v>1</v>
      </c>
      <c r="H148">
        <v>3</v>
      </c>
      <c r="I148" t="s">
        <v>502</v>
      </c>
      <c r="J148" t="s">
        <v>503</v>
      </c>
      <c r="K148" t="s">
        <v>504</v>
      </c>
      <c r="L148">
        <v>1339</v>
      </c>
      <c r="N148">
        <v>1007</v>
      </c>
      <c r="O148" t="s">
        <v>139</v>
      </c>
      <c r="P148" t="s">
        <v>139</v>
      </c>
      <c r="Q148">
        <v>1</v>
      </c>
      <c r="X148">
        <v>0.28000000000000003</v>
      </c>
      <c r="Y148">
        <v>1146.69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0.28000000000000003</v>
      </c>
      <c r="AH148">
        <v>2</v>
      </c>
      <c r="AI148">
        <v>46468167</v>
      </c>
      <c r="AJ148">
        <v>157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ROW(Source!A176)</f>
        <v>176</v>
      </c>
      <c r="B149">
        <v>46468193</v>
      </c>
      <c r="C149">
        <v>46468150</v>
      </c>
      <c r="D149">
        <v>42589192</v>
      </c>
      <c r="E149">
        <v>1</v>
      </c>
      <c r="F149">
        <v>1</v>
      </c>
      <c r="G149">
        <v>1</v>
      </c>
      <c r="H149">
        <v>3</v>
      </c>
      <c r="I149" t="s">
        <v>505</v>
      </c>
      <c r="J149" t="s">
        <v>506</v>
      </c>
      <c r="K149" t="s">
        <v>507</v>
      </c>
      <c r="L149">
        <v>1327</v>
      </c>
      <c r="N149">
        <v>1005</v>
      </c>
      <c r="O149" t="s">
        <v>452</v>
      </c>
      <c r="P149" t="s">
        <v>452</v>
      </c>
      <c r="Q149">
        <v>1</v>
      </c>
      <c r="X149">
        <v>20.7</v>
      </c>
      <c r="Y149">
        <v>54.99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20.7</v>
      </c>
      <c r="AH149">
        <v>2</v>
      </c>
      <c r="AI149">
        <v>46468168</v>
      </c>
      <c r="AJ149">
        <v>158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ROW(Source!A176)</f>
        <v>176</v>
      </c>
      <c r="B150">
        <v>46468194</v>
      </c>
      <c r="C150">
        <v>46468150</v>
      </c>
      <c r="D150">
        <v>42589206</v>
      </c>
      <c r="E150">
        <v>1</v>
      </c>
      <c r="F150">
        <v>1</v>
      </c>
      <c r="G150">
        <v>1</v>
      </c>
      <c r="H150">
        <v>3</v>
      </c>
      <c r="I150" t="s">
        <v>182</v>
      </c>
      <c r="J150" t="s">
        <v>185</v>
      </c>
      <c r="K150" t="s">
        <v>183</v>
      </c>
      <c r="L150">
        <v>1348</v>
      </c>
      <c r="N150">
        <v>1009</v>
      </c>
      <c r="O150" t="s">
        <v>184</v>
      </c>
      <c r="P150" t="s">
        <v>184</v>
      </c>
      <c r="Q150">
        <v>1000</v>
      </c>
      <c r="X150">
        <v>3.2</v>
      </c>
      <c r="Y150">
        <v>5416.2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3.2</v>
      </c>
      <c r="AH150">
        <v>2</v>
      </c>
      <c r="AI150">
        <v>46468170</v>
      </c>
      <c r="AJ150">
        <v>160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ROW(Source!A176)</f>
        <v>176</v>
      </c>
      <c r="B151">
        <v>46468195</v>
      </c>
      <c r="C151">
        <v>46468150</v>
      </c>
      <c r="D151">
        <v>42571927</v>
      </c>
      <c r="E151">
        <v>1</v>
      </c>
      <c r="F151">
        <v>1</v>
      </c>
      <c r="G151">
        <v>1</v>
      </c>
      <c r="H151">
        <v>3</v>
      </c>
      <c r="I151" t="s">
        <v>187</v>
      </c>
      <c r="J151" t="s">
        <v>189</v>
      </c>
      <c r="K151" t="s">
        <v>188</v>
      </c>
      <c r="L151">
        <v>1339</v>
      </c>
      <c r="N151">
        <v>1007</v>
      </c>
      <c r="O151" t="s">
        <v>139</v>
      </c>
      <c r="P151" t="s">
        <v>139</v>
      </c>
      <c r="Q151">
        <v>1</v>
      </c>
      <c r="X151">
        <v>101.5</v>
      </c>
      <c r="Y151">
        <v>747.74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101.5</v>
      </c>
      <c r="AH151">
        <v>2</v>
      </c>
      <c r="AI151">
        <v>46468171</v>
      </c>
      <c r="AJ151">
        <v>161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ROW(Source!A176)</f>
        <v>176</v>
      </c>
      <c r="B152">
        <v>46468196</v>
      </c>
      <c r="C152">
        <v>46468150</v>
      </c>
      <c r="D152">
        <v>42580849</v>
      </c>
      <c r="E152">
        <v>1</v>
      </c>
      <c r="F152">
        <v>1</v>
      </c>
      <c r="G152">
        <v>1</v>
      </c>
      <c r="H152">
        <v>3</v>
      </c>
      <c r="I152" t="s">
        <v>508</v>
      </c>
      <c r="J152" t="s">
        <v>509</v>
      </c>
      <c r="K152" t="s">
        <v>510</v>
      </c>
      <c r="L152">
        <v>1348</v>
      </c>
      <c r="N152">
        <v>1009</v>
      </c>
      <c r="O152" t="s">
        <v>184</v>
      </c>
      <c r="P152" t="s">
        <v>184</v>
      </c>
      <c r="Q152">
        <v>1000</v>
      </c>
      <c r="X152">
        <v>0.03</v>
      </c>
      <c r="Y152">
        <v>836.55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0.03</v>
      </c>
      <c r="AH152">
        <v>2</v>
      </c>
      <c r="AI152">
        <v>46468172</v>
      </c>
      <c r="AJ152">
        <v>162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ROW(Source!A176)</f>
        <v>176</v>
      </c>
      <c r="B153">
        <v>46468197</v>
      </c>
      <c r="C153">
        <v>46468150</v>
      </c>
      <c r="D153">
        <v>42582070</v>
      </c>
      <c r="E153">
        <v>1</v>
      </c>
      <c r="F153">
        <v>1</v>
      </c>
      <c r="G153">
        <v>1</v>
      </c>
      <c r="H153">
        <v>3</v>
      </c>
      <c r="I153" t="s">
        <v>435</v>
      </c>
      <c r="J153" t="s">
        <v>436</v>
      </c>
      <c r="K153" t="s">
        <v>437</v>
      </c>
      <c r="L153">
        <v>1339</v>
      </c>
      <c r="N153">
        <v>1007</v>
      </c>
      <c r="O153" t="s">
        <v>139</v>
      </c>
      <c r="P153" t="s">
        <v>139</v>
      </c>
      <c r="Q153">
        <v>1</v>
      </c>
      <c r="X153">
        <v>7.4880000000000004</v>
      </c>
      <c r="Y153">
        <v>1.3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7.4880000000000004</v>
      </c>
      <c r="AH153">
        <v>2</v>
      </c>
      <c r="AI153">
        <v>46468173</v>
      </c>
      <c r="AJ153">
        <v>163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ROW(Source!A251)</f>
        <v>251</v>
      </c>
      <c r="B154">
        <v>46468350</v>
      </c>
      <c r="C154">
        <v>46468349</v>
      </c>
      <c r="D154">
        <v>42642441</v>
      </c>
      <c r="E154">
        <v>1</v>
      </c>
      <c r="F154">
        <v>1</v>
      </c>
      <c r="G154">
        <v>1</v>
      </c>
      <c r="H154">
        <v>1</v>
      </c>
      <c r="I154" t="s">
        <v>529</v>
      </c>
      <c r="J154" t="s">
        <v>3</v>
      </c>
      <c r="K154" t="s">
        <v>530</v>
      </c>
      <c r="L154">
        <v>1369</v>
      </c>
      <c r="N154">
        <v>1013</v>
      </c>
      <c r="O154" t="s">
        <v>387</v>
      </c>
      <c r="P154" t="s">
        <v>387</v>
      </c>
      <c r="Q154">
        <v>1</v>
      </c>
      <c r="X154">
        <v>243.35</v>
      </c>
      <c r="Y154">
        <v>0</v>
      </c>
      <c r="Z154">
        <v>0</v>
      </c>
      <c r="AA154">
        <v>0</v>
      </c>
      <c r="AB154">
        <v>7.77</v>
      </c>
      <c r="AC154">
        <v>0</v>
      </c>
      <c r="AD154">
        <v>1</v>
      </c>
      <c r="AE154">
        <v>1</v>
      </c>
      <c r="AF154" t="s">
        <v>31</v>
      </c>
      <c r="AG154">
        <v>279.85249999999996</v>
      </c>
      <c r="AH154">
        <v>2</v>
      </c>
      <c r="AI154">
        <v>46468350</v>
      </c>
      <c r="AJ154">
        <v>166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ROW(Source!A251)</f>
        <v>251</v>
      </c>
      <c r="B155">
        <v>46468351</v>
      </c>
      <c r="C155">
        <v>46468349</v>
      </c>
      <c r="D155">
        <v>121548</v>
      </c>
      <c r="E155">
        <v>1</v>
      </c>
      <c r="F155">
        <v>1</v>
      </c>
      <c r="G155">
        <v>1</v>
      </c>
      <c r="H155">
        <v>1</v>
      </c>
      <c r="I155" t="s">
        <v>26</v>
      </c>
      <c r="J155" t="s">
        <v>3</v>
      </c>
      <c r="K155" t="s">
        <v>388</v>
      </c>
      <c r="L155">
        <v>608254</v>
      </c>
      <c r="N155">
        <v>1013</v>
      </c>
      <c r="O155" t="s">
        <v>389</v>
      </c>
      <c r="P155" t="s">
        <v>389</v>
      </c>
      <c r="Q155">
        <v>1</v>
      </c>
      <c r="X155">
        <v>41.39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2</v>
      </c>
      <c r="AF155" t="s">
        <v>31</v>
      </c>
      <c r="AG155">
        <v>47.598499999999994</v>
      </c>
      <c r="AH155">
        <v>2</v>
      </c>
      <c r="AI155">
        <v>46468351</v>
      </c>
      <c r="AJ155">
        <v>167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ROW(Source!A251)</f>
        <v>251</v>
      </c>
      <c r="B156">
        <v>46468352</v>
      </c>
      <c r="C156">
        <v>46468349</v>
      </c>
      <c r="D156">
        <v>42567659</v>
      </c>
      <c r="E156">
        <v>1</v>
      </c>
      <c r="F156">
        <v>1</v>
      </c>
      <c r="G156">
        <v>1</v>
      </c>
      <c r="H156">
        <v>2</v>
      </c>
      <c r="I156" t="s">
        <v>394</v>
      </c>
      <c r="J156" t="s">
        <v>395</v>
      </c>
      <c r="K156" t="s">
        <v>396</v>
      </c>
      <c r="L156">
        <v>1368</v>
      </c>
      <c r="N156">
        <v>1011</v>
      </c>
      <c r="O156" t="s">
        <v>393</v>
      </c>
      <c r="P156" t="s">
        <v>393</v>
      </c>
      <c r="Q156">
        <v>1</v>
      </c>
      <c r="X156">
        <v>39.25</v>
      </c>
      <c r="Y156">
        <v>0</v>
      </c>
      <c r="Z156">
        <v>98.87</v>
      </c>
      <c r="AA156">
        <v>9.4</v>
      </c>
      <c r="AB156">
        <v>0</v>
      </c>
      <c r="AC156">
        <v>0</v>
      </c>
      <c r="AD156">
        <v>1</v>
      </c>
      <c r="AE156">
        <v>0</v>
      </c>
      <c r="AF156" t="s">
        <v>31</v>
      </c>
      <c r="AG156">
        <v>45.137499999999996</v>
      </c>
      <c r="AH156">
        <v>2</v>
      </c>
      <c r="AI156">
        <v>46468352</v>
      </c>
      <c r="AJ156">
        <v>168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ROW(Source!A251)</f>
        <v>251</v>
      </c>
      <c r="B157">
        <v>46468353</v>
      </c>
      <c r="C157">
        <v>46468349</v>
      </c>
      <c r="D157">
        <v>42568101</v>
      </c>
      <c r="E157">
        <v>1</v>
      </c>
      <c r="F157">
        <v>1</v>
      </c>
      <c r="G157">
        <v>1</v>
      </c>
      <c r="H157">
        <v>2</v>
      </c>
      <c r="I157" t="s">
        <v>531</v>
      </c>
      <c r="J157" t="s">
        <v>532</v>
      </c>
      <c r="K157" t="s">
        <v>533</v>
      </c>
      <c r="L157">
        <v>1368</v>
      </c>
      <c r="N157">
        <v>1011</v>
      </c>
      <c r="O157" t="s">
        <v>393</v>
      </c>
      <c r="P157" t="s">
        <v>393</v>
      </c>
      <c r="Q157">
        <v>1</v>
      </c>
      <c r="X157">
        <v>1.29</v>
      </c>
      <c r="Y157">
        <v>0</v>
      </c>
      <c r="Z157">
        <v>8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31</v>
      </c>
      <c r="AG157">
        <v>1.4834999999999998</v>
      </c>
      <c r="AH157">
        <v>2</v>
      </c>
      <c r="AI157">
        <v>46468353</v>
      </c>
      <c r="AJ157">
        <v>169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ROW(Source!A251)</f>
        <v>251</v>
      </c>
      <c r="B158">
        <v>46468354</v>
      </c>
      <c r="C158">
        <v>46468349</v>
      </c>
      <c r="D158">
        <v>42568376</v>
      </c>
      <c r="E158">
        <v>1</v>
      </c>
      <c r="F158">
        <v>1</v>
      </c>
      <c r="G158">
        <v>1</v>
      </c>
      <c r="H158">
        <v>2</v>
      </c>
      <c r="I158" t="s">
        <v>534</v>
      </c>
      <c r="J158" t="s">
        <v>535</v>
      </c>
      <c r="K158" t="s">
        <v>536</v>
      </c>
      <c r="L158">
        <v>1368</v>
      </c>
      <c r="N158">
        <v>1011</v>
      </c>
      <c r="O158" t="s">
        <v>393</v>
      </c>
      <c r="P158" t="s">
        <v>393</v>
      </c>
      <c r="Q158">
        <v>1</v>
      </c>
      <c r="X158">
        <v>2.14</v>
      </c>
      <c r="Y158">
        <v>0</v>
      </c>
      <c r="Z158">
        <v>126.49</v>
      </c>
      <c r="AA158">
        <v>12.62</v>
      </c>
      <c r="AB158">
        <v>0</v>
      </c>
      <c r="AC158">
        <v>0</v>
      </c>
      <c r="AD158">
        <v>1</v>
      </c>
      <c r="AE158">
        <v>0</v>
      </c>
      <c r="AF158" t="s">
        <v>31</v>
      </c>
      <c r="AG158">
        <v>2.4609999999999999</v>
      </c>
      <c r="AH158">
        <v>2</v>
      </c>
      <c r="AI158">
        <v>46468354</v>
      </c>
      <c r="AJ158">
        <v>170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ROW(Source!A251)</f>
        <v>251</v>
      </c>
      <c r="B159">
        <v>46468355</v>
      </c>
      <c r="C159">
        <v>46468349</v>
      </c>
      <c r="D159">
        <v>42570318</v>
      </c>
      <c r="E159">
        <v>1</v>
      </c>
      <c r="F159">
        <v>1</v>
      </c>
      <c r="G159">
        <v>1</v>
      </c>
      <c r="H159">
        <v>2</v>
      </c>
      <c r="I159" t="s">
        <v>397</v>
      </c>
      <c r="J159" t="s">
        <v>398</v>
      </c>
      <c r="K159" t="s">
        <v>399</v>
      </c>
      <c r="L159">
        <v>1368</v>
      </c>
      <c r="N159">
        <v>1011</v>
      </c>
      <c r="O159" t="s">
        <v>393</v>
      </c>
      <c r="P159" t="s">
        <v>393</v>
      </c>
      <c r="Q159">
        <v>1</v>
      </c>
      <c r="X159">
        <v>117.75</v>
      </c>
      <c r="Y159">
        <v>0</v>
      </c>
      <c r="Z159">
        <v>1.53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31</v>
      </c>
      <c r="AG159">
        <v>135.41249999999999</v>
      </c>
      <c r="AH159">
        <v>2</v>
      </c>
      <c r="AI159">
        <v>46468355</v>
      </c>
      <c r="AJ159">
        <v>171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ROW(Source!A252)</f>
        <v>252</v>
      </c>
      <c r="B160">
        <v>46468343</v>
      </c>
      <c r="C160">
        <v>46468337</v>
      </c>
      <c r="D160">
        <v>42643721</v>
      </c>
      <c r="E160">
        <v>1</v>
      </c>
      <c r="F160">
        <v>1</v>
      </c>
      <c r="G160">
        <v>1</v>
      </c>
      <c r="H160">
        <v>1</v>
      </c>
      <c r="I160" t="s">
        <v>413</v>
      </c>
      <c r="J160" t="s">
        <v>3</v>
      </c>
      <c r="K160" t="s">
        <v>414</v>
      </c>
      <c r="L160">
        <v>1369</v>
      </c>
      <c r="N160">
        <v>1013</v>
      </c>
      <c r="O160" t="s">
        <v>387</v>
      </c>
      <c r="P160" t="s">
        <v>387</v>
      </c>
      <c r="Q160">
        <v>1</v>
      </c>
      <c r="X160">
        <v>173</v>
      </c>
      <c r="Y160">
        <v>0</v>
      </c>
      <c r="Z160">
        <v>0</v>
      </c>
      <c r="AA160">
        <v>0</v>
      </c>
      <c r="AB160">
        <v>7.43</v>
      </c>
      <c r="AC160">
        <v>0</v>
      </c>
      <c r="AD160">
        <v>1</v>
      </c>
      <c r="AE160">
        <v>1</v>
      </c>
      <c r="AF160" t="s">
        <v>31</v>
      </c>
      <c r="AG160">
        <v>198.95</v>
      </c>
      <c r="AH160">
        <v>2</v>
      </c>
      <c r="AI160">
        <v>46468338</v>
      </c>
      <c r="AJ160">
        <v>172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ROW(Source!A252)</f>
        <v>252</v>
      </c>
      <c r="B161">
        <v>46468344</v>
      </c>
      <c r="C161">
        <v>46468337</v>
      </c>
      <c r="D161">
        <v>121548</v>
      </c>
      <c r="E161">
        <v>1</v>
      </c>
      <c r="F161">
        <v>1</v>
      </c>
      <c r="G161">
        <v>1</v>
      </c>
      <c r="H161">
        <v>1</v>
      </c>
      <c r="I161" t="s">
        <v>26</v>
      </c>
      <c r="J161" t="s">
        <v>3</v>
      </c>
      <c r="K161" t="s">
        <v>388</v>
      </c>
      <c r="L161">
        <v>608254</v>
      </c>
      <c r="N161">
        <v>1013</v>
      </c>
      <c r="O161" t="s">
        <v>389</v>
      </c>
      <c r="P161" t="s">
        <v>389</v>
      </c>
      <c r="Q161">
        <v>1</v>
      </c>
      <c r="X161">
        <v>8.98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2</v>
      </c>
      <c r="AF161" t="s">
        <v>47</v>
      </c>
      <c r="AG161">
        <v>10.327</v>
      </c>
      <c r="AH161">
        <v>2</v>
      </c>
      <c r="AI161">
        <v>46468339</v>
      </c>
      <c r="AJ161">
        <v>173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ROW(Source!A252)</f>
        <v>252</v>
      </c>
      <c r="B162">
        <v>46468345</v>
      </c>
      <c r="C162">
        <v>46468337</v>
      </c>
      <c r="D162">
        <v>42567808</v>
      </c>
      <c r="E162">
        <v>1</v>
      </c>
      <c r="F162">
        <v>1</v>
      </c>
      <c r="G162">
        <v>1</v>
      </c>
      <c r="H162">
        <v>2</v>
      </c>
      <c r="I162" t="s">
        <v>415</v>
      </c>
      <c r="J162" t="s">
        <v>416</v>
      </c>
      <c r="K162" t="s">
        <v>417</v>
      </c>
      <c r="L162">
        <v>1368</v>
      </c>
      <c r="N162">
        <v>1011</v>
      </c>
      <c r="O162" t="s">
        <v>393</v>
      </c>
      <c r="P162" t="s">
        <v>393</v>
      </c>
      <c r="Q162">
        <v>1</v>
      </c>
      <c r="X162">
        <v>8.74</v>
      </c>
      <c r="Y162">
        <v>0</v>
      </c>
      <c r="Z162">
        <v>52.75</v>
      </c>
      <c r="AA162">
        <v>10.84</v>
      </c>
      <c r="AB162">
        <v>0</v>
      </c>
      <c r="AC162">
        <v>0</v>
      </c>
      <c r="AD162">
        <v>1</v>
      </c>
      <c r="AE162">
        <v>0</v>
      </c>
      <c r="AF162" t="s">
        <v>47</v>
      </c>
      <c r="AG162">
        <v>10.051</v>
      </c>
      <c r="AH162">
        <v>2</v>
      </c>
      <c r="AI162">
        <v>46468340</v>
      </c>
      <c r="AJ162">
        <v>174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ROW(Source!A252)</f>
        <v>252</v>
      </c>
      <c r="B163">
        <v>46468346</v>
      </c>
      <c r="C163">
        <v>46468337</v>
      </c>
      <c r="D163">
        <v>42567921</v>
      </c>
      <c r="E163">
        <v>1</v>
      </c>
      <c r="F163">
        <v>1</v>
      </c>
      <c r="G163">
        <v>1</v>
      </c>
      <c r="H163">
        <v>2</v>
      </c>
      <c r="I163" t="s">
        <v>410</v>
      </c>
      <c r="J163" t="s">
        <v>411</v>
      </c>
      <c r="K163" t="s">
        <v>412</v>
      </c>
      <c r="L163">
        <v>1368</v>
      </c>
      <c r="N163">
        <v>1011</v>
      </c>
      <c r="O163" t="s">
        <v>393</v>
      </c>
      <c r="P163" t="s">
        <v>393</v>
      </c>
      <c r="Q163">
        <v>1</v>
      </c>
      <c r="X163">
        <v>0.24</v>
      </c>
      <c r="Y163">
        <v>0</v>
      </c>
      <c r="Z163">
        <v>48.49</v>
      </c>
      <c r="AA163">
        <v>9.4</v>
      </c>
      <c r="AB163">
        <v>0</v>
      </c>
      <c r="AC163">
        <v>0</v>
      </c>
      <c r="AD163">
        <v>1</v>
      </c>
      <c r="AE163">
        <v>0</v>
      </c>
      <c r="AF163" t="s">
        <v>47</v>
      </c>
      <c r="AG163">
        <v>0.27599999999999997</v>
      </c>
      <c r="AH163">
        <v>2</v>
      </c>
      <c r="AI163">
        <v>46468341</v>
      </c>
      <c r="AJ163">
        <v>175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ROW(Source!A252)</f>
        <v>252</v>
      </c>
      <c r="B164">
        <v>46468347</v>
      </c>
      <c r="C164">
        <v>46468337</v>
      </c>
      <c r="D164">
        <v>42570815</v>
      </c>
      <c r="E164">
        <v>1</v>
      </c>
      <c r="F164">
        <v>1</v>
      </c>
      <c r="G164">
        <v>1</v>
      </c>
      <c r="H164">
        <v>2</v>
      </c>
      <c r="I164" t="s">
        <v>418</v>
      </c>
      <c r="J164" t="s">
        <v>419</v>
      </c>
      <c r="K164" t="s">
        <v>420</v>
      </c>
      <c r="L164">
        <v>1368</v>
      </c>
      <c r="N164">
        <v>1011</v>
      </c>
      <c r="O164" t="s">
        <v>393</v>
      </c>
      <c r="P164" t="s">
        <v>393</v>
      </c>
      <c r="Q164">
        <v>1</v>
      </c>
      <c r="X164">
        <v>8.74</v>
      </c>
      <c r="Y164">
        <v>0</v>
      </c>
      <c r="Z164">
        <v>63.38</v>
      </c>
      <c r="AA164">
        <v>10.84</v>
      </c>
      <c r="AB164">
        <v>0</v>
      </c>
      <c r="AC164">
        <v>0</v>
      </c>
      <c r="AD164">
        <v>1</v>
      </c>
      <c r="AE164">
        <v>0</v>
      </c>
      <c r="AF164" t="s">
        <v>47</v>
      </c>
      <c r="AG164">
        <v>10.051</v>
      </c>
      <c r="AH164">
        <v>2</v>
      </c>
      <c r="AI164">
        <v>46468342</v>
      </c>
      <c r="AJ164">
        <v>176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ROW(Source!A253)</f>
        <v>253</v>
      </c>
      <c r="B165">
        <v>46468357</v>
      </c>
      <c r="C165">
        <v>46468356</v>
      </c>
      <c r="D165">
        <v>42641564</v>
      </c>
      <c r="E165">
        <v>1</v>
      </c>
      <c r="F165">
        <v>1</v>
      </c>
      <c r="G165">
        <v>1</v>
      </c>
      <c r="H165">
        <v>1</v>
      </c>
      <c r="I165" t="s">
        <v>408</v>
      </c>
      <c r="J165" t="s">
        <v>3</v>
      </c>
      <c r="K165" t="s">
        <v>409</v>
      </c>
      <c r="L165">
        <v>1369</v>
      </c>
      <c r="N165">
        <v>1013</v>
      </c>
      <c r="O165" t="s">
        <v>387</v>
      </c>
      <c r="P165" t="s">
        <v>387</v>
      </c>
      <c r="Q165">
        <v>1</v>
      </c>
      <c r="X165">
        <v>18.37</v>
      </c>
      <c r="Y165">
        <v>0</v>
      </c>
      <c r="Z165">
        <v>0</v>
      </c>
      <c r="AA165">
        <v>0</v>
      </c>
      <c r="AB165">
        <v>7.36</v>
      </c>
      <c r="AC165">
        <v>0</v>
      </c>
      <c r="AD165">
        <v>1</v>
      </c>
      <c r="AE165">
        <v>1</v>
      </c>
      <c r="AF165" t="s">
        <v>31</v>
      </c>
      <c r="AG165">
        <v>21.125499999999999</v>
      </c>
      <c r="AH165">
        <v>2</v>
      </c>
      <c r="AI165">
        <v>46468357</v>
      </c>
      <c r="AJ165">
        <v>177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ROW(Source!A253)</f>
        <v>253</v>
      </c>
      <c r="B166">
        <v>46468358</v>
      </c>
      <c r="C166">
        <v>46468356</v>
      </c>
      <c r="D166">
        <v>121548</v>
      </c>
      <c r="E166">
        <v>1</v>
      </c>
      <c r="F166">
        <v>1</v>
      </c>
      <c r="G166">
        <v>1</v>
      </c>
      <c r="H166">
        <v>1</v>
      </c>
      <c r="I166" t="s">
        <v>26</v>
      </c>
      <c r="J166" t="s">
        <v>3</v>
      </c>
      <c r="K166" t="s">
        <v>388</v>
      </c>
      <c r="L166">
        <v>608254</v>
      </c>
      <c r="N166">
        <v>1013</v>
      </c>
      <c r="O166" t="s">
        <v>389</v>
      </c>
      <c r="P166" t="s">
        <v>389</v>
      </c>
      <c r="Q166">
        <v>1</v>
      </c>
      <c r="X166">
        <v>4.6500000000000004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2</v>
      </c>
      <c r="AF166" t="s">
        <v>31</v>
      </c>
      <c r="AG166">
        <v>5.3475000000000001</v>
      </c>
      <c r="AH166">
        <v>2</v>
      </c>
      <c r="AI166">
        <v>46468358</v>
      </c>
      <c r="AJ166">
        <v>178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ROW(Source!A253)</f>
        <v>253</v>
      </c>
      <c r="B167">
        <v>46468359</v>
      </c>
      <c r="C167">
        <v>46468356</v>
      </c>
      <c r="D167">
        <v>42568376</v>
      </c>
      <c r="E167">
        <v>1</v>
      </c>
      <c r="F167">
        <v>1</v>
      </c>
      <c r="G167">
        <v>1</v>
      </c>
      <c r="H167">
        <v>2</v>
      </c>
      <c r="I167" t="s">
        <v>534</v>
      </c>
      <c r="J167" t="s">
        <v>535</v>
      </c>
      <c r="K167" t="s">
        <v>536</v>
      </c>
      <c r="L167">
        <v>1368</v>
      </c>
      <c r="N167">
        <v>1011</v>
      </c>
      <c r="O167" t="s">
        <v>393</v>
      </c>
      <c r="P167" t="s">
        <v>393</v>
      </c>
      <c r="Q167">
        <v>1</v>
      </c>
      <c r="X167">
        <v>2.67</v>
      </c>
      <c r="Y167">
        <v>0</v>
      </c>
      <c r="Z167">
        <v>126.49</v>
      </c>
      <c r="AA167">
        <v>12.62</v>
      </c>
      <c r="AB167">
        <v>0</v>
      </c>
      <c r="AC167">
        <v>0</v>
      </c>
      <c r="AD167">
        <v>1</v>
      </c>
      <c r="AE167">
        <v>0</v>
      </c>
      <c r="AF167" t="s">
        <v>31</v>
      </c>
      <c r="AG167">
        <v>3.0704999999999996</v>
      </c>
      <c r="AH167">
        <v>2</v>
      </c>
      <c r="AI167">
        <v>46468359</v>
      </c>
      <c r="AJ167">
        <v>179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ROW(Source!A253)</f>
        <v>253</v>
      </c>
      <c r="B168">
        <v>46468360</v>
      </c>
      <c r="C168">
        <v>46468356</v>
      </c>
      <c r="D168">
        <v>42568613</v>
      </c>
      <c r="E168">
        <v>1</v>
      </c>
      <c r="F168">
        <v>1</v>
      </c>
      <c r="G168">
        <v>1</v>
      </c>
      <c r="H168">
        <v>2</v>
      </c>
      <c r="I168" t="s">
        <v>537</v>
      </c>
      <c r="J168" t="s">
        <v>538</v>
      </c>
      <c r="K168" t="s">
        <v>539</v>
      </c>
      <c r="L168">
        <v>1368</v>
      </c>
      <c r="N168">
        <v>1011</v>
      </c>
      <c r="O168" t="s">
        <v>393</v>
      </c>
      <c r="P168" t="s">
        <v>393</v>
      </c>
      <c r="Q168">
        <v>1</v>
      </c>
      <c r="X168">
        <v>1.98</v>
      </c>
      <c r="Y168">
        <v>0</v>
      </c>
      <c r="Z168">
        <v>56.5</v>
      </c>
      <c r="AA168">
        <v>10.84</v>
      </c>
      <c r="AB168">
        <v>0</v>
      </c>
      <c r="AC168">
        <v>0</v>
      </c>
      <c r="AD168">
        <v>1</v>
      </c>
      <c r="AE168">
        <v>0</v>
      </c>
      <c r="AF168" t="s">
        <v>31</v>
      </c>
      <c r="AG168">
        <v>2.2769999999999997</v>
      </c>
      <c r="AH168">
        <v>2</v>
      </c>
      <c r="AI168">
        <v>46468360</v>
      </c>
      <c r="AJ168">
        <v>180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ROW(Source!A254)</f>
        <v>254</v>
      </c>
      <c r="B169">
        <v>46468367</v>
      </c>
      <c r="C169">
        <v>46468361</v>
      </c>
      <c r="D169">
        <v>42640621</v>
      </c>
      <c r="E169">
        <v>1</v>
      </c>
      <c r="F169">
        <v>1</v>
      </c>
      <c r="G169">
        <v>1</v>
      </c>
      <c r="H169">
        <v>1</v>
      </c>
      <c r="I169" t="s">
        <v>406</v>
      </c>
      <c r="J169" t="s">
        <v>3</v>
      </c>
      <c r="K169" t="s">
        <v>407</v>
      </c>
      <c r="L169">
        <v>1369</v>
      </c>
      <c r="N169">
        <v>1013</v>
      </c>
      <c r="O169" t="s">
        <v>387</v>
      </c>
      <c r="P169" t="s">
        <v>387</v>
      </c>
      <c r="Q169">
        <v>1</v>
      </c>
      <c r="X169">
        <v>31.32</v>
      </c>
      <c r="Y169">
        <v>0</v>
      </c>
      <c r="Z169">
        <v>0</v>
      </c>
      <c r="AA169">
        <v>0</v>
      </c>
      <c r="AB169">
        <v>7.29</v>
      </c>
      <c r="AC169">
        <v>0</v>
      </c>
      <c r="AD169">
        <v>1</v>
      </c>
      <c r="AE169">
        <v>1</v>
      </c>
      <c r="AF169" t="s">
        <v>31</v>
      </c>
      <c r="AG169">
        <v>36.018000000000001</v>
      </c>
      <c r="AH169">
        <v>2</v>
      </c>
      <c r="AI169">
        <v>46468362</v>
      </c>
      <c r="AJ169">
        <v>181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ROW(Source!A254)</f>
        <v>254</v>
      </c>
      <c r="B170">
        <v>46468368</v>
      </c>
      <c r="C170">
        <v>46468361</v>
      </c>
      <c r="D170">
        <v>121548</v>
      </c>
      <c r="E170">
        <v>1</v>
      </c>
      <c r="F170">
        <v>1</v>
      </c>
      <c r="G170">
        <v>1</v>
      </c>
      <c r="H170">
        <v>1</v>
      </c>
      <c r="I170" t="s">
        <v>26</v>
      </c>
      <c r="J170" t="s">
        <v>3</v>
      </c>
      <c r="K170" t="s">
        <v>388</v>
      </c>
      <c r="L170">
        <v>608254</v>
      </c>
      <c r="N170">
        <v>1013</v>
      </c>
      <c r="O170" t="s">
        <v>389</v>
      </c>
      <c r="P170" t="s">
        <v>389</v>
      </c>
      <c r="Q170">
        <v>1</v>
      </c>
      <c r="X170">
        <v>90.09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2</v>
      </c>
      <c r="AF170" t="s">
        <v>31</v>
      </c>
      <c r="AG170">
        <v>103.6035</v>
      </c>
      <c r="AH170">
        <v>2</v>
      </c>
      <c r="AI170">
        <v>46468363</v>
      </c>
      <c r="AJ170">
        <v>182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ROW(Source!A254)</f>
        <v>254</v>
      </c>
      <c r="B171">
        <v>46468369</v>
      </c>
      <c r="C171">
        <v>46468361</v>
      </c>
      <c r="D171">
        <v>42567808</v>
      </c>
      <c r="E171">
        <v>1</v>
      </c>
      <c r="F171">
        <v>1</v>
      </c>
      <c r="G171">
        <v>1</v>
      </c>
      <c r="H171">
        <v>2</v>
      </c>
      <c r="I171" t="s">
        <v>415</v>
      </c>
      <c r="J171" t="s">
        <v>416</v>
      </c>
      <c r="K171" t="s">
        <v>417</v>
      </c>
      <c r="L171">
        <v>1368</v>
      </c>
      <c r="N171">
        <v>1011</v>
      </c>
      <c r="O171" t="s">
        <v>393</v>
      </c>
      <c r="P171" t="s">
        <v>393</v>
      </c>
      <c r="Q171">
        <v>1</v>
      </c>
      <c r="X171">
        <v>73.040000000000006</v>
      </c>
      <c r="Y171">
        <v>0</v>
      </c>
      <c r="Z171">
        <v>52.75</v>
      </c>
      <c r="AA171">
        <v>10.84</v>
      </c>
      <c r="AB171">
        <v>0</v>
      </c>
      <c r="AC171">
        <v>0</v>
      </c>
      <c r="AD171">
        <v>1</v>
      </c>
      <c r="AE171">
        <v>0</v>
      </c>
      <c r="AF171" t="s">
        <v>31</v>
      </c>
      <c r="AG171">
        <v>83.995999999999995</v>
      </c>
      <c r="AH171">
        <v>2</v>
      </c>
      <c r="AI171">
        <v>46468364</v>
      </c>
      <c r="AJ171">
        <v>183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ROW(Source!A254)</f>
        <v>254</v>
      </c>
      <c r="B172">
        <v>46468370</v>
      </c>
      <c r="C172">
        <v>46468361</v>
      </c>
      <c r="D172">
        <v>42567923</v>
      </c>
      <c r="E172">
        <v>1</v>
      </c>
      <c r="F172">
        <v>1</v>
      </c>
      <c r="G172">
        <v>1</v>
      </c>
      <c r="H172">
        <v>2</v>
      </c>
      <c r="I172" t="s">
        <v>421</v>
      </c>
      <c r="J172" t="s">
        <v>422</v>
      </c>
      <c r="K172" t="s">
        <v>423</v>
      </c>
      <c r="L172">
        <v>1368</v>
      </c>
      <c r="N172">
        <v>1011</v>
      </c>
      <c r="O172" t="s">
        <v>393</v>
      </c>
      <c r="P172" t="s">
        <v>393</v>
      </c>
      <c r="Q172">
        <v>1</v>
      </c>
      <c r="X172">
        <v>17.05</v>
      </c>
      <c r="Y172">
        <v>0</v>
      </c>
      <c r="Z172">
        <v>62.74</v>
      </c>
      <c r="AA172">
        <v>10.84</v>
      </c>
      <c r="AB172">
        <v>0</v>
      </c>
      <c r="AC172">
        <v>0</v>
      </c>
      <c r="AD172">
        <v>1</v>
      </c>
      <c r="AE172">
        <v>0</v>
      </c>
      <c r="AF172" t="s">
        <v>31</v>
      </c>
      <c r="AG172">
        <v>19.607499999999998</v>
      </c>
      <c r="AH172">
        <v>2</v>
      </c>
      <c r="AI172">
        <v>46468365</v>
      </c>
      <c r="AJ172">
        <v>184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ROW(Source!A254)</f>
        <v>254</v>
      </c>
      <c r="B173">
        <v>46468371</v>
      </c>
      <c r="C173">
        <v>46468361</v>
      </c>
      <c r="D173">
        <v>42581247</v>
      </c>
      <c r="E173">
        <v>1</v>
      </c>
      <c r="F173">
        <v>1</v>
      </c>
      <c r="G173">
        <v>1</v>
      </c>
      <c r="H173">
        <v>3</v>
      </c>
      <c r="I173" t="s">
        <v>424</v>
      </c>
      <c r="J173" t="s">
        <v>425</v>
      </c>
      <c r="K173" t="s">
        <v>426</v>
      </c>
      <c r="L173">
        <v>1339</v>
      </c>
      <c r="N173">
        <v>1007</v>
      </c>
      <c r="O173" t="s">
        <v>139</v>
      </c>
      <c r="P173" t="s">
        <v>139</v>
      </c>
      <c r="Q173">
        <v>1</v>
      </c>
      <c r="X173">
        <v>0.04</v>
      </c>
      <c r="Y173">
        <v>116.47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</v>
      </c>
      <c r="AG173">
        <v>0.04</v>
      </c>
      <c r="AH173">
        <v>2</v>
      </c>
      <c r="AI173">
        <v>46468366</v>
      </c>
      <c r="AJ173">
        <v>185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ROW(Source!A255)</f>
        <v>255</v>
      </c>
      <c r="B174">
        <v>46468375</v>
      </c>
      <c r="C174">
        <v>46468373</v>
      </c>
      <c r="D174">
        <v>42640621</v>
      </c>
      <c r="E174">
        <v>1</v>
      </c>
      <c r="F174">
        <v>1</v>
      </c>
      <c r="G174">
        <v>1</v>
      </c>
      <c r="H174">
        <v>1</v>
      </c>
      <c r="I174" t="s">
        <v>406</v>
      </c>
      <c r="J174" t="s">
        <v>3</v>
      </c>
      <c r="K174" t="s">
        <v>407</v>
      </c>
      <c r="L174">
        <v>1369</v>
      </c>
      <c r="N174">
        <v>1013</v>
      </c>
      <c r="O174" t="s">
        <v>387</v>
      </c>
      <c r="P174" t="s">
        <v>387</v>
      </c>
      <c r="Q174">
        <v>1</v>
      </c>
      <c r="X174">
        <v>154</v>
      </c>
      <c r="Y174">
        <v>0</v>
      </c>
      <c r="Z174">
        <v>0</v>
      </c>
      <c r="AA174">
        <v>0</v>
      </c>
      <c r="AB174">
        <v>7.29</v>
      </c>
      <c r="AC174">
        <v>0</v>
      </c>
      <c r="AD174">
        <v>1</v>
      </c>
      <c r="AE174">
        <v>1</v>
      </c>
      <c r="AF174" t="s">
        <v>31</v>
      </c>
      <c r="AG174">
        <v>177.1</v>
      </c>
      <c r="AH174">
        <v>2</v>
      </c>
      <c r="AI174">
        <v>46468374</v>
      </c>
      <c r="AJ174">
        <v>186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ROW(Source!A292)</f>
        <v>292</v>
      </c>
      <c r="B175">
        <v>46468466</v>
      </c>
      <c r="C175">
        <v>46468461</v>
      </c>
      <c r="D175">
        <v>42640871</v>
      </c>
      <c r="E175">
        <v>1</v>
      </c>
      <c r="F175">
        <v>1</v>
      </c>
      <c r="G175">
        <v>1</v>
      </c>
      <c r="H175">
        <v>1</v>
      </c>
      <c r="I175" t="s">
        <v>385</v>
      </c>
      <c r="J175" t="s">
        <v>3</v>
      </c>
      <c r="K175" t="s">
        <v>386</v>
      </c>
      <c r="L175">
        <v>1369</v>
      </c>
      <c r="N175">
        <v>1013</v>
      </c>
      <c r="O175" t="s">
        <v>387</v>
      </c>
      <c r="P175" t="s">
        <v>387</v>
      </c>
      <c r="Q175">
        <v>1</v>
      </c>
      <c r="X175">
        <v>12.53</v>
      </c>
      <c r="Y175">
        <v>0</v>
      </c>
      <c r="Z175">
        <v>0</v>
      </c>
      <c r="AA175">
        <v>0</v>
      </c>
      <c r="AB175">
        <v>7.97</v>
      </c>
      <c r="AC175">
        <v>0</v>
      </c>
      <c r="AD175">
        <v>1</v>
      </c>
      <c r="AE175">
        <v>1</v>
      </c>
      <c r="AF175" t="s">
        <v>31</v>
      </c>
      <c r="AG175">
        <v>14.409499999999998</v>
      </c>
      <c r="AH175">
        <v>2</v>
      </c>
      <c r="AI175">
        <v>46468462</v>
      </c>
      <c r="AJ175">
        <v>187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ROW(Source!A292)</f>
        <v>292</v>
      </c>
      <c r="B176">
        <v>46468467</v>
      </c>
      <c r="C176">
        <v>46468461</v>
      </c>
      <c r="D176">
        <v>121548</v>
      </c>
      <c r="E176">
        <v>1</v>
      </c>
      <c r="F176">
        <v>1</v>
      </c>
      <c r="G176">
        <v>1</v>
      </c>
      <c r="H176">
        <v>1</v>
      </c>
      <c r="I176" t="s">
        <v>26</v>
      </c>
      <c r="J176" t="s">
        <v>3</v>
      </c>
      <c r="K176" t="s">
        <v>388</v>
      </c>
      <c r="L176">
        <v>608254</v>
      </c>
      <c r="N176">
        <v>1013</v>
      </c>
      <c r="O176" t="s">
        <v>389</v>
      </c>
      <c r="P176" t="s">
        <v>389</v>
      </c>
      <c r="Q176">
        <v>1</v>
      </c>
      <c r="X176">
        <v>3.04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2</v>
      </c>
      <c r="AF176" t="s">
        <v>31</v>
      </c>
      <c r="AG176">
        <v>3.4959999999999996</v>
      </c>
      <c r="AH176">
        <v>2</v>
      </c>
      <c r="AI176">
        <v>46468463</v>
      </c>
      <c r="AJ176">
        <v>188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ROW(Source!A292)</f>
        <v>292</v>
      </c>
      <c r="B177">
        <v>46468468</v>
      </c>
      <c r="C177">
        <v>46468461</v>
      </c>
      <c r="D177">
        <v>42567659</v>
      </c>
      <c r="E177">
        <v>1</v>
      </c>
      <c r="F177">
        <v>1</v>
      </c>
      <c r="G177">
        <v>1</v>
      </c>
      <c r="H177">
        <v>2</v>
      </c>
      <c r="I177" t="s">
        <v>394</v>
      </c>
      <c r="J177" t="s">
        <v>395</v>
      </c>
      <c r="K177" t="s">
        <v>396</v>
      </c>
      <c r="L177">
        <v>1368</v>
      </c>
      <c r="N177">
        <v>1011</v>
      </c>
      <c r="O177" t="s">
        <v>393</v>
      </c>
      <c r="P177" t="s">
        <v>393</v>
      </c>
      <c r="Q177">
        <v>1</v>
      </c>
      <c r="X177">
        <v>3.04</v>
      </c>
      <c r="Y177">
        <v>0</v>
      </c>
      <c r="Z177">
        <v>98.87</v>
      </c>
      <c r="AA177">
        <v>9.4</v>
      </c>
      <c r="AB177">
        <v>0</v>
      </c>
      <c r="AC177">
        <v>0</v>
      </c>
      <c r="AD177">
        <v>1</v>
      </c>
      <c r="AE177">
        <v>0</v>
      </c>
      <c r="AF177" t="s">
        <v>31</v>
      </c>
      <c r="AG177">
        <v>3.4959999999999996</v>
      </c>
      <c r="AH177">
        <v>2</v>
      </c>
      <c r="AI177">
        <v>46468464</v>
      </c>
      <c r="AJ177">
        <v>189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ROW(Source!A292)</f>
        <v>292</v>
      </c>
      <c r="B178">
        <v>46468469</v>
      </c>
      <c r="C178">
        <v>46468461</v>
      </c>
      <c r="D178">
        <v>42570360</v>
      </c>
      <c r="E178">
        <v>1</v>
      </c>
      <c r="F178">
        <v>1</v>
      </c>
      <c r="G178">
        <v>1</v>
      </c>
      <c r="H178">
        <v>2</v>
      </c>
      <c r="I178" t="s">
        <v>427</v>
      </c>
      <c r="J178" t="s">
        <v>428</v>
      </c>
      <c r="K178" t="s">
        <v>429</v>
      </c>
      <c r="L178">
        <v>1368</v>
      </c>
      <c r="N178">
        <v>1011</v>
      </c>
      <c r="O178" t="s">
        <v>393</v>
      </c>
      <c r="P178" t="s">
        <v>393</v>
      </c>
      <c r="Q178">
        <v>1</v>
      </c>
      <c r="X178">
        <v>12.18</v>
      </c>
      <c r="Y178">
        <v>0</v>
      </c>
      <c r="Z178">
        <v>0.55000000000000004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31</v>
      </c>
      <c r="AG178">
        <v>14.006999999999998</v>
      </c>
      <c r="AH178">
        <v>2</v>
      </c>
      <c r="AI178">
        <v>46468465</v>
      </c>
      <c r="AJ178">
        <v>190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ROW(Source!A293)</f>
        <v>293</v>
      </c>
      <c r="B179">
        <v>46468479</v>
      </c>
      <c r="C179">
        <v>46468470</v>
      </c>
      <c r="D179">
        <v>42645178</v>
      </c>
      <c r="E179">
        <v>1</v>
      </c>
      <c r="F179">
        <v>1</v>
      </c>
      <c r="G179">
        <v>1</v>
      </c>
      <c r="H179">
        <v>1</v>
      </c>
      <c r="I179" t="s">
        <v>430</v>
      </c>
      <c r="J179" t="s">
        <v>3</v>
      </c>
      <c r="K179" t="s">
        <v>431</v>
      </c>
      <c r="L179">
        <v>1369</v>
      </c>
      <c r="N179">
        <v>1013</v>
      </c>
      <c r="O179" t="s">
        <v>387</v>
      </c>
      <c r="P179" t="s">
        <v>387</v>
      </c>
      <c r="Q179">
        <v>1</v>
      </c>
      <c r="X179">
        <v>3.41</v>
      </c>
      <c r="Y179">
        <v>0</v>
      </c>
      <c r="Z179">
        <v>0</v>
      </c>
      <c r="AA179">
        <v>0</v>
      </c>
      <c r="AB179">
        <v>8.07</v>
      </c>
      <c r="AC179">
        <v>0</v>
      </c>
      <c r="AD179">
        <v>1</v>
      </c>
      <c r="AE179">
        <v>1</v>
      </c>
      <c r="AF179" t="s">
        <v>31</v>
      </c>
      <c r="AG179">
        <v>3.9215</v>
      </c>
      <c r="AH179">
        <v>2</v>
      </c>
      <c r="AI179">
        <v>46468471</v>
      </c>
      <c r="AJ179">
        <v>191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ROW(Source!A293)</f>
        <v>293</v>
      </c>
      <c r="B180">
        <v>46468480</v>
      </c>
      <c r="C180">
        <v>46468470</v>
      </c>
      <c r="D180">
        <v>121548</v>
      </c>
      <c r="E180">
        <v>1</v>
      </c>
      <c r="F180">
        <v>1</v>
      </c>
      <c r="G180">
        <v>1</v>
      </c>
      <c r="H180">
        <v>1</v>
      </c>
      <c r="I180" t="s">
        <v>26</v>
      </c>
      <c r="J180" t="s">
        <v>3</v>
      </c>
      <c r="K180" t="s">
        <v>388</v>
      </c>
      <c r="L180">
        <v>608254</v>
      </c>
      <c r="N180">
        <v>1013</v>
      </c>
      <c r="O180" t="s">
        <v>389</v>
      </c>
      <c r="P180" t="s">
        <v>389</v>
      </c>
      <c r="Q180">
        <v>1</v>
      </c>
      <c r="X180">
        <v>0.3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2</v>
      </c>
      <c r="AF180" t="s">
        <v>31</v>
      </c>
      <c r="AG180">
        <v>0.34499999999999997</v>
      </c>
      <c r="AH180">
        <v>2</v>
      </c>
      <c r="AI180">
        <v>46468472</v>
      </c>
      <c r="AJ180">
        <v>192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ROW(Source!A293)</f>
        <v>293</v>
      </c>
      <c r="B181">
        <v>46468481</v>
      </c>
      <c r="C181">
        <v>46468470</v>
      </c>
      <c r="D181">
        <v>42567318</v>
      </c>
      <c r="E181">
        <v>1</v>
      </c>
      <c r="F181">
        <v>1</v>
      </c>
      <c r="G181">
        <v>1</v>
      </c>
      <c r="H181">
        <v>2</v>
      </c>
      <c r="I181" t="s">
        <v>432</v>
      </c>
      <c r="J181" t="s">
        <v>433</v>
      </c>
      <c r="K181" t="s">
        <v>434</v>
      </c>
      <c r="L181">
        <v>1368</v>
      </c>
      <c r="N181">
        <v>1011</v>
      </c>
      <c r="O181" t="s">
        <v>393</v>
      </c>
      <c r="P181" t="s">
        <v>393</v>
      </c>
      <c r="Q181">
        <v>1</v>
      </c>
      <c r="X181">
        <v>0.08</v>
      </c>
      <c r="Y181">
        <v>0</v>
      </c>
      <c r="Z181">
        <v>88.87</v>
      </c>
      <c r="AA181">
        <v>9.4</v>
      </c>
      <c r="AB181">
        <v>0</v>
      </c>
      <c r="AC181">
        <v>0</v>
      </c>
      <c r="AD181">
        <v>1</v>
      </c>
      <c r="AE181">
        <v>0</v>
      </c>
      <c r="AF181" t="s">
        <v>31</v>
      </c>
      <c r="AG181">
        <v>9.1999999999999998E-2</v>
      </c>
      <c r="AH181">
        <v>2</v>
      </c>
      <c r="AI181">
        <v>46468473</v>
      </c>
      <c r="AJ181">
        <v>193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ROW(Source!A293)</f>
        <v>293</v>
      </c>
      <c r="B182">
        <v>46468482</v>
      </c>
      <c r="C182">
        <v>46468470</v>
      </c>
      <c r="D182">
        <v>42567659</v>
      </c>
      <c r="E182">
        <v>1</v>
      </c>
      <c r="F182">
        <v>1</v>
      </c>
      <c r="G182">
        <v>1</v>
      </c>
      <c r="H182">
        <v>2</v>
      </c>
      <c r="I182" t="s">
        <v>394</v>
      </c>
      <c r="J182" t="s">
        <v>395</v>
      </c>
      <c r="K182" t="s">
        <v>396</v>
      </c>
      <c r="L182">
        <v>1368</v>
      </c>
      <c r="N182">
        <v>1011</v>
      </c>
      <c r="O182" t="s">
        <v>393</v>
      </c>
      <c r="P182" t="s">
        <v>393</v>
      </c>
      <c r="Q182">
        <v>1</v>
      </c>
      <c r="X182">
        <v>0.22</v>
      </c>
      <c r="Y182">
        <v>0</v>
      </c>
      <c r="Z182">
        <v>98.87</v>
      </c>
      <c r="AA182">
        <v>9.4</v>
      </c>
      <c r="AB182">
        <v>0</v>
      </c>
      <c r="AC182">
        <v>0</v>
      </c>
      <c r="AD182">
        <v>1</v>
      </c>
      <c r="AE182">
        <v>0</v>
      </c>
      <c r="AF182" t="s">
        <v>31</v>
      </c>
      <c r="AG182">
        <v>0.253</v>
      </c>
      <c r="AH182">
        <v>2</v>
      </c>
      <c r="AI182">
        <v>46468474</v>
      </c>
      <c r="AJ182">
        <v>194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ROW(Source!A293)</f>
        <v>293</v>
      </c>
      <c r="B183">
        <v>46468483</v>
      </c>
      <c r="C183">
        <v>46468470</v>
      </c>
      <c r="D183">
        <v>42570360</v>
      </c>
      <c r="E183">
        <v>1</v>
      </c>
      <c r="F183">
        <v>1</v>
      </c>
      <c r="G183">
        <v>1</v>
      </c>
      <c r="H183">
        <v>2</v>
      </c>
      <c r="I183" t="s">
        <v>427</v>
      </c>
      <c r="J183" t="s">
        <v>428</v>
      </c>
      <c r="K183" t="s">
        <v>429</v>
      </c>
      <c r="L183">
        <v>1368</v>
      </c>
      <c r="N183">
        <v>1011</v>
      </c>
      <c r="O183" t="s">
        <v>393</v>
      </c>
      <c r="P183" t="s">
        <v>393</v>
      </c>
      <c r="Q183">
        <v>1</v>
      </c>
      <c r="X183">
        <v>0.44</v>
      </c>
      <c r="Y183">
        <v>0</v>
      </c>
      <c r="Z183">
        <v>0.55000000000000004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31</v>
      </c>
      <c r="AG183">
        <v>0.50600000000000001</v>
      </c>
      <c r="AH183">
        <v>2</v>
      </c>
      <c r="AI183">
        <v>46468475</v>
      </c>
      <c r="AJ183">
        <v>195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ROW(Source!A293)</f>
        <v>293</v>
      </c>
      <c r="B184">
        <v>46468484</v>
      </c>
      <c r="C184">
        <v>46468470</v>
      </c>
      <c r="D184">
        <v>42581395</v>
      </c>
      <c r="E184">
        <v>1</v>
      </c>
      <c r="F184">
        <v>1</v>
      </c>
      <c r="G184">
        <v>1</v>
      </c>
      <c r="H184">
        <v>3</v>
      </c>
      <c r="I184" t="s">
        <v>137</v>
      </c>
      <c r="J184" t="s">
        <v>140</v>
      </c>
      <c r="K184" t="s">
        <v>138</v>
      </c>
      <c r="L184">
        <v>1339</v>
      </c>
      <c r="N184">
        <v>1007</v>
      </c>
      <c r="O184" t="s">
        <v>139</v>
      </c>
      <c r="P184" t="s">
        <v>139</v>
      </c>
      <c r="Q184">
        <v>1</v>
      </c>
      <c r="X184">
        <v>1.2</v>
      </c>
      <c r="Y184">
        <v>69.83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3</v>
      </c>
      <c r="AG184">
        <v>1.2</v>
      </c>
      <c r="AH184">
        <v>2</v>
      </c>
      <c r="AI184">
        <v>46468476</v>
      </c>
      <c r="AJ184">
        <v>196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ROW(Source!A293)</f>
        <v>293</v>
      </c>
      <c r="B185">
        <v>46468485</v>
      </c>
      <c r="C185">
        <v>46468470</v>
      </c>
      <c r="D185">
        <v>42582070</v>
      </c>
      <c r="E185">
        <v>1</v>
      </c>
      <c r="F185">
        <v>1</v>
      </c>
      <c r="G185">
        <v>1</v>
      </c>
      <c r="H185">
        <v>3</v>
      </c>
      <c r="I185" t="s">
        <v>435</v>
      </c>
      <c r="J185" t="s">
        <v>436</v>
      </c>
      <c r="K185" t="s">
        <v>437</v>
      </c>
      <c r="L185">
        <v>1339</v>
      </c>
      <c r="N185">
        <v>1007</v>
      </c>
      <c r="O185" t="s">
        <v>139</v>
      </c>
      <c r="P185" t="s">
        <v>139</v>
      </c>
      <c r="Q185">
        <v>1</v>
      </c>
      <c r="X185">
        <v>0.15</v>
      </c>
      <c r="Y185">
        <v>1.3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 t="s">
        <v>3</v>
      </c>
      <c r="AG185">
        <v>0.15</v>
      </c>
      <c r="AH185">
        <v>2</v>
      </c>
      <c r="AI185">
        <v>46468477</v>
      </c>
      <c r="AJ185">
        <v>197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ROW(Source!A296)</f>
        <v>296</v>
      </c>
      <c r="B186">
        <v>46468450</v>
      </c>
      <c r="C186">
        <v>46468449</v>
      </c>
      <c r="D186">
        <v>42642350</v>
      </c>
      <c r="E186">
        <v>1</v>
      </c>
      <c r="F186">
        <v>1</v>
      </c>
      <c r="G186">
        <v>1</v>
      </c>
      <c r="H186">
        <v>1</v>
      </c>
      <c r="I186" t="s">
        <v>540</v>
      </c>
      <c r="J186" t="s">
        <v>3</v>
      </c>
      <c r="K186" t="s">
        <v>541</v>
      </c>
      <c r="L186">
        <v>1369</v>
      </c>
      <c r="N186">
        <v>1013</v>
      </c>
      <c r="O186" t="s">
        <v>387</v>
      </c>
      <c r="P186" t="s">
        <v>387</v>
      </c>
      <c r="Q186">
        <v>1</v>
      </c>
      <c r="X186">
        <v>76.08</v>
      </c>
      <c r="Y186">
        <v>0</v>
      </c>
      <c r="Z186">
        <v>0</v>
      </c>
      <c r="AA186">
        <v>0</v>
      </c>
      <c r="AB186">
        <v>7.9</v>
      </c>
      <c r="AC186">
        <v>0</v>
      </c>
      <c r="AD186">
        <v>1</v>
      </c>
      <c r="AE186">
        <v>1</v>
      </c>
      <c r="AF186" t="s">
        <v>161</v>
      </c>
      <c r="AG186">
        <v>100.61579999999998</v>
      </c>
      <c r="AH186">
        <v>2</v>
      </c>
      <c r="AI186">
        <v>46468450</v>
      </c>
      <c r="AJ186">
        <v>199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ROW(Source!A296)</f>
        <v>296</v>
      </c>
      <c r="B187">
        <v>46468451</v>
      </c>
      <c r="C187">
        <v>46468449</v>
      </c>
      <c r="D187">
        <v>121548</v>
      </c>
      <c r="E187">
        <v>1</v>
      </c>
      <c r="F187">
        <v>1</v>
      </c>
      <c r="G187">
        <v>1</v>
      </c>
      <c r="H187">
        <v>1</v>
      </c>
      <c r="I187" t="s">
        <v>26</v>
      </c>
      <c r="J187" t="s">
        <v>3</v>
      </c>
      <c r="K187" t="s">
        <v>388</v>
      </c>
      <c r="L187">
        <v>608254</v>
      </c>
      <c r="N187">
        <v>1013</v>
      </c>
      <c r="O187" t="s">
        <v>389</v>
      </c>
      <c r="P187" t="s">
        <v>389</v>
      </c>
      <c r="Q187">
        <v>1</v>
      </c>
      <c r="X187">
        <v>0.68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2</v>
      </c>
      <c r="AF187" t="s">
        <v>170</v>
      </c>
      <c r="AG187">
        <v>0.97750000000000004</v>
      </c>
      <c r="AH187">
        <v>2</v>
      </c>
      <c r="AI187">
        <v>46468451</v>
      </c>
      <c r="AJ187">
        <v>200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ROW(Source!A296)</f>
        <v>296</v>
      </c>
      <c r="B188">
        <v>46468452</v>
      </c>
      <c r="C188">
        <v>46468449</v>
      </c>
      <c r="D188">
        <v>42567157</v>
      </c>
      <c r="E188">
        <v>1</v>
      </c>
      <c r="F188">
        <v>1</v>
      </c>
      <c r="G188">
        <v>1</v>
      </c>
      <c r="H188">
        <v>2</v>
      </c>
      <c r="I188" t="s">
        <v>466</v>
      </c>
      <c r="J188" t="s">
        <v>467</v>
      </c>
      <c r="K188" t="s">
        <v>468</v>
      </c>
      <c r="L188">
        <v>1368</v>
      </c>
      <c r="N188">
        <v>1011</v>
      </c>
      <c r="O188" t="s">
        <v>393</v>
      </c>
      <c r="P188" t="s">
        <v>393</v>
      </c>
      <c r="Q188">
        <v>1</v>
      </c>
      <c r="X188">
        <v>0.68</v>
      </c>
      <c r="Y188">
        <v>0</v>
      </c>
      <c r="Z188">
        <v>88.87</v>
      </c>
      <c r="AA188">
        <v>12.62</v>
      </c>
      <c r="AB188">
        <v>0</v>
      </c>
      <c r="AC188">
        <v>0</v>
      </c>
      <c r="AD188">
        <v>1</v>
      </c>
      <c r="AE188">
        <v>0</v>
      </c>
      <c r="AF188" t="s">
        <v>170</v>
      </c>
      <c r="AG188">
        <v>0.97750000000000004</v>
      </c>
      <c r="AH188">
        <v>2</v>
      </c>
      <c r="AI188">
        <v>46468452</v>
      </c>
      <c r="AJ188">
        <v>201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ROW(Source!A296)</f>
        <v>296</v>
      </c>
      <c r="B189">
        <v>46468453</v>
      </c>
      <c r="C189">
        <v>46468449</v>
      </c>
      <c r="D189">
        <v>42570797</v>
      </c>
      <c r="E189">
        <v>1</v>
      </c>
      <c r="F189">
        <v>1</v>
      </c>
      <c r="G189">
        <v>1</v>
      </c>
      <c r="H189">
        <v>2</v>
      </c>
      <c r="I189" t="s">
        <v>442</v>
      </c>
      <c r="J189" t="s">
        <v>443</v>
      </c>
      <c r="K189" t="s">
        <v>444</v>
      </c>
      <c r="L189">
        <v>1368</v>
      </c>
      <c r="N189">
        <v>1011</v>
      </c>
      <c r="O189" t="s">
        <v>393</v>
      </c>
      <c r="P189" t="s">
        <v>393</v>
      </c>
      <c r="Q189">
        <v>1</v>
      </c>
      <c r="X189">
        <v>0.04</v>
      </c>
      <c r="Y189">
        <v>0</v>
      </c>
      <c r="Z189">
        <v>60.14</v>
      </c>
      <c r="AA189">
        <v>10.84</v>
      </c>
      <c r="AB189">
        <v>0</v>
      </c>
      <c r="AC189">
        <v>0</v>
      </c>
      <c r="AD189">
        <v>1</v>
      </c>
      <c r="AE189">
        <v>0</v>
      </c>
      <c r="AF189" t="s">
        <v>170</v>
      </c>
      <c r="AG189">
        <v>5.7499999999999996E-2</v>
      </c>
      <c r="AH189">
        <v>2</v>
      </c>
      <c r="AI189">
        <v>46468453</v>
      </c>
      <c r="AJ189">
        <v>202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ROW(Source!A296)</f>
        <v>296</v>
      </c>
      <c r="B190">
        <v>46468454</v>
      </c>
      <c r="C190">
        <v>46468449</v>
      </c>
      <c r="D190">
        <v>42599638</v>
      </c>
      <c r="E190">
        <v>1</v>
      </c>
      <c r="F190">
        <v>1</v>
      </c>
      <c r="G190">
        <v>1</v>
      </c>
      <c r="H190">
        <v>3</v>
      </c>
      <c r="I190" t="s">
        <v>490</v>
      </c>
      <c r="J190" t="s">
        <v>491</v>
      </c>
      <c r="K190" t="s">
        <v>492</v>
      </c>
      <c r="L190">
        <v>1348</v>
      </c>
      <c r="N190">
        <v>1009</v>
      </c>
      <c r="O190" t="s">
        <v>184</v>
      </c>
      <c r="P190" t="s">
        <v>184</v>
      </c>
      <c r="Q190">
        <v>1000</v>
      </c>
      <c r="X190">
        <v>1E-3</v>
      </c>
      <c r="Y190">
        <v>11456.88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0</v>
      </c>
      <c r="AF190" t="s">
        <v>3</v>
      </c>
      <c r="AG190">
        <v>1E-3</v>
      </c>
      <c r="AH190">
        <v>2</v>
      </c>
      <c r="AI190">
        <v>46468454</v>
      </c>
      <c r="AJ190">
        <v>203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ROW(Source!A296)</f>
        <v>296</v>
      </c>
      <c r="B191">
        <v>46468455</v>
      </c>
      <c r="C191">
        <v>46468449</v>
      </c>
      <c r="D191">
        <v>42600653</v>
      </c>
      <c r="E191">
        <v>1</v>
      </c>
      <c r="F191">
        <v>1</v>
      </c>
      <c r="G191">
        <v>1</v>
      </c>
      <c r="H191">
        <v>3</v>
      </c>
      <c r="I191" t="s">
        <v>542</v>
      </c>
      <c r="J191" t="s">
        <v>543</v>
      </c>
      <c r="K191" t="s">
        <v>544</v>
      </c>
      <c r="L191">
        <v>1339</v>
      </c>
      <c r="N191">
        <v>1007</v>
      </c>
      <c r="O191" t="s">
        <v>139</v>
      </c>
      <c r="P191" t="s">
        <v>139</v>
      </c>
      <c r="Q191">
        <v>1</v>
      </c>
      <c r="X191">
        <v>0.17</v>
      </c>
      <c r="Y191">
        <v>866.65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3</v>
      </c>
      <c r="AG191">
        <v>0.17</v>
      </c>
      <c r="AH191">
        <v>2</v>
      </c>
      <c r="AI191">
        <v>46468455</v>
      </c>
      <c r="AJ191">
        <v>204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ROW(Source!A296)</f>
        <v>296</v>
      </c>
      <c r="B192">
        <v>46468456</v>
      </c>
      <c r="C192">
        <v>46468449</v>
      </c>
      <c r="D192">
        <v>42571825</v>
      </c>
      <c r="E192">
        <v>1</v>
      </c>
      <c r="F192">
        <v>1</v>
      </c>
      <c r="G192">
        <v>1</v>
      </c>
      <c r="H192">
        <v>3</v>
      </c>
      <c r="I192" t="s">
        <v>545</v>
      </c>
      <c r="J192" t="s">
        <v>546</v>
      </c>
      <c r="K192" t="s">
        <v>547</v>
      </c>
      <c r="L192">
        <v>1339</v>
      </c>
      <c r="N192">
        <v>1007</v>
      </c>
      <c r="O192" t="s">
        <v>139</v>
      </c>
      <c r="P192" t="s">
        <v>139</v>
      </c>
      <c r="Q192">
        <v>1</v>
      </c>
      <c r="X192">
        <v>5.9</v>
      </c>
      <c r="Y192">
        <v>472.83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3</v>
      </c>
      <c r="AG192">
        <v>5.9</v>
      </c>
      <c r="AH192">
        <v>2</v>
      </c>
      <c r="AI192">
        <v>46468456</v>
      </c>
      <c r="AJ192">
        <v>205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ROW(Source!A296)</f>
        <v>296</v>
      </c>
      <c r="B193">
        <v>46468457</v>
      </c>
      <c r="C193">
        <v>46468449</v>
      </c>
      <c r="D193">
        <v>42572018</v>
      </c>
      <c r="E193">
        <v>1</v>
      </c>
      <c r="F193">
        <v>1</v>
      </c>
      <c r="G193">
        <v>1</v>
      </c>
      <c r="H193">
        <v>3</v>
      </c>
      <c r="I193" t="s">
        <v>461</v>
      </c>
      <c r="J193" t="s">
        <v>462</v>
      </c>
      <c r="K193" t="s">
        <v>463</v>
      </c>
      <c r="L193">
        <v>1339</v>
      </c>
      <c r="N193">
        <v>1007</v>
      </c>
      <c r="O193" t="s">
        <v>139</v>
      </c>
      <c r="P193" t="s">
        <v>139</v>
      </c>
      <c r="Q193">
        <v>1</v>
      </c>
      <c r="X193">
        <v>0.06</v>
      </c>
      <c r="Y193">
        <v>438.09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3</v>
      </c>
      <c r="AG193">
        <v>0.06</v>
      </c>
      <c r="AH193">
        <v>2</v>
      </c>
      <c r="AI193">
        <v>46468457</v>
      </c>
      <c r="AJ193">
        <v>206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ROW(Source!A296)</f>
        <v>296</v>
      </c>
      <c r="B194">
        <v>46468458</v>
      </c>
      <c r="C194">
        <v>46468449</v>
      </c>
      <c r="D194">
        <v>42584143</v>
      </c>
      <c r="E194">
        <v>1</v>
      </c>
      <c r="F194">
        <v>1</v>
      </c>
      <c r="G194">
        <v>1</v>
      </c>
      <c r="H194">
        <v>3</v>
      </c>
      <c r="I194" t="s">
        <v>665</v>
      </c>
      <c r="J194" t="s">
        <v>253</v>
      </c>
      <c r="K194" t="s">
        <v>666</v>
      </c>
      <c r="L194">
        <v>1301</v>
      </c>
      <c r="N194">
        <v>1003</v>
      </c>
      <c r="O194" t="s">
        <v>667</v>
      </c>
      <c r="P194" t="s">
        <v>667</v>
      </c>
      <c r="Q194">
        <v>1</v>
      </c>
      <c r="X194">
        <v>100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 t="s">
        <v>3</v>
      </c>
      <c r="AG194">
        <v>100</v>
      </c>
      <c r="AH194">
        <v>3</v>
      </c>
      <c r="AI194">
        <v>-1</v>
      </c>
      <c r="AJ194" t="s">
        <v>3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ROW(Source!A333)</f>
        <v>333</v>
      </c>
      <c r="B195">
        <v>46468551</v>
      </c>
      <c r="C195">
        <v>46468546</v>
      </c>
      <c r="D195">
        <v>42640871</v>
      </c>
      <c r="E195">
        <v>1</v>
      </c>
      <c r="F195">
        <v>1</v>
      </c>
      <c r="G195">
        <v>1</v>
      </c>
      <c r="H195">
        <v>1</v>
      </c>
      <c r="I195" t="s">
        <v>385</v>
      </c>
      <c r="J195" t="s">
        <v>3</v>
      </c>
      <c r="K195" t="s">
        <v>386</v>
      </c>
      <c r="L195">
        <v>1369</v>
      </c>
      <c r="N195">
        <v>1013</v>
      </c>
      <c r="O195" t="s">
        <v>387</v>
      </c>
      <c r="P195" t="s">
        <v>387</v>
      </c>
      <c r="Q195">
        <v>1</v>
      </c>
      <c r="X195">
        <v>12.53</v>
      </c>
      <c r="Y195">
        <v>0</v>
      </c>
      <c r="Z195">
        <v>0</v>
      </c>
      <c r="AA195">
        <v>0</v>
      </c>
      <c r="AB195">
        <v>7.97</v>
      </c>
      <c r="AC195">
        <v>0</v>
      </c>
      <c r="AD195">
        <v>1</v>
      </c>
      <c r="AE195">
        <v>1</v>
      </c>
      <c r="AF195" t="s">
        <v>31</v>
      </c>
      <c r="AG195">
        <v>14.409499999999998</v>
      </c>
      <c r="AH195">
        <v>2</v>
      </c>
      <c r="AI195">
        <v>46468547</v>
      </c>
      <c r="AJ195">
        <v>208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ROW(Source!A333)</f>
        <v>333</v>
      </c>
      <c r="B196">
        <v>46468552</v>
      </c>
      <c r="C196">
        <v>46468546</v>
      </c>
      <c r="D196">
        <v>121548</v>
      </c>
      <c r="E196">
        <v>1</v>
      </c>
      <c r="F196">
        <v>1</v>
      </c>
      <c r="G196">
        <v>1</v>
      </c>
      <c r="H196">
        <v>1</v>
      </c>
      <c r="I196" t="s">
        <v>26</v>
      </c>
      <c r="J196" t="s">
        <v>3</v>
      </c>
      <c r="K196" t="s">
        <v>388</v>
      </c>
      <c r="L196">
        <v>608254</v>
      </c>
      <c r="N196">
        <v>1013</v>
      </c>
      <c r="O196" t="s">
        <v>389</v>
      </c>
      <c r="P196" t="s">
        <v>389</v>
      </c>
      <c r="Q196">
        <v>1</v>
      </c>
      <c r="X196">
        <v>3.04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2</v>
      </c>
      <c r="AF196" t="s">
        <v>31</v>
      </c>
      <c r="AG196">
        <v>3.4959999999999996</v>
      </c>
      <c r="AH196">
        <v>2</v>
      </c>
      <c r="AI196">
        <v>46468548</v>
      </c>
      <c r="AJ196">
        <v>209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ROW(Source!A333)</f>
        <v>333</v>
      </c>
      <c r="B197">
        <v>46468553</v>
      </c>
      <c r="C197">
        <v>46468546</v>
      </c>
      <c r="D197">
        <v>42567659</v>
      </c>
      <c r="E197">
        <v>1</v>
      </c>
      <c r="F197">
        <v>1</v>
      </c>
      <c r="G197">
        <v>1</v>
      </c>
      <c r="H197">
        <v>2</v>
      </c>
      <c r="I197" t="s">
        <v>394</v>
      </c>
      <c r="J197" t="s">
        <v>395</v>
      </c>
      <c r="K197" t="s">
        <v>396</v>
      </c>
      <c r="L197">
        <v>1368</v>
      </c>
      <c r="N197">
        <v>1011</v>
      </c>
      <c r="O197" t="s">
        <v>393</v>
      </c>
      <c r="P197" t="s">
        <v>393</v>
      </c>
      <c r="Q197">
        <v>1</v>
      </c>
      <c r="X197">
        <v>3.04</v>
      </c>
      <c r="Y197">
        <v>0</v>
      </c>
      <c r="Z197">
        <v>98.87</v>
      </c>
      <c r="AA197">
        <v>9.4</v>
      </c>
      <c r="AB197">
        <v>0</v>
      </c>
      <c r="AC197">
        <v>0</v>
      </c>
      <c r="AD197">
        <v>1</v>
      </c>
      <c r="AE197">
        <v>0</v>
      </c>
      <c r="AF197" t="s">
        <v>31</v>
      </c>
      <c r="AG197">
        <v>3.4959999999999996</v>
      </c>
      <c r="AH197">
        <v>2</v>
      </c>
      <c r="AI197">
        <v>46468549</v>
      </c>
      <c r="AJ197">
        <v>210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ROW(Source!A333)</f>
        <v>333</v>
      </c>
      <c r="B198">
        <v>46468554</v>
      </c>
      <c r="C198">
        <v>46468546</v>
      </c>
      <c r="D198">
        <v>42570360</v>
      </c>
      <c r="E198">
        <v>1</v>
      </c>
      <c r="F198">
        <v>1</v>
      </c>
      <c r="G198">
        <v>1</v>
      </c>
      <c r="H198">
        <v>2</v>
      </c>
      <c r="I198" t="s">
        <v>427</v>
      </c>
      <c r="J198" t="s">
        <v>428</v>
      </c>
      <c r="K198" t="s">
        <v>429</v>
      </c>
      <c r="L198">
        <v>1368</v>
      </c>
      <c r="N198">
        <v>1011</v>
      </c>
      <c r="O198" t="s">
        <v>393</v>
      </c>
      <c r="P198" t="s">
        <v>393</v>
      </c>
      <c r="Q198">
        <v>1</v>
      </c>
      <c r="X198">
        <v>12.18</v>
      </c>
      <c r="Y198">
        <v>0</v>
      </c>
      <c r="Z198">
        <v>0.55000000000000004</v>
      </c>
      <c r="AA198">
        <v>0</v>
      </c>
      <c r="AB198">
        <v>0</v>
      </c>
      <c r="AC198">
        <v>0</v>
      </c>
      <c r="AD198">
        <v>1</v>
      </c>
      <c r="AE198">
        <v>0</v>
      </c>
      <c r="AF198" t="s">
        <v>31</v>
      </c>
      <c r="AG198">
        <v>14.006999999999998</v>
      </c>
      <c r="AH198">
        <v>2</v>
      </c>
      <c r="AI198">
        <v>46468550</v>
      </c>
      <c r="AJ198">
        <v>211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ROW(Source!A334)</f>
        <v>334</v>
      </c>
      <c r="B199">
        <v>46468587</v>
      </c>
      <c r="C199">
        <v>46468582</v>
      </c>
      <c r="D199">
        <v>42646086</v>
      </c>
      <c r="E199">
        <v>1</v>
      </c>
      <c r="F199">
        <v>1</v>
      </c>
      <c r="G199">
        <v>1</v>
      </c>
      <c r="H199">
        <v>1</v>
      </c>
      <c r="I199" t="s">
        <v>440</v>
      </c>
      <c r="J199" t="s">
        <v>3</v>
      </c>
      <c r="K199" t="s">
        <v>441</v>
      </c>
      <c r="L199">
        <v>1369</v>
      </c>
      <c r="N199">
        <v>1013</v>
      </c>
      <c r="O199" t="s">
        <v>387</v>
      </c>
      <c r="P199" t="s">
        <v>387</v>
      </c>
      <c r="Q199">
        <v>1</v>
      </c>
      <c r="X199">
        <v>14.36</v>
      </c>
      <c r="Y199">
        <v>0</v>
      </c>
      <c r="Z199">
        <v>0</v>
      </c>
      <c r="AA199">
        <v>0</v>
      </c>
      <c r="AB199">
        <v>8.17</v>
      </c>
      <c r="AC199">
        <v>0</v>
      </c>
      <c r="AD199">
        <v>1</v>
      </c>
      <c r="AE199">
        <v>1</v>
      </c>
      <c r="AF199" t="s">
        <v>161</v>
      </c>
      <c r="AG199">
        <v>18.991099999999999</v>
      </c>
      <c r="AH199">
        <v>2</v>
      </c>
      <c r="AI199">
        <v>46468583</v>
      </c>
      <c r="AJ199">
        <v>212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ROW(Source!A334)</f>
        <v>334</v>
      </c>
      <c r="B200">
        <v>46468588</v>
      </c>
      <c r="C200">
        <v>46468582</v>
      </c>
      <c r="D200">
        <v>42570797</v>
      </c>
      <c r="E200">
        <v>1</v>
      </c>
      <c r="F200">
        <v>1</v>
      </c>
      <c r="G200">
        <v>1</v>
      </c>
      <c r="H200">
        <v>2</v>
      </c>
      <c r="I200" t="s">
        <v>442</v>
      </c>
      <c r="J200" t="s">
        <v>443</v>
      </c>
      <c r="K200" t="s">
        <v>444</v>
      </c>
      <c r="L200">
        <v>1368</v>
      </c>
      <c r="N200">
        <v>1011</v>
      </c>
      <c r="O200" t="s">
        <v>393</v>
      </c>
      <c r="P200" t="s">
        <v>393</v>
      </c>
      <c r="Q200">
        <v>1</v>
      </c>
      <c r="X200">
        <v>0.25</v>
      </c>
      <c r="Y200">
        <v>0</v>
      </c>
      <c r="Z200">
        <v>60.14</v>
      </c>
      <c r="AA200">
        <v>10.84</v>
      </c>
      <c r="AB200">
        <v>0</v>
      </c>
      <c r="AC200">
        <v>0</v>
      </c>
      <c r="AD200">
        <v>1</v>
      </c>
      <c r="AE200">
        <v>0</v>
      </c>
      <c r="AF200" t="s">
        <v>160</v>
      </c>
      <c r="AG200">
        <v>0.359375</v>
      </c>
      <c r="AH200">
        <v>2</v>
      </c>
      <c r="AI200">
        <v>46468584</v>
      </c>
      <c r="AJ200">
        <v>213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ROW(Source!A334)</f>
        <v>334</v>
      </c>
      <c r="B201">
        <v>46468589</v>
      </c>
      <c r="C201">
        <v>46468582</v>
      </c>
      <c r="D201">
        <v>42596183</v>
      </c>
      <c r="E201">
        <v>1</v>
      </c>
      <c r="F201">
        <v>1</v>
      </c>
      <c r="G201">
        <v>1</v>
      </c>
      <c r="H201">
        <v>3</v>
      </c>
      <c r="I201" t="s">
        <v>445</v>
      </c>
      <c r="J201" t="s">
        <v>446</v>
      </c>
      <c r="K201" t="s">
        <v>447</v>
      </c>
      <c r="L201">
        <v>1346</v>
      </c>
      <c r="N201">
        <v>1009</v>
      </c>
      <c r="O201" t="s">
        <v>448</v>
      </c>
      <c r="P201" t="s">
        <v>448</v>
      </c>
      <c r="Q201">
        <v>1</v>
      </c>
      <c r="X201">
        <v>7.423</v>
      </c>
      <c r="Y201">
        <v>128.96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3</v>
      </c>
      <c r="AG201">
        <v>7.423</v>
      </c>
      <c r="AH201">
        <v>2</v>
      </c>
      <c r="AI201">
        <v>46468585</v>
      </c>
      <c r="AJ201">
        <v>214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ROW(Source!A334)</f>
        <v>334</v>
      </c>
      <c r="B202">
        <v>46468590</v>
      </c>
      <c r="C202">
        <v>46468582</v>
      </c>
      <c r="D202">
        <v>42607941</v>
      </c>
      <c r="E202">
        <v>1</v>
      </c>
      <c r="F202">
        <v>1</v>
      </c>
      <c r="G202">
        <v>1</v>
      </c>
      <c r="H202">
        <v>3</v>
      </c>
      <c r="I202" t="s">
        <v>449</v>
      </c>
      <c r="J202" t="s">
        <v>450</v>
      </c>
      <c r="K202" t="s">
        <v>451</v>
      </c>
      <c r="L202">
        <v>1327</v>
      </c>
      <c r="N202">
        <v>1005</v>
      </c>
      <c r="O202" t="s">
        <v>452</v>
      </c>
      <c r="P202" t="s">
        <v>452</v>
      </c>
      <c r="Q202">
        <v>1</v>
      </c>
      <c r="X202">
        <v>115</v>
      </c>
      <c r="Y202">
        <v>5.56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0</v>
      </c>
      <c r="AF202" t="s">
        <v>3</v>
      </c>
      <c r="AG202">
        <v>115</v>
      </c>
      <c r="AH202">
        <v>2</v>
      </c>
      <c r="AI202">
        <v>46468586</v>
      </c>
      <c r="AJ202">
        <v>215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ROW(Source!A335)</f>
        <v>335</v>
      </c>
      <c r="B203">
        <v>46468593</v>
      </c>
      <c r="C203">
        <v>46468592</v>
      </c>
      <c r="D203">
        <v>37069580</v>
      </c>
      <c r="E203">
        <v>1</v>
      </c>
      <c r="F203">
        <v>1</v>
      </c>
      <c r="G203">
        <v>1</v>
      </c>
      <c r="H203">
        <v>1</v>
      </c>
      <c r="I203" t="s">
        <v>548</v>
      </c>
      <c r="J203" t="s">
        <v>3</v>
      </c>
      <c r="K203" t="s">
        <v>549</v>
      </c>
      <c r="L203">
        <v>1191</v>
      </c>
      <c r="N203">
        <v>1013</v>
      </c>
      <c r="O203" t="s">
        <v>550</v>
      </c>
      <c r="P203" t="s">
        <v>550</v>
      </c>
      <c r="Q203">
        <v>1</v>
      </c>
      <c r="X203">
        <v>304.85000000000002</v>
      </c>
      <c r="Y203">
        <v>0</v>
      </c>
      <c r="Z203">
        <v>0</v>
      </c>
      <c r="AA203">
        <v>0</v>
      </c>
      <c r="AB203">
        <v>8.64</v>
      </c>
      <c r="AC203">
        <v>0</v>
      </c>
      <c r="AD203">
        <v>1</v>
      </c>
      <c r="AE203">
        <v>1</v>
      </c>
      <c r="AF203" t="s">
        <v>161</v>
      </c>
      <c r="AG203">
        <v>403.16412499999996</v>
      </c>
      <c r="AH203">
        <v>2</v>
      </c>
      <c r="AI203">
        <v>46468593</v>
      </c>
      <c r="AJ203">
        <v>216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ROW(Source!A335)</f>
        <v>335</v>
      </c>
      <c r="B204">
        <v>46468594</v>
      </c>
      <c r="C204">
        <v>46468592</v>
      </c>
      <c r="D204">
        <v>37064876</v>
      </c>
      <c r="E204">
        <v>1</v>
      </c>
      <c r="F204">
        <v>1</v>
      </c>
      <c r="G204">
        <v>1</v>
      </c>
      <c r="H204">
        <v>1</v>
      </c>
      <c r="I204" t="s">
        <v>551</v>
      </c>
      <c r="J204" t="s">
        <v>3</v>
      </c>
      <c r="K204" t="s">
        <v>388</v>
      </c>
      <c r="L204">
        <v>1191</v>
      </c>
      <c r="N204">
        <v>1013</v>
      </c>
      <c r="O204" t="s">
        <v>550</v>
      </c>
      <c r="P204" t="s">
        <v>550</v>
      </c>
      <c r="Q204">
        <v>1</v>
      </c>
      <c r="X204">
        <v>42.02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2</v>
      </c>
      <c r="AF204" t="s">
        <v>170</v>
      </c>
      <c r="AG204">
        <v>60.403750000000002</v>
      </c>
      <c r="AH204">
        <v>2</v>
      </c>
      <c r="AI204">
        <v>46468594</v>
      </c>
      <c r="AJ204">
        <v>217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ROW(Source!A335)</f>
        <v>335</v>
      </c>
      <c r="B205">
        <v>46468595</v>
      </c>
      <c r="C205">
        <v>46468592</v>
      </c>
      <c r="D205">
        <v>36882159</v>
      </c>
      <c r="E205">
        <v>1</v>
      </c>
      <c r="F205">
        <v>1</v>
      </c>
      <c r="G205">
        <v>1</v>
      </c>
      <c r="H205">
        <v>2</v>
      </c>
      <c r="I205" t="s">
        <v>552</v>
      </c>
      <c r="J205" t="s">
        <v>553</v>
      </c>
      <c r="K205" t="s">
        <v>554</v>
      </c>
      <c r="L205">
        <v>1368</v>
      </c>
      <c r="N205">
        <v>1011</v>
      </c>
      <c r="O205" t="s">
        <v>393</v>
      </c>
      <c r="P205" t="s">
        <v>393</v>
      </c>
      <c r="Q205">
        <v>1</v>
      </c>
      <c r="X205">
        <v>25.29</v>
      </c>
      <c r="Y205">
        <v>0</v>
      </c>
      <c r="Z205">
        <v>111.99</v>
      </c>
      <c r="AA205">
        <v>13.5</v>
      </c>
      <c r="AB205">
        <v>0</v>
      </c>
      <c r="AC205">
        <v>0</v>
      </c>
      <c r="AD205">
        <v>1</v>
      </c>
      <c r="AE205">
        <v>0</v>
      </c>
      <c r="AF205" t="s">
        <v>170</v>
      </c>
      <c r="AG205">
        <v>36.354374999999997</v>
      </c>
      <c r="AH205">
        <v>2</v>
      </c>
      <c r="AI205">
        <v>46468595</v>
      </c>
      <c r="AJ205">
        <v>218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ROW(Source!A335)</f>
        <v>335</v>
      </c>
      <c r="B206">
        <v>46468596</v>
      </c>
      <c r="C206">
        <v>46468592</v>
      </c>
      <c r="D206">
        <v>36882383</v>
      </c>
      <c r="E206">
        <v>1</v>
      </c>
      <c r="F206">
        <v>1</v>
      </c>
      <c r="G206">
        <v>1</v>
      </c>
      <c r="H206">
        <v>2</v>
      </c>
      <c r="I206" t="s">
        <v>555</v>
      </c>
      <c r="J206" t="s">
        <v>556</v>
      </c>
      <c r="K206" t="s">
        <v>557</v>
      </c>
      <c r="L206">
        <v>1368</v>
      </c>
      <c r="N206">
        <v>1011</v>
      </c>
      <c r="O206" t="s">
        <v>393</v>
      </c>
      <c r="P206" t="s">
        <v>393</v>
      </c>
      <c r="Q206">
        <v>1</v>
      </c>
      <c r="X206">
        <v>1.69</v>
      </c>
      <c r="Y206">
        <v>0</v>
      </c>
      <c r="Z206">
        <v>89.99</v>
      </c>
      <c r="AA206">
        <v>10.06</v>
      </c>
      <c r="AB206">
        <v>0</v>
      </c>
      <c r="AC206">
        <v>0</v>
      </c>
      <c r="AD206">
        <v>1</v>
      </c>
      <c r="AE206">
        <v>0</v>
      </c>
      <c r="AF206" t="s">
        <v>170</v>
      </c>
      <c r="AG206">
        <v>2.4293749999999994</v>
      </c>
      <c r="AH206">
        <v>2</v>
      </c>
      <c r="AI206">
        <v>46468596</v>
      </c>
      <c r="AJ206">
        <v>219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ROW(Source!A335)</f>
        <v>335</v>
      </c>
      <c r="B207">
        <v>46468597</v>
      </c>
      <c r="C207">
        <v>46468592</v>
      </c>
      <c r="D207">
        <v>36882787</v>
      </c>
      <c r="E207">
        <v>1</v>
      </c>
      <c r="F207">
        <v>1</v>
      </c>
      <c r="G207">
        <v>1</v>
      </c>
      <c r="H207">
        <v>2</v>
      </c>
      <c r="I207" t="s">
        <v>558</v>
      </c>
      <c r="J207" t="s">
        <v>559</v>
      </c>
      <c r="K207" t="s">
        <v>560</v>
      </c>
      <c r="L207">
        <v>1368</v>
      </c>
      <c r="N207">
        <v>1011</v>
      </c>
      <c r="O207" t="s">
        <v>393</v>
      </c>
      <c r="P207" t="s">
        <v>393</v>
      </c>
      <c r="Q207">
        <v>1</v>
      </c>
      <c r="X207">
        <v>4.6900000000000004</v>
      </c>
      <c r="Y207">
        <v>0</v>
      </c>
      <c r="Z207">
        <v>30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170</v>
      </c>
      <c r="AG207">
        <v>6.7418750000000003</v>
      </c>
      <c r="AH207">
        <v>2</v>
      </c>
      <c r="AI207">
        <v>46468597</v>
      </c>
      <c r="AJ207">
        <v>220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ROW(Source!A335)</f>
        <v>335</v>
      </c>
      <c r="B208">
        <v>46468598</v>
      </c>
      <c r="C208">
        <v>46468592</v>
      </c>
      <c r="D208">
        <v>36883554</v>
      </c>
      <c r="E208">
        <v>1</v>
      </c>
      <c r="F208">
        <v>1</v>
      </c>
      <c r="G208">
        <v>1</v>
      </c>
      <c r="H208">
        <v>2</v>
      </c>
      <c r="I208" t="s">
        <v>561</v>
      </c>
      <c r="J208" t="s">
        <v>562</v>
      </c>
      <c r="K208" t="s">
        <v>563</v>
      </c>
      <c r="L208">
        <v>1368</v>
      </c>
      <c r="N208">
        <v>1011</v>
      </c>
      <c r="O208" t="s">
        <v>393</v>
      </c>
      <c r="P208" t="s">
        <v>393</v>
      </c>
      <c r="Q208">
        <v>1</v>
      </c>
      <c r="X208">
        <v>15.04</v>
      </c>
      <c r="Y208">
        <v>0</v>
      </c>
      <c r="Z208">
        <v>65.709999999999994</v>
      </c>
      <c r="AA208">
        <v>11.6</v>
      </c>
      <c r="AB208">
        <v>0</v>
      </c>
      <c r="AC208">
        <v>0</v>
      </c>
      <c r="AD208">
        <v>1</v>
      </c>
      <c r="AE208">
        <v>0</v>
      </c>
      <c r="AF208" t="s">
        <v>170</v>
      </c>
      <c r="AG208">
        <v>21.619999999999994</v>
      </c>
      <c r="AH208">
        <v>2</v>
      </c>
      <c r="AI208">
        <v>46468598</v>
      </c>
      <c r="AJ208">
        <v>221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ROW(Source!A335)</f>
        <v>335</v>
      </c>
      <c r="B209">
        <v>46468599</v>
      </c>
      <c r="C209">
        <v>46468592</v>
      </c>
      <c r="D209">
        <v>36799911</v>
      </c>
      <c r="E209">
        <v>1</v>
      </c>
      <c r="F209">
        <v>1</v>
      </c>
      <c r="G209">
        <v>1</v>
      </c>
      <c r="H209">
        <v>3</v>
      </c>
      <c r="I209" t="s">
        <v>564</v>
      </c>
      <c r="J209" t="s">
        <v>565</v>
      </c>
      <c r="K209" t="s">
        <v>566</v>
      </c>
      <c r="L209">
        <v>1348</v>
      </c>
      <c r="N209">
        <v>1009</v>
      </c>
      <c r="O209" t="s">
        <v>184</v>
      </c>
      <c r="P209" t="s">
        <v>184</v>
      </c>
      <c r="Q209">
        <v>1000</v>
      </c>
      <c r="X209">
        <v>0.66</v>
      </c>
      <c r="Y209">
        <v>1500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3</v>
      </c>
      <c r="AG209">
        <v>0.66</v>
      </c>
      <c r="AH209">
        <v>2</v>
      </c>
      <c r="AI209">
        <v>46468599</v>
      </c>
      <c r="AJ209">
        <v>222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ROW(Source!A335)</f>
        <v>335</v>
      </c>
      <c r="B210">
        <v>46468600</v>
      </c>
      <c r="C210">
        <v>46468592</v>
      </c>
      <c r="D210">
        <v>36796087</v>
      </c>
      <c r="E210">
        <v>17</v>
      </c>
      <c r="F210">
        <v>1</v>
      </c>
      <c r="G210">
        <v>1</v>
      </c>
      <c r="H210">
        <v>3</v>
      </c>
      <c r="I210" t="s">
        <v>668</v>
      </c>
      <c r="J210" t="s">
        <v>3</v>
      </c>
      <c r="K210" t="s">
        <v>669</v>
      </c>
      <c r="L210">
        <v>1339</v>
      </c>
      <c r="N210">
        <v>1007</v>
      </c>
      <c r="O210" t="s">
        <v>139</v>
      </c>
      <c r="P210" t="s">
        <v>139</v>
      </c>
      <c r="Q210">
        <v>1</v>
      </c>
      <c r="X210">
        <v>15.4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 t="s">
        <v>3</v>
      </c>
      <c r="AG210">
        <v>15.4</v>
      </c>
      <c r="AH210">
        <v>3</v>
      </c>
      <c r="AI210">
        <v>-1</v>
      </c>
      <c r="AJ210" t="s">
        <v>3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ROW(Source!A335)</f>
        <v>335</v>
      </c>
      <c r="B211">
        <v>46468601</v>
      </c>
      <c r="C211">
        <v>46468592</v>
      </c>
      <c r="D211">
        <v>36807342</v>
      </c>
      <c r="E211">
        <v>1</v>
      </c>
      <c r="F211">
        <v>1</v>
      </c>
      <c r="G211">
        <v>1</v>
      </c>
      <c r="H211">
        <v>3</v>
      </c>
      <c r="I211" t="s">
        <v>567</v>
      </c>
      <c r="J211" t="s">
        <v>568</v>
      </c>
      <c r="K211" t="s">
        <v>569</v>
      </c>
      <c r="L211">
        <v>1339</v>
      </c>
      <c r="N211">
        <v>1007</v>
      </c>
      <c r="O211" t="s">
        <v>139</v>
      </c>
      <c r="P211" t="s">
        <v>139</v>
      </c>
      <c r="Q211">
        <v>1</v>
      </c>
      <c r="X211">
        <v>0.8</v>
      </c>
      <c r="Y211">
        <v>519.79999999999995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3</v>
      </c>
      <c r="AG211">
        <v>0.8</v>
      </c>
      <c r="AH211">
        <v>2</v>
      </c>
      <c r="AI211">
        <v>46468601</v>
      </c>
      <c r="AJ211">
        <v>223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ROW(Source!A335)</f>
        <v>335</v>
      </c>
      <c r="B212">
        <v>46468602</v>
      </c>
      <c r="C212">
        <v>46468592</v>
      </c>
      <c r="D212">
        <v>36796371</v>
      </c>
      <c r="E212">
        <v>17</v>
      </c>
      <c r="F212">
        <v>1</v>
      </c>
      <c r="G212">
        <v>1</v>
      </c>
      <c r="H212">
        <v>3</v>
      </c>
      <c r="I212" t="s">
        <v>670</v>
      </c>
      <c r="J212" t="s">
        <v>3</v>
      </c>
      <c r="K212" t="s">
        <v>671</v>
      </c>
      <c r="L212">
        <v>1339</v>
      </c>
      <c r="N212">
        <v>1007</v>
      </c>
      <c r="O212" t="s">
        <v>139</v>
      </c>
      <c r="P212" t="s">
        <v>139</v>
      </c>
      <c r="Q212">
        <v>1</v>
      </c>
      <c r="X212">
        <v>30.4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 t="s">
        <v>3</v>
      </c>
      <c r="AG212">
        <v>30.4</v>
      </c>
      <c r="AH212">
        <v>3</v>
      </c>
      <c r="AI212">
        <v>-1</v>
      </c>
      <c r="AJ212" t="s">
        <v>3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ROW(Source!A335)</f>
        <v>335</v>
      </c>
      <c r="B213">
        <v>46468603</v>
      </c>
      <c r="C213">
        <v>46468592</v>
      </c>
      <c r="D213">
        <v>36823257</v>
      </c>
      <c r="E213">
        <v>1</v>
      </c>
      <c r="F213">
        <v>1</v>
      </c>
      <c r="G213">
        <v>1</v>
      </c>
      <c r="H213">
        <v>3</v>
      </c>
      <c r="I213" t="s">
        <v>570</v>
      </c>
      <c r="J213" t="s">
        <v>571</v>
      </c>
      <c r="K213" t="s">
        <v>572</v>
      </c>
      <c r="L213">
        <v>1348</v>
      </c>
      <c r="N213">
        <v>1009</v>
      </c>
      <c r="O213" t="s">
        <v>184</v>
      </c>
      <c r="P213" t="s">
        <v>184</v>
      </c>
      <c r="Q213">
        <v>1000</v>
      </c>
      <c r="X213">
        <v>8.9</v>
      </c>
      <c r="Y213">
        <v>8060</v>
      </c>
      <c r="Z213">
        <v>0</v>
      </c>
      <c r="AA213">
        <v>0</v>
      </c>
      <c r="AB213">
        <v>0</v>
      </c>
      <c r="AC213">
        <v>0</v>
      </c>
      <c r="AD213">
        <v>1</v>
      </c>
      <c r="AE213">
        <v>0</v>
      </c>
      <c r="AF213" t="s">
        <v>3</v>
      </c>
      <c r="AG213">
        <v>8.9</v>
      </c>
      <c r="AH213">
        <v>2</v>
      </c>
      <c r="AI213">
        <v>46468603</v>
      </c>
      <c r="AJ213">
        <v>224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ROW(Source!A335)</f>
        <v>335</v>
      </c>
      <c r="B214">
        <v>46468604</v>
      </c>
      <c r="C214">
        <v>46468592</v>
      </c>
      <c r="D214">
        <v>36838369</v>
      </c>
      <c r="E214">
        <v>1</v>
      </c>
      <c r="F214">
        <v>1</v>
      </c>
      <c r="G214">
        <v>1</v>
      </c>
      <c r="H214">
        <v>3</v>
      </c>
      <c r="I214" t="s">
        <v>573</v>
      </c>
      <c r="J214" t="s">
        <v>574</v>
      </c>
      <c r="K214" t="s">
        <v>575</v>
      </c>
      <c r="L214">
        <v>1348</v>
      </c>
      <c r="N214">
        <v>1009</v>
      </c>
      <c r="O214" t="s">
        <v>184</v>
      </c>
      <c r="P214" t="s">
        <v>184</v>
      </c>
      <c r="Q214">
        <v>1000</v>
      </c>
      <c r="X214">
        <v>8.5000000000000006E-3</v>
      </c>
      <c r="Y214">
        <v>4361.8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3</v>
      </c>
      <c r="AG214">
        <v>8.5000000000000006E-3</v>
      </c>
      <c r="AH214">
        <v>2</v>
      </c>
      <c r="AI214">
        <v>46468604</v>
      </c>
      <c r="AJ214">
        <v>225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ROW(Source!A335)</f>
        <v>335</v>
      </c>
      <c r="B215">
        <v>46468605</v>
      </c>
      <c r="C215">
        <v>46468592</v>
      </c>
      <c r="D215">
        <v>36838985</v>
      </c>
      <c r="E215">
        <v>1</v>
      </c>
      <c r="F215">
        <v>1</v>
      </c>
      <c r="G215">
        <v>1</v>
      </c>
      <c r="H215">
        <v>3</v>
      </c>
      <c r="I215" t="s">
        <v>576</v>
      </c>
      <c r="J215" t="s">
        <v>577</v>
      </c>
      <c r="K215" t="s">
        <v>578</v>
      </c>
      <c r="L215">
        <v>1348</v>
      </c>
      <c r="N215">
        <v>1009</v>
      </c>
      <c r="O215" t="s">
        <v>184</v>
      </c>
      <c r="P215" t="s">
        <v>184</v>
      </c>
      <c r="Q215">
        <v>1000</v>
      </c>
      <c r="X215">
        <v>3.5000000000000001E-3</v>
      </c>
      <c r="Y215">
        <v>19114.900000000001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3</v>
      </c>
      <c r="AG215">
        <v>3.5000000000000001E-3</v>
      </c>
      <c r="AH215">
        <v>2</v>
      </c>
      <c r="AI215">
        <v>46468605</v>
      </c>
      <c r="AJ215">
        <v>226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ROW(Source!A373)</f>
        <v>373</v>
      </c>
      <c r="B216">
        <v>46468707</v>
      </c>
      <c r="C216">
        <v>46468706</v>
      </c>
      <c r="D216">
        <v>121548</v>
      </c>
      <c r="E216">
        <v>1</v>
      </c>
      <c r="F216">
        <v>1</v>
      </c>
      <c r="G216">
        <v>1</v>
      </c>
      <c r="H216">
        <v>1</v>
      </c>
      <c r="I216" t="s">
        <v>26</v>
      </c>
      <c r="J216" t="s">
        <v>3</v>
      </c>
      <c r="K216" t="s">
        <v>388</v>
      </c>
      <c r="L216">
        <v>608254</v>
      </c>
      <c r="N216">
        <v>1013</v>
      </c>
      <c r="O216" t="s">
        <v>389</v>
      </c>
      <c r="P216" t="s">
        <v>389</v>
      </c>
      <c r="Q216">
        <v>1</v>
      </c>
      <c r="X216">
        <v>53.69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2</v>
      </c>
      <c r="AF216" t="s">
        <v>31</v>
      </c>
      <c r="AG216">
        <v>61.74349999999999</v>
      </c>
      <c r="AH216">
        <v>2</v>
      </c>
      <c r="AI216">
        <v>46468707</v>
      </c>
      <c r="AJ216">
        <v>229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ROW(Source!A373)</f>
        <v>373</v>
      </c>
      <c r="B217">
        <v>46468708</v>
      </c>
      <c r="C217">
        <v>46468706</v>
      </c>
      <c r="D217">
        <v>42567746</v>
      </c>
      <c r="E217">
        <v>1</v>
      </c>
      <c r="F217">
        <v>1</v>
      </c>
      <c r="G217">
        <v>1</v>
      </c>
      <c r="H217">
        <v>2</v>
      </c>
      <c r="I217" t="s">
        <v>579</v>
      </c>
      <c r="J217" t="s">
        <v>580</v>
      </c>
      <c r="K217" t="s">
        <v>581</v>
      </c>
      <c r="L217">
        <v>1368</v>
      </c>
      <c r="N217">
        <v>1011</v>
      </c>
      <c r="O217" t="s">
        <v>393</v>
      </c>
      <c r="P217" t="s">
        <v>393</v>
      </c>
      <c r="Q217">
        <v>1</v>
      </c>
      <c r="X217">
        <v>53.69</v>
      </c>
      <c r="Y217">
        <v>0</v>
      </c>
      <c r="Z217">
        <v>101.49</v>
      </c>
      <c r="AA217">
        <v>12.62</v>
      </c>
      <c r="AB217">
        <v>0</v>
      </c>
      <c r="AC217">
        <v>0</v>
      </c>
      <c r="AD217">
        <v>1</v>
      </c>
      <c r="AE217">
        <v>0</v>
      </c>
      <c r="AF217" t="s">
        <v>31</v>
      </c>
      <c r="AG217">
        <v>61.74349999999999</v>
      </c>
      <c r="AH217">
        <v>2</v>
      </c>
      <c r="AI217">
        <v>46468708</v>
      </c>
      <c r="AJ217">
        <v>230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ROW(Source!A375)</f>
        <v>375</v>
      </c>
      <c r="B218">
        <v>46468671</v>
      </c>
      <c r="C218">
        <v>46468670</v>
      </c>
      <c r="D218">
        <v>37066491</v>
      </c>
      <c r="E218">
        <v>1</v>
      </c>
      <c r="F218">
        <v>1</v>
      </c>
      <c r="G218">
        <v>1</v>
      </c>
      <c r="H218">
        <v>1</v>
      </c>
      <c r="I218" t="s">
        <v>582</v>
      </c>
      <c r="J218" t="s">
        <v>3</v>
      </c>
      <c r="K218" t="s">
        <v>583</v>
      </c>
      <c r="L218">
        <v>1191</v>
      </c>
      <c r="N218">
        <v>1013</v>
      </c>
      <c r="O218" t="s">
        <v>550</v>
      </c>
      <c r="P218" t="s">
        <v>550</v>
      </c>
      <c r="Q218">
        <v>1</v>
      </c>
      <c r="X218">
        <v>15.72</v>
      </c>
      <c r="Y218">
        <v>0</v>
      </c>
      <c r="Z218">
        <v>0</v>
      </c>
      <c r="AA218">
        <v>0</v>
      </c>
      <c r="AB218">
        <v>8.02</v>
      </c>
      <c r="AC218">
        <v>0</v>
      </c>
      <c r="AD218">
        <v>1</v>
      </c>
      <c r="AE218">
        <v>1</v>
      </c>
      <c r="AF218" t="s">
        <v>161</v>
      </c>
      <c r="AG218">
        <v>20.789699999999996</v>
      </c>
      <c r="AH218">
        <v>2</v>
      </c>
      <c r="AI218">
        <v>46468671</v>
      </c>
      <c r="AJ218">
        <v>231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ROW(Source!A375)</f>
        <v>375</v>
      </c>
      <c r="B219">
        <v>46468672</v>
      </c>
      <c r="C219">
        <v>46468670</v>
      </c>
      <c r="D219">
        <v>37064876</v>
      </c>
      <c r="E219">
        <v>1</v>
      </c>
      <c r="F219">
        <v>1</v>
      </c>
      <c r="G219">
        <v>1</v>
      </c>
      <c r="H219">
        <v>1</v>
      </c>
      <c r="I219" t="s">
        <v>551</v>
      </c>
      <c r="J219" t="s">
        <v>3</v>
      </c>
      <c r="K219" t="s">
        <v>388</v>
      </c>
      <c r="L219">
        <v>1191</v>
      </c>
      <c r="N219">
        <v>1013</v>
      </c>
      <c r="O219" t="s">
        <v>550</v>
      </c>
      <c r="P219" t="s">
        <v>550</v>
      </c>
      <c r="Q219">
        <v>1</v>
      </c>
      <c r="X219">
        <v>13.88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2</v>
      </c>
      <c r="AF219" t="s">
        <v>170</v>
      </c>
      <c r="AG219">
        <v>19.952500000000001</v>
      </c>
      <c r="AH219">
        <v>2</v>
      </c>
      <c r="AI219">
        <v>46468672</v>
      </c>
      <c r="AJ219">
        <v>232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ROW(Source!A375)</f>
        <v>375</v>
      </c>
      <c r="B220">
        <v>46468673</v>
      </c>
      <c r="C220">
        <v>46468670</v>
      </c>
      <c r="D220">
        <v>36881380</v>
      </c>
      <c r="E220">
        <v>1</v>
      </c>
      <c r="F220">
        <v>1</v>
      </c>
      <c r="G220">
        <v>1</v>
      </c>
      <c r="H220">
        <v>2</v>
      </c>
      <c r="I220" t="s">
        <v>584</v>
      </c>
      <c r="J220" t="s">
        <v>585</v>
      </c>
      <c r="K220" t="s">
        <v>586</v>
      </c>
      <c r="L220">
        <v>1368</v>
      </c>
      <c r="N220">
        <v>1011</v>
      </c>
      <c r="O220" t="s">
        <v>393</v>
      </c>
      <c r="P220" t="s">
        <v>393</v>
      </c>
      <c r="Q220">
        <v>1</v>
      </c>
      <c r="X220">
        <v>1.77</v>
      </c>
      <c r="Y220">
        <v>0</v>
      </c>
      <c r="Z220">
        <v>123</v>
      </c>
      <c r="AA220">
        <v>13.5</v>
      </c>
      <c r="AB220">
        <v>0</v>
      </c>
      <c r="AC220">
        <v>0</v>
      </c>
      <c r="AD220">
        <v>1</v>
      </c>
      <c r="AE220">
        <v>0</v>
      </c>
      <c r="AF220" t="s">
        <v>170</v>
      </c>
      <c r="AG220">
        <v>2.5443749999999996</v>
      </c>
      <c r="AH220">
        <v>2</v>
      </c>
      <c r="AI220">
        <v>46468673</v>
      </c>
      <c r="AJ220">
        <v>233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ROW(Source!A375)</f>
        <v>375</v>
      </c>
      <c r="B221">
        <v>46468674</v>
      </c>
      <c r="C221">
        <v>46468670</v>
      </c>
      <c r="D221">
        <v>36882383</v>
      </c>
      <c r="E221">
        <v>1</v>
      </c>
      <c r="F221">
        <v>1</v>
      </c>
      <c r="G221">
        <v>1</v>
      </c>
      <c r="H221">
        <v>2</v>
      </c>
      <c r="I221" t="s">
        <v>555</v>
      </c>
      <c r="J221" t="s">
        <v>556</v>
      </c>
      <c r="K221" t="s">
        <v>557</v>
      </c>
      <c r="L221">
        <v>1368</v>
      </c>
      <c r="N221">
        <v>1011</v>
      </c>
      <c r="O221" t="s">
        <v>393</v>
      </c>
      <c r="P221" t="s">
        <v>393</v>
      </c>
      <c r="Q221">
        <v>1</v>
      </c>
      <c r="X221">
        <v>4.29</v>
      </c>
      <c r="Y221">
        <v>0</v>
      </c>
      <c r="Z221">
        <v>89.99</v>
      </c>
      <c r="AA221">
        <v>10.06</v>
      </c>
      <c r="AB221">
        <v>0</v>
      </c>
      <c r="AC221">
        <v>0</v>
      </c>
      <c r="AD221">
        <v>1</v>
      </c>
      <c r="AE221">
        <v>0</v>
      </c>
      <c r="AF221" t="s">
        <v>170</v>
      </c>
      <c r="AG221">
        <v>6.1668749999999992</v>
      </c>
      <c r="AH221">
        <v>2</v>
      </c>
      <c r="AI221">
        <v>46468674</v>
      </c>
      <c r="AJ221">
        <v>234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ROW(Source!A375)</f>
        <v>375</v>
      </c>
      <c r="B222">
        <v>46468675</v>
      </c>
      <c r="C222">
        <v>46468670</v>
      </c>
      <c r="D222">
        <v>36882750</v>
      </c>
      <c r="E222">
        <v>1</v>
      </c>
      <c r="F222">
        <v>1</v>
      </c>
      <c r="G222">
        <v>1</v>
      </c>
      <c r="H222">
        <v>2</v>
      </c>
      <c r="I222" t="s">
        <v>587</v>
      </c>
      <c r="J222" t="s">
        <v>588</v>
      </c>
      <c r="K222" t="s">
        <v>589</v>
      </c>
      <c r="L222">
        <v>1368</v>
      </c>
      <c r="N222">
        <v>1011</v>
      </c>
      <c r="O222" t="s">
        <v>393</v>
      </c>
      <c r="P222" t="s">
        <v>393</v>
      </c>
      <c r="Q222">
        <v>1</v>
      </c>
      <c r="X222">
        <v>7.08</v>
      </c>
      <c r="Y222">
        <v>0</v>
      </c>
      <c r="Z222">
        <v>206.01</v>
      </c>
      <c r="AA222">
        <v>14.4</v>
      </c>
      <c r="AB222">
        <v>0</v>
      </c>
      <c r="AC222">
        <v>0</v>
      </c>
      <c r="AD222">
        <v>1</v>
      </c>
      <c r="AE222">
        <v>0</v>
      </c>
      <c r="AF222" t="s">
        <v>170</v>
      </c>
      <c r="AG222">
        <v>10.177499999999998</v>
      </c>
      <c r="AH222">
        <v>2</v>
      </c>
      <c r="AI222">
        <v>46468675</v>
      </c>
      <c r="AJ222">
        <v>235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ROW(Source!A375)</f>
        <v>375</v>
      </c>
      <c r="B223">
        <v>46468676</v>
      </c>
      <c r="C223">
        <v>46468670</v>
      </c>
      <c r="D223">
        <v>36883483</v>
      </c>
      <c r="E223">
        <v>1</v>
      </c>
      <c r="F223">
        <v>1</v>
      </c>
      <c r="G223">
        <v>1</v>
      </c>
      <c r="H223">
        <v>2</v>
      </c>
      <c r="I223" t="s">
        <v>590</v>
      </c>
      <c r="J223" t="s">
        <v>591</v>
      </c>
      <c r="K223" t="s">
        <v>592</v>
      </c>
      <c r="L223">
        <v>1368</v>
      </c>
      <c r="N223">
        <v>1011</v>
      </c>
      <c r="O223" t="s">
        <v>393</v>
      </c>
      <c r="P223" t="s">
        <v>393</v>
      </c>
      <c r="Q223">
        <v>1</v>
      </c>
      <c r="X223">
        <v>0.74</v>
      </c>
      <c r="Y223">
        <v>0</v>
      </c>
      <c r="Z223">
        <v>110</v>
      </c>
      <c r="AA223">
        <v>11.6</v>
      </c>
      <c r="AB223">
        <v>0</v>
      </c>
      <c r="AC223">
        <v>0</v>
      </c>
      <c r="AD223">
        <v>1</v>
      </c>
      <c r="AE223">
        <v>0</v>
      </c>
      <c r="AF223" t="s">
        <v>170</v>
      </c>
      <c r="AG223">
        <v>1.06375</v>
      </c>
      <c r="AH223">
        <v>2</v>
      </c>
      <c r="AI223">
        <v>46468676</v>
      </c>
      <c r="AJ223">
        <v>236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ROW(Source!A375)</f>
        <v>375</v>
      </c>
      <c r="B224">
        <v>46468677</v>
      </c>
      <c r="C224">
        <v>46468670</v>
      </c>
      <c r="D224">
        <v>36801792</v>
      </c>
      <c r="E224">
        <v>1</v>
      </c>
      <c r="F224">
        <v>1</v>
      </c>
      <c r="G224">
        <v>1</v>
      </c>
      <c r="H224">
        <v>3</v>
      </c>
      <c r="I224" t="s">
        <v>593</v>
      </c>
      <c r="J224" t="s">
        <v>594</v>
      </c>
      <c r="K224" t="s">
        <v>437</v>
      </c>
      <c r="L224">
        <v>1339</v>
      </c>
      <c r="N224">
        <v>1007</v>
      </c>
      <c r="O224" t="s">
        <v>139</v>
      </c>
      <c r="P224" t="s">
        <v>139</v>
      </c>
      <c r="Q224">
        <v>1</v>
      </c>
      <c r="X224">
        <v>5</v>
      </c>
      <c r="Y224">
        <v>2.44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3</v>
      </c>
      <c r="AG224">
        <v>5</v>
      </c>
      <c r="AH224">
        <v>2</v>
      </c>
      <c r="AI224">
        <v>46468677</v>
      </c>
      <c r="AJ224">
        <v>237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ROW(Source!A375)</f>
        <v>375</v>
      </c>
      <c r="B225">
        <v>46468678</v>
      </c>
      <c r="C225">
        <v>46468670</v>
      </c>
      <c r="D225">
        <v>36796087</v>
      </c>
      <c r="E225">
        <v>17</v>
      </c>
      <c r="F225">
        <v>1</v>
      </c>
      <c r="G225">
        <v>1</v>
      </c>
      <c r="H225">
        <v>3</v>
      </c>
      <c r="I225" t="s">
        <v>668</v>
      </c>
      <c r="J225" t="s">
        <v>3</v>
      </c>
      <c r="K225" t="s">
        <v>669</v>
      </c>
      <c r="L225">
        <v>1339</v>
      </c>
      <c r="N225">
        <v>1007</v>
      </c>
      <c r="O225" t="s">
        <v>139</v>
      </c>
      <c r="P225" t="s">
        <v>139</v>
      </c>
      <c r="Q225">
        <v>1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1</v>
      </c>
      <c r="AD225">
        <v>0</v>
      </c>
      <c r="AE225">
        <v>0</v>
      </c>
      <c r="AF225" t="s">
        <v>3</v>
      </c>
      <c r="AG225">
        <v>0</v>
      </c>
      <c r="AH225">
        <v>3</v>
      </c>
      <c r="AI225">
        <v>-1</v>
      </c>
      <c r="AJ225" t="s">
        <v>3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ROW(Source!A377)</f>
        <v>377</v>
      </c>
      <c r="B226">
        <v>46468693</v>
      </c>
      <c r="C226">
        <v>46468692</v>
      </c>
      <c r="D226">
        <v>37068148</v>
      </c>
      <c r="E226">
        <v>1</v>
      </c>
      <c r="F226">
        <v>1</v>
      </c>
      <c r="G226">
        <v>1</v>
      </c>
      <c r="H226">
        <v>1</v>
      </c>
      <c r="I226" t="s">
        <v>595</v>
      </c>
      <c r="J226" t="s">
        <v>3</v>
      </c>
      <c r="K226" t="s">
        <v>596</v>
      </c>
      <c r="L226">
        <v>1191</v>
      </c>
      <c r="N226">
        <v>1013</v>
      </c>
      <c r="O226" t="s">
        <v>550</v>
      </c>
      <c r="P226" t="s">
        <v>550</v>
      </c>
      <c r="Q226">
        <v>1</v>
      </c>
      <c r="X226">
        <v>24.19</v>
      </c>
      <c r="Y226">
        <v>0</v>
      </c>
      <c r="Z226">
        <v>0</v>
      </c>
      <c r="AA226">
        <v>0</v>
      </c>
      <c r="AB226">
        <v>8.09</v>
      </c>
      <c r="AC226">
        <v>0</v>
      </c>
      <c r="AD226">
        <v>1</v>
      </c>
      <c r="AE226">
        <v>1</v>
      </c>
      <c r="AF226" t="s">
        <v>161</v>
      </c>
      <c r="AG226">
        <v>31.991274999999998</v>
      </c>
      <c r="AH226">
        <v>2</v>
      </c>
      <c r="AI226">
        <v>46468693</v>
      </c>
      <c r="AJ226">
        <v>239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ROW(Source!A377)</f>
        <v>377</v>
      </c>
      <c r="B227">
        <v>46468694</v>
      </c>
      <c r="C227">
        <v>46468692</v>
      </c>
      <c r="D227">
        <v>37064876</v>
      </c>
      <c r="E227">
        <v>1</v>
      </c>
      <c r="F227">
        <v>1</v>
      </c>
      <c r="G227">
        <v>1</v>
      </c>
      <c r="H227">
        <v>1</v>
      </c>
      <c r="I227" t="s">
        <v>551</v>
      </c>
      <c r="J227" t="s">
        <v>3</v>
      </c>
      <c r="K227" t="s">
        <v>388</v>
      </c>
      <c r="L227">
        <v>1191</v>
      </c>
      <c r="N227">
        <v>1013</v>
      </c>
      <c r="O227" t="s">
        <v>550</v>
      </c>
      <c r="P227" t="s">
        <v>550</v>
      </c>
      <c r="Q227">
        <v>1</v>
      </c>
      <c r="X227">
        <v>20.6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2</v>
      </c>
      <c r="AF227" t="s">
        <v>170</v>
      </c>
      <c r="AG227">
        <v>29.612499999999997</v>
      </c>
      <c r="AH227">
        <v>2</v>
      </c>
      <c r="AI227">
        <v>46468694</v>
      </c>
      <c r="AJ227">
        <v>240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ROW(Source!A377)</f>
        <v>377</v>
      </c>
      <c r="B228">
        <v>46468695</v>
      </c>
      <c r="C228">
        <v>46468692</v>
      </c>
      <c r="D228">
        <v>36881356</v>
      </c>
      <c r="E228">
        <v>1</v>
      </c>
      <c r="F228">
        <v>1</v>
      </c>
      <c r="G228">
        <v>1</v>
      </c>
      <c r="H228">
        <v>2</v>
      </c>
      <c r="I228" t="s">
        <v>597</v>
      </c>
      <c r="J228" t="s">
        <v>598</v>
      </c>
      <c r="K228" t="s">
        <v>599</v>
      </c>
      <c r="L228">
        <v>1368</v>
      </c>
      <c r="N228">
        <v>1011</v>
      </c>
      <c r="O228" t="s">
        <v>393</v>
      </c>
      <c r="P228" t="s">
        <v>393</v>
      </c>
      <c r="Q228">
        <v>1</v>
      </c>
      <c r="X228">
        <v>2.59</v>
      </c>
      <c r="Y228">
        <v>0</v>
      </c>
      <c r="Z228">
        <v>79.069999999999993</v>
      </c>
      <c r="AA228">
        <v>13.5</v>
      </c>
      <c r="AB228">
        <v>0</v>
      </c>
      <c r="AC228">
        <v>0</v>
      </c>
      <c r="AD228">
        <v>1</v>
      </c>
      <c r="AE228">
        <v>0</v>
      </c>
      <c r="AF228" t="s">
        <v>170</v>
      </c>
      <c r="AG228">
        <v>3.7231249999999996</v>
      </c>
      <c r="AH228">
        <v>2</v>
      </c>
      <c r="AI228">
        <v>46468695</v>
      </c>
      <c r="AJ228">
        <v>241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ROW(Source!A377)</f>
        <v>377</v>
      </c>
      <c r="B229">
        <v>46468696</v>
      </c>
      <c r="C229">
        <v>46468692</v>
      </c>
      <c r="D229">
        <v>36881380</v>
      </c>
      <c r="E229">
        <v>1</v>
      </c>
      <c r="F229">
        <v>1</v>
      </c>
      <c r="G229">
        <v>1</v>
      </c>
      <c r="H229">
        <v>2</v>
      </c>
      <c r="I229" t="s">
        <v>584</v>
      </c>
      <c r="J229" t="s">
        <v>585</v>
      </c>
      <c r="K229" t="s">
        <v>586</v>
      </c>
      <c r="L229">
        <v>1368</v>
      </c>
      <c r="N229">
        <v>1011</v>
      </c>
      <c r="O229" t="s">
        <v>393</v>
      </c>
      <c r="P229" t="s">
        <v>393</v>
      </c>
      <c r="Q229">
        <v>1</v>
      </c>
      <c r="X229">
        <v>2.2999999999999998</v>
      </c>
      <c r="Y229">
        <v>0</v>
      </c>
      <c r="Z229">
        <v>123</v>
      </c>
      <c r="AA229">
        <v>13.5</v>
      </c>
      <c r="AB229">
        <v>0</v>
      </c>
      <c r="AC229">
        <v>0</v>
      </c>
      <c r="AD229">
        <v>1</v>
      </c>
      <c r="AE229">
        <v>0</v>
      </c>
      <c r="AF229" t="s">
        <v>170</v>
      </c>
      <c r="AG229">
        <v>3.3062499999999999</v>
      </c>
      <c r="AH229">
        <v>2</v>
      </c>
      <c r="AI229">
        <v>46468696</v>
      </c>
      <c r="AJ229">
        <v>242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ROW(Source!A377)</f>
        <v>377</v>
      </c>
      <c r="B230">
        <v>46468697</v>
      </c>
      <c r="C230">
        <v>46468692</v>
      </c>
      <c r="D230">
        <v>36882383</v>
      </c>
      <c r="E230">
        <v>1</v>
      </c>
      <c r="F230">
        <v>1</v>
      </c>
      <c r="G230">
        <v>1</v>
      </c>
      <c r="H230">
        <v>2</v>
      </c>
      <c r="I230" t="s">
        <v>555</v>
      </c>
      <c r="J230" t="s">
        <v>556</v>
      </c>
      <c r="K230" t="s">
        <v>557</v>
      </c>
      <c r="L230">
        <v>1368</v>
      </c>
      <c r="N230">
        <v>1011</v>
      </c>
      <c r="O230" t="s">
        <v>393</v>
      </c>
      <c r="P230" t="s">
        <v>393</v>
      </c>
      <c r="Q230">
        <v>1</v>
      </c>
      <c r="X230">
        <v>2.46</v>
      </c>
      <c r="Y230">
        <v>0</v>
      </c>
      <c r="Z230">
        <v>89.99</v>
      </c>
      <c r="AA230">
        <v>10.06</v>
      </c>
      <c r="AB230">
        <v>0</v>
      </c>
      <c r="AC230">
        <v>0</v>
      </c>
      <c r="AD230">
        <v>1</v>
      </c>
      <c r="AE230">
        <v>0</v>
      </c>
      <c r="AF230" t="s">
        <v>170</v>
      </c>
      <c r="AG230">
        <v>3.5362499999999999</v>
      </c>
      <c r="AH230">
        <v>2</v>
      </c>
      <c r="AI230">
        <v>46468697</v>
      </c>
      <c r="AJ230">
        <v>243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ROW(Source!A377)</f>
        <v>377</v>
      </c>
      <c r="B231">
        <v>46468698</v>
      </c>
      <c r="C231">
        <v>46468692</v>
      </c>
      <c r="D231">
        <v>36882750</v>
      </c>
      <c r="E231">
        <v>1</v>
      </c>
      <c r="F231">
        <v>1</v>
      </c>
      <c r="G231">
        <v>1</v>
      </c>
      <c r="H231">
        <v>2</v>
      </c>
      <c r="I231" t="s">
        <v>587</v>
      </c>
      <c r="J231" t="s">
        <v>588</v>
      </c>
      <c r="K231" t="s">
        <v>589</v>
      </c>
      <c r="L231">
        <v>1368</v>
      </c>
      <c r="N231">
        <v>1011</v>
      </c>
      <c r="O231" t="s">
        <v>393</v>
      </c>
      <c r="P231" t="s">
        <v>393</v>
      </c>
      <c r="Q231">
        <v>1</v>
      </c>
      <c r="X231">
        <v>12.21</v>
      </c>
      <c r="Y231">
        <v>0</v>
      </c>
      <c r="Z231">
        <v>206.01</v>
      </c>
      <c r="AA231">
        <v>14.4</v>
      </c>
      <c r="AB231">
        <v>0</v>
      </c>
      <c r="AC231">
        <v>0</v>
      </c>
      <c r="AD231">
        <v>1</v>
      </c>
      <c r="AE231">
        <v>0</v>
      </c>
      <c r="AF231" t="s">
        <v>170</v>
      </c>
      <c r="AG231">
        <v>17.551874999999999</v>
      </c>
      <c r="AH231">
        <v>2</v>
      </c>
      <c r="AI231">
        <v>46468698</v>
      </c>
      <c r="AJ231">
        <v>244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ROW(Source!A377)</f>
        <v>377</v>
      </c>
      <c r="B232">
        <v>46468699</v>
      </c>
      <c r="C232">
        <v>46468692</v>
      </c>
      <c r="D232">
        <v>36883483</v>
      </c>
      <c r="E232">
        <v>1</v>
      </c>
      <c r="F232">
        <v>1</v>
      </c>
      <c r="G232">
        <v>1</v>
      </c>
      <c r="H232">
        <v>2</v>
      </c>
      <c r="I232" t="s">
        <v>590</v>
      </c>
      <c r="J232" t="s">
        <v>591</v>
      </c>
      <c r="K232" t="s">
        <v>592</v>
      </c>
      <c r="L232">
        <v>1368</v>
      </c>
      <c r="N232">
        <v>1011</v>
      </c>
      <c r="O232" t="s">
        <v>393</v>
      </c>
      <c r="P232" t="s">
        <v>393</v>
      </c>
      <c r="Q232">
        <v>1</v>
      </c>
      <c r="X232">
        <v>1.04</v>
      </c>
      <c r="Y232">
        <v>0</v>
      </c>
      <c r="Z232">
        <v>110</v>
      </c>
      <c r="AA232">
        <v>11.6</v>
      </c>
      <c r="AB232">
        <v>0</v>
      </c>
      <c r="AC232">
        <v>0</v>
      </c>
      <c r="AD232">
        <v>1</v>
      </c>
      <c r="AE232">
        <v>0</v>
      </c>
      <c r="AF232" t="s">
        <v>170</v>
      </c>
      <c r="AG232">
        <v>1.4949999999999999</v>
      </c>
      <c r="AH232">
        <v>2</v>
      </c>
      <c r="AI232">
        <v>46468699</v>
      </c>
      <c r="AJ232">
        <v>245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ROW(Source!A377)</f>
        <v>377</v>
      </c>
      <c r="B233">
        <v>46468700</v>
      </c>
      <c r="C233">
        <v>46468692</v>
      </c>
      <c r="D233">
        <v>36801792</v>
      </c>
      <c r="E233">
        <v>1</v>
      </c>
      <c r="F233">
        <v>1</v>
      </c>
      <c r="G233">
        <v>1</v>
      </c>
      <c r="H233">
        <v>3</v>
      </c>
      <c r="I233" t="s">
        <v>593</v>
      </c>
      <c r="J233" t="s">
        <v>594</v>
      </c>
      <c r="K233" t="s">
        <v>437</v>
      </c>
      <c r="L233">
        <v>1339</v>
      </c>
      <c r="N233">
        <v>1007</v>
      </c>
      <c r="O233" t="s">
        <v>139</v>
      </c>
      <c r="P233" t="s">
        <v>139</v>
      </c>
      <c r="Q233">
        <v>1</v>
      </c>
      <c r="X233">
        <v>7</v>
      </c>
      <c r="Y233">
        <v>2.44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3</v>
      </c>
      <c r="AG233">
        <v>7</v>
      </c>
      <c r="AH233">
        <v>2</v>
      </c>
      <c r="AI233">
        <v>46468700</v>
      </c>
      <c r="AJ233">
        <v>246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ROW(Source!A377)</f>
        <v>377</v>
      </c>
      <c r="B234">
        <v>46468701</v>
      </c>
      <c r="C234">
        <v>46468692</v>
      </c>
      <c r="D234">
        <v>36796092</v>
      </c>
      <c r="E234">
        <v>17</v>
      </c>
      <c r="F234">
        <v>1</v>
      </c>
      <c r="G234">
        <v>1</v>
      </c>
      <c r="H234">
        <v>3</v>
      </c>
      <c r="I234" t="s">
        <v>672</v>
      </c>
      <c r="J234" t="s">
        <v>3</v>
      </c>
      <c r="K234" t="s">
        <v>673</v>
      </c>
      <c r="L234">
        <v>1339</v>
      </c>
      <c r="N234">
        <v>1007</v>
      </c>
      <c r="O234" t="s">
        <v>139</v>
      </c>
      <c r="P234" t="s">
        <v>139</v>
      </c>
      <c r="Q234">
        <v>1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1</v>
      </c>
      <c r="AD234">
        <v>0</v>
      </c>
      <c r="AE234">
        <v>0</v>
      </c>
      <c r="AF234" t="s">
        <v>3</v>
      </c>
      <c r="AG234">
        <v>0</v>
      </c>
      <c r="AH234">
        <v>3</v>
      </c>
      <c r="AI234">
        <v>-1</v>
      </c>
      <c r="AJ234" t="s">
        <v>3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ROW(Source!A379)</f>
        <v>379</v>
      </c>
      <c r="B235">
        <v>46468712</v>
      </c>
      <c r="C235">
        <v>46468711</v>
      </c>
      <c r="D235">
        <v>121548</v>
      </c>
      <c r="E235">
        <v>1</v>
      </c>
      <c r="F235">
        <v>1</v>
      </c>
      <c r="G235">
        <v>1</v>
      </c>
      <c r="H235">
        <v>1</v>
      </c>
      <c r="I235" t="s">
        <v>26</v>
      </c>
      <c r="J235" t="s">
        <v>3</v>
      </c>
      <c r="K235" t="s">
        <v>388</v>
      </c>
      <c r="L235">
        <v>608254</v>
      </c>
      <c r="N235">
        <v>1013</v>
      </c>
      <c r="O235" t="s">
        <v>389</v>
      </c>
      <c r="P235" t="s">
        <v>389</v>
      </c>
      <c r="Q235">
        <v>1</v>
      </c>
      <c r="X235">
        <v>0.66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2</v>
      </c>
      <c r="AF235" t="s">
        <v>31</v>
      </c>
      <c r="AG235">
        <v>0.75900000000000001</v>
      </c>
      <c r="AH235">
        <v>2</v>
      </c>
      <c r="AI235">
        <v>46468712</v>
      </c>
      <c r="AJ235">
        <v>248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ROW(Source!A379)</f>
        <v>379</v>
      </c>
      <c r="B236">
        <v>46468713</v>
      </c>
      <c r="C236">
        <v>46468711</v>
      </c>
      <c r="D236">
        <v>42568363</v>
      </c>
      <c r="E236">
        <v>1</v>
      </c>
      <c r="F236">
        <v>1</v>
      </c>
      <c r="G236">
        <v>1</v>
      </c>
      <c r="H236">
        <v>2</v>
      </c>
      <c r="I236" t="s">
        <v>600</v>
      </c>
      <c r="J236" t="s">
        <v>601</v>
      </c>
      <c r="K236" t="s">
        <v>602</v>
      </c>
      <c r="L236">
        <v>1368</v>
      </c>
      <c r="N236">
        <v>1011</v>
      </c>
      <c r="O236" t="s">
        <v>393</v>
      </c>
      <c r="P236" t="s">
        <v>393</v>
      </c>
      <c r="Q236">
        <v>1</v>
      </c>
      <c r="X236">
        <v>0.33</v>
      </c>
      <c r="Y236">
        <v>0</v>
      </c>
      <c r="Z236">
        <v>113.31</v>
      </c>
      <c r="AA236">
        <v>20.239999999999998</v>
      </c>
      <c r="AB236">
        <v>0</v>
      </c>
      <c r="AC236">
        <v>0</v>
      </c>
      <c r="AD236">
        <v>1</v>
      </c>
      <c r="AE236">
        <v>0</v>
      </c>
      <c r="AF236" t="s">
        <v>31</v>
      </c>
      <c r="AG236">
        <v>0.3795</v>
      </c>
      <c r="AH236">
        <v>2</v>
      </c>
      <c r="AI236">
        <v>46468713</v>
      </c>
      <c r="AJ236">
        <v>249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ROW(Source!A379)</f>
        <v>379</v>
      </c>
      <c r="B237">
        <v>46468714</v>
      </c>
      <c r="C237">
        <v>46468711</v>
      </c>
      <c r="D237">
        <v>42594037</v>
      </c>
      <c r="E237">
        <v>1</v>
      </c>
      <c r="F237">
        <v>1</v>
      </c>
      <c r="G237">
        <v>1</v>
      </c>
      <c r="H237">
        <v>3</v>
      </c>
      <c r="I237" t="s">
        <v>603</v>
      </c>
      <c r="J237" t="s">
        <v>604</v>
      </c>
      <c r="K237" t="s">
        <v>605</v>
      </c>
      <c r="L237">
        <v>1348</v>
      </c>
      <c r="N237">
        <v>1009</v>
      </c>
      <c r="O237" t="s">
        <v>184</v>
      </c>
      <c r="P237" t="s">
        <v>184</v>
      </c>
      <c r="Q237">
        <v>1000</v>
      </c>
      <c r="X237">
        <v>1.03</v>
      </c>
      <c r="Y237">
        <v>1546.94</v>
      </c>
      <c r="Z237">
        <v>0</v>
      </c>
      <c r="AA237">
        <v>0</v>
      </c>
      <c r="AB237">
        <v>0</v>
      </c>
      <c r="AC237">
        <v>0</v>
      </c>
      <c r="AD237">
        <v>1</v>
      </c>
      <c r="AE237">
        <v>0</v>
      </c>
      <c r="AF237" t="s">
        <v>3</v>
      </c>
      <c r="AG237">
        <v>1.03</v>
      </c>
      <c r="AH237">
        <v>2</v>
      </c>
      <c r="AI237">
        <v>46468714</v>
      </c>
      <c r="AJ237">
        <v>250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ROW(Source!A380)</f>
        <v>380</v>
      </c>
      <c r="B238">
        <v>46468716</v>
      </c>
      <c r="C238">
        <v>46468715</v>
      </c>
      <c r="D238">
        <v>42646086</v>
      </c>
      <c r="E238">
        <v>1</v>
      </c>
      <c r="F238">
        <v>1</v>
      </c>
      <c r="G238">
        <v>1</v>
      </c>
      <c r="H238">
        <v>1</v>
      </c>
      <c r="I238" t="s">
        <v>440</v>
      </c>
      <c r="J238" t="s">
        <v>3</v>
      </c>
      <c r="K238" t="s">
        <v>441</v>
      </c>
      <c r="L238">
        <v>1369</v>
      </c>
      <c r="N238">
        <v>1013</v>
      </c>
      <c r="O238" t="s">
        <v>387</v>
      </c>
      <c r="P238" t="s">
        <v>387</v>
      </c>
      <c r="Q238">
        <v>1</v>
      </c>
      <c r="X238">
        <v>20.86</v>
      </c>
      <c r="Y238">
        <v>0</v>
      </c>
      <c r="Z238">
        <v>0</v>
      </c>
      <c r="AA238">
        <v>0</v>
      </c>
      <c r="AB238">
        <v>8.17</v>
      </c>
      <c r="AC238">
        <v>0</v>
      </c>
      <c r="AD238">
        <v>1</v>
      </c>
      <c r="AE238">
        <v>1</v>
      </c>
      <c r="AF238" t="s">
        <v>31</v>
      </c>
      <c r="AG238">
        <v>23.988999999999997</v>
      </c>
      <c r="AH238">
        <v>2</v>
      </c>
      <c r="AI238">
        <v>46468716</v>
      </c>
      <c r="AJ238">
        <v>251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ROW(Source!A380)</f>
        <v>380</v>
      </c>
      <c r="B239">
        <v>46468717</v>
      </c>
      <c r="C239">
        <v>46468715</v>
      </c>
      <c r="D239">
        <v>121548</v>
      </c>
      <c r="E239">
        <v>1</v>
      </c>
      <c r="F239">
        <v>1</v>
      </c>
      <c r="G239">
        <v>1</v>
      </c>
      <c r="H239">
        <v>1</v>
      </c>
      <c r="I239" t="s">
        <v>26</v>
      </c>
      <c r="J239" t="s">
        <v>3</v>
      </c>
      <c r="K239" t="s">
        <v>388</v>
      </c>
      <c r="L239">
        <v>608254</v>
      </c>
      <c r="N239">
        <v>1013</v>
      </c>
      <c r="O239" t="s">
        <v>389</v>
      </c>
      <c r="P239" t="s">
        <v>389</v>
      </c>
      <c r="Q239">
        <v>1</v>
      </c>
      <c r="X239">
        <v>18.649999999999999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2</v>
      </c>
      <c r="AF239" t="s">
        <v>286</v>
      </c>
      <c r="AG239">
        <v>64.342500000000001</v>
      </c>
      <c r="AH239">
        <v>2</v>
      </c>
      <c r="AI239">
        <v>46468717</v>
      </c>
      <c r="AJ239">
        <v>252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ROW(Source!A380)</f>
        <v>380</v>
      </c>
      <c r="B240">
        <v>46468718</v>
      </c>
      <c r="C240">
        <v>46468715</v>
      </c>
      <c r="D240">
        <v>42567318</v>
      </c>
      <c r="E240">
        <v>1</v>
      </c>
      <c r="F240">
        <v>1</v>
      </c>
      <c r="G240">
        <v>1</v>
      </c>
      <c r="H240">
        <v>2</v>
      </c>
      <c r="I240" t="s">
        <v>432</v>
      </c>
      <c r="J240" t="s">
        <v>433</v>
      </c>
      <c r="K240" t="s">
        <v>434</v>
      </c>
      <c r="L240">
        <v>1368</v>
      </c>
      <c r="N240">
        <v>1011</v>
      </c>
      <c r="O240" t="s">
        <v>393</v>
      </c>
      <c r="P240" t="s">
        <v>393</v>
      </c>
      <c r="Q240">
        <v>1</v>
      </c>
      <c r="X240">
        <v>0.55000000000000004</v>
      </c>
      <c r="Y240">
        <v>0</v>
      </c>
      <c r="Z240">
        <v>88.87</v>
      </c>
      <c r="AA240">
        <v>9.4</v>
      </c>
      <c r="AB240">
        <v>0</v>
      </c>
      <c r="AC240">
        <v>0</v>
      </c>
      <c r="AD240">
        <v>1</v>
      </c>
      <c r="AE240">
        <v>0</v>
      </c>
      <c r="AF240" t="s">
        <v>286</v>
      </c>
      <c r="AG240">
        <v>1.8975</v>
      </c>
      <c r="AH240">
        <v>2</v>
      </c>
      <c r="AI240">
        <v>46468718</v>
      </c>
      <c r="AJ240">
        <v>253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ROW(Source!A380)</f>
        <v>380</v>
      </c>
      <c r="B241">
        <v>46468719</v>
      </c>
      <c r="C241">
        <v>46468715</v>
      </c>
      <c r="D241">
        <v>42567359</v>
      </c>
      <c r="E241">
        <v>1</v>
      </c>
      <c r="F241">
        <v>1</v>
      </c>
      <c r="G241">
        <v>1</v>
      </c>
      <c r="H241">
        <v>2</v>
      </c>
      <c r="I241" t="s">
        <v>606</v>
      </c>
      <c r="J241" t="s">
        <v>607</v>
      </c>
      <c r="K241" t="s">
        <v>608</v>
      </c>
      <c r="L241">
        <v>1368</v>
      </c>
      <c r="N241">
        <v>1011</v>
      </c>
      <c r="O241" t="s">
        <v>393</v>
      </c>
      <c r="P241" t="s">
        <v>393</v>
      </c>
      <c r="Q241">
        <v>1</v>
      </c>
      <c r="X241">
        <v>2.44</v>
      </c>
      <c r="Y241">
        <v>0</v>
      </c>
      <c r="Z241">
        <v>1.05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286</v>
      </c>
      <c r="AG241">
        <v>8.4179999999999993</v>
      </c>
      <c r="AH241">
        <v>2</v>
      </c>
      <c r="AI241">
        <v>46468719</v>
      </c>
      <c r="AJ241">
        <v>254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ROW(Source!A380)</f>
        <v>380</v>
      </c>
      <c r="B242">
        <v>46468720</v>
      </c>
      <c r="C242">
        <v>46468715</v>
      </c>
      <c r="D242">
        <v>42568433</v>
      </c>
      <c r="E242">
        <v>1</v>
      </c>
      <c r="F242">
        <v>1</v>
      </c>
      <c r="G242">
        <v>1</v>
      </c>
      <c r="H242">
        <v>2</v>
      </c>
      <c r="I242" t="s">
        <v>609</v>
      </c>
      <c r="J242" t="s">
        <v>610</v>
      </c>
      <c r="K242" t="s">
        <v>611</v>
      </c>
      <c r="L242">
        <v>1368</v>
      </c>
      <c r="N242">
        <v>1011</v>
      </c>
      <c r="O242" t="s">
        <v>393</v>
      </c>
      <c r="P242" t="s">
        <v>393</v>
      </c>
      <c r="Q242">
        <v>1</v>
      </c>
      <c r="X242">
        <v>0.97</v>
      </c>
      <c r="Y242">
        <v>0</v>
      </c>
      <c r="Z242">
        <v>195.49</v>
      </c>
      <c r="AA242">
        <v>12.62</v>
      </c>
      <c r="AB242">
        <v>0</v>
      </c>
      <c r="AC242">
        <v>0</v>
      </c>
      <c r="AD242">
        <v>1</v>
      </c>
      <c r="AE242">
        <v>0</v>
      </c>
      <c r="AF242" t="s">
        <v>286</v>
      </c>
      <c r="AG242">
        <v>3.3464999999999998</v>
      </c>
      <c r="AH242">
        <v>2</v>
      </c>
      <c r="AI242">
        <v>46468720</v>
      </c>
      <c r="AJ242">
        <v>255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ROW(Source!A380)</f>
        <v>380</v>
      </c>
      <c r="B243">
        <v>46468721</v>
      </c>
      <c r="C243">
        <v>46468715</v>
      </c>
      <c r="D243">
        <v>42568519</v>
      </c>
      <c r="E243">
        <v>1</v>
      </c>
      <c r="F243">
        <v>1</v>
      </c>
      <c r="G243">
        <v>1</v>
      </c>
      <c r="H243">
        <v>2</v>
      </c>
      <c r="I243" t="s">
        <v>612</v>
      </c>
      <c r="J243" t="s">
        <v>613</v>
      </c>
      <c r="K243" t="s">
        <v>614</v>
      </c>
      <c r="L243">
        <v>1368</v>
      </c>
      <c r="N243">
        <v>1011</v>
      </c>
      <c r="O243" t="s">
        <v>393</v>
      </c>
      <c r="P243" t="s">
        <v>393</v>
      </c>
      <c r="Q243">
        <v>1</v>
      </c>
      <c r="X243">
        <v>2.04</v>
      </c>
      <c r="Y243">
        <v>0</v>
      </c>
      <c r="Z243">
        <v>1494.6</v>
      </c>
      <c r="AA243">
        <v>13.46</v>
      </c>
      <c r="AB243">
        <v>0</v>
      </c>
      <c r="AC243">
        <v>0</v>
      </c>
      <c r="AD243">
        <v>1</v>
      </c>
      <c r="AE243">
        <v>0</v>
      </c>
      <c r="AF243" t="s">
        <v>286</v>
      </c>
      <c r="AG243">
        <v>7.0379999999999985</v>
      </c>
      <c r="AH243">
        <v>2</v>
      </c>
      <c r="AI243">
        <v>46468721</v>
      </c>
      <c r="AJ243">
        <v>256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ROW(Source!A380)</f>
        <v>380</v>
      </c>
      <c r="B244">
        <v>46468722</v>
      </c>
      <c r="C244">
        <v>46468715</v>
      </c>
      <c r="D244">
        <v>42568531</v>
      </c>
      <c r="E244">
        <v>1</v>
      </c>
      <c r="F244">
        <v>1</v>
      </c>
      <c r="G244">
        <v>1</v>
      </c>
      <c r="H244">
        <v>2</v>
      </c>
      <c r="I244" t="s">
        <v>615</v>
      </c>
      <c r="J244" t="s">
        <v>616</v>
      </c>
      <c r="K244" t="s">
        <v>592</v>
      </c>
      <c r="L244">
        <v>1368</v>
      </c>
      <c r="N244">
        <v>1011</v>
      </c>
      <c r="O244" t="s">
        <v>393</v>
      </c>
      <c r="P244" t="s">
        <v>393</v>
      </c>
      <c r="Q244">
        <v>1</v>
      </c>
      <c r="X244">
        <v>3.1</v>
      </c>
      <c r="Y244">
        <v>0</v>
      </c>
      <c r="Z244">
        <v>109.06</v>
      </c>
      <c r="AA244">
        <v>10.84</v>
      </c>
      <c r="AB244">
        <v>0</v>
      </c>
      <c r="AC244">
        <v>0</v>
      </c>
      <c r="AD244">
        <v>1</v>
      </c>
      <c r="AE244">
        <v>0</v>
      </c>
      <c r="AF244" t="s">
        <v>286</v>
      </c>
      <c r="AG244">
        <v>10.695</v>
      </c>
      <c r="AH244">
        <v>2</v>
      </c>
      <c r="AI244">
        <v>46468722</v>
      </c>
      <c r="AJ244">
        <v>257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ROW(Source!A380)</f>
        <v>380</v>
      </c>
      <c r="B245">
        <v>46468723</v>
      </c>
      <c r="C245">
        <v>46468715</v>
      </c>
      <c r="D245">
        <v>42570318</v>
      </c>
      <c r="E245">
        <v>1</v>
      </c>
      <c r="F245">
        <v>1</v>
      </c>
      <c r="G245">
        <v>1</v>
      </c>
      <c r="H245">
        <v>2</v>
      </c>
      <c r="I245" t="s">
        <v>397</v>
      </c>
      <c r="J245" t="s">
        <v>398</v>
      </c>
      <c r="K245" t="s">
        <v>399</v>
      </c>
      <c r="L245">
        <v>1368</v>
      </c>
      <c r="N245">
        <v>1011</v>
      </c>
      <c r="O245" t="s">
        <v>393</v>
      </c>
      <c r="P245" t="s">
        <v>393</v>
      </c>
      <c r="Q245">
        <v>1</v>
      </c>
      <c r="X245">
        <v>1.1499999999999999</v>
      </c>
      <c r="Y245">
        <v>0</v>
      </c>
      <c r="Z245">
        <v>1.53</v>
      </c>
      <c r="AA245">
        <v>0</v>
      </c>
      <c r="AB245">
        <v>0</v>
      </c>
      <c r="AC245">
        <v>0</v>
      </c>
      <c r="AD245">
        <v>1</v>
      </c>
      <c r="AE245">
        <v>0</v>
      </c>
      <c r="AF245" t="s">
        <v>286</v>
      </c>
      <c r="AG245">
        <v>3.9674999999999994</v>
      </c>
      <c r="AH245">
        <v>2</v>
      </c>
      <c r="AI245">
        <v>46468723</v>
      </c>
      <c r="AJ245">
        <v>258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ROW(Source!A380)</f>
        <v>380</v>
      </c>
      <c r="B246">
        <v>46468724</v>
      </c>
      <c r="C246">
        <v>46468715</v>
      </c>
      <c r="D246">
        <v>42570663</v>
      </c>
      <c r="E246">
        <v>1</v>
      </c>
      <c r="F246">
        <v>1</v>
      </c>
      <c r="G246">
        <v>1</v>
      </c>
      <c r="H246">
        <v>2</v>
      </c>
      <c r="I246" t="s">
        <v>617</v>
      </c>
      <c r="J246" t="s">
        <v>618</v>
      </c>
      <c r="K246" t="s">
        <v>619</v>
      </c>
      <c r="L246">
        <v>1368</v>
      </c>
      <c r="N246">
        <v>1011</v>
      </c>
      <c r="O246" t="s">
        <v>393</v>
      </c>
      <c r="P246" t="s">
        <v>393</v>
      </c>
      <c r="Q246">
        <v>1</v>
      </c>
      <c r="X246">
        <v>2.04</v>
      </c>
      <c r="Y246">
        <v>0</v>
      </c>
      <c r="Z246">
        <v>706.29</v>
      </c>
      <c r="AA246">
        <v>15.37</v>
      </c>
      <c r="AB246">
        <v>0</v>
      </c>
      <c r="AC246">
        <v>0</v>
      </c>
      <c r="AD246">
        <v>1</v>
      </c>
      <c r="AE246">
        <v>0</v>
      </c>
      <c r="AF246" t="s">
        <v>286</v>
      </c>
      <c r="AG246">
        <v>7.0379999999999985</v>
      </c>
      <c r="AH246">
        <v>2</v>
      </c>
      <c r="AI246">
        <v>46468724</v>
      </c>
      <c r="AJ246">
        <v>259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ROW(Source!A380)</f>
        <v>380</v>
      </c>
      <c r="B247">
        <v>46468725</v>
      </c>
      <c r="C247">
        <v>46468715</v>
      </c>
      <c r="D247">
        <v>42570664</v>
      </c>
      <c r="E247">
        <v>1</v>
      </c>
      <c r="F247">
        <v>1</v>
      </c>
      <c r="G247">
        <v>1</v>
      </c>
      <c r="H247">
        <v>2</v>
      </c>
      <c r="I247" t="s">
        <v>620</v>
      </c>
      <c r="J247" t="s">
        <v>621</v>
      </c>
      <c r="K247" t="s">
        <v>622</v>
      </c>
      <c r="L247">
        <v>1368</v>
      </c>
      <c r="N247">
        <v>1011</v>
      </c>
      <c r="O247" t="s">
        <v>393</v>
      </c>
      <c r="P247" t="s">
        <v>393</v>
      </c>
      <c r="Q247">
        <v>1</v>
      </c>
      <c r="X247">
        <v>2.04</v>
      </c>
      <c r="Y247">
        <v>0</v>
      </c>
      <c r="Z247">
        <v>19.399999999999999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286</v>
      </c>
      <c r="AG247">
        <v>7.0379999999999985</v>
      </c>
      <c r="AH247">
        <v>2</v>
      </c>
      <c r="AI247">
        <v>46468725</v>
      </c>
      <c r="AJ247">
        <v>260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ROW(Source!A380)</f>
        <v>380</v>
      </c>
      <c r="B248">
        <v>46468726</v>
      </c>
      <c r="C248">
        <v>46468715</v>
      </c>
      <c r="D248">
        <v>42570665</v>
      </c>
      <c r="E248">
        <v>1</v>
      </c>
      <c r="F248">
        <v>1</v>
      </c>
      <c r="G248">
        <v>1</v>
      </c>
      <c r="H248">
        <v>2</v>
      </c>
      <c r="I248" t="s">
        <v>623</v>
      </c>
      <c r="J248" t="s">
        <v>624</v>
      </c>
      <c r="K248" t="s">
        <v>625</v>
      </c>
      <c r="L248">
        <v>1368</v>
      </c>
      <c r="N248">
        <v>1011</v>
      </c>
      <c r="O248" t="s">
        <v>393</v>
      </c>
      <c r="P248" t="s">
        <v>393</v>
      </c>
      <c r="Q248">
        <v>1</v>
      </c>
      <c r="X248">
        <v>1.51</v>
      </c>
      <c r="Y248">
        <v>0</v>
      </c>
      <c r="Z248">
        <v>299.85000000000002</v>
      </c>
      <c r="AA248">
        <v>12.62</v>
      </c>
      <c r="AB248">
        <v>0</v>
      </c>
      <c r="AC248">
        <v>0</v>
      </c>
      <c r="AD248">
        <v>1</v>
      </c>
      <c r="AE248">
        <v>0</v>
      </c>
      <c r="AF248" t="s">
        <v>286</v>
      </c>
      <c r="AG248">
        <v>5.2095000000000002</v>
      </c>
      <c r="AH248">
        <v>2</v>
      </c>
      <c r="AI248">
        <v>46468726</v>
      </c>
      <c r="AJ248">
        <v>261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ROW(Source!A380)</f>
        <v>380</v>
      </c>
      <c r="B249">
        <v>46468727</v>
      </c>
      <c r="C249">
        <v>46468715</v>
      </c>
      <c r="D249">
        <v>42570666</v>
      </c>
      <c r="E249">
        <v>1</v>
      </c>
      <c r="F249">
        <v>1</v>
      </c>
      <c r="G249">
        <v>1</v>
      </c>
      <c r="H249">
        <v>2</v>
      </c>
      <c r="I249" t="s">
        <v>626</v>
      </c>
      <c r="J249" t="s">
        <v>627</v>
      </c>
      <c r="K249" t="s">
        <v>628</v>
      </c>
      <c r="L249">
        <v>1368</v>
      </c>
      <c r="N249">
        <v>1011</v>
      </c>
      <c r="O249" t="s">
        <v>393</v>
      </c>
      <c r="P249" t="s">
        <v>393</v>
      </c>
      <c r="Q249">
        <v>1</v>
      </c>
      <c r="X249">
        <v>2.59</v>
      </c>
      <c r="Y249">
        <v>0</v>
      </c>
      <c r="Z249">
        <v>119.15</v>
      </c>
      <c r="AA249">
        <v>12.62</v>
      </c>
      <c r="AB249">
        <v>0</v>
      </c>
      <c r="AC249">
        <v>0</v>
      </c>
      <c r="AD249">
        <v>1</v>
      </c>
      <c r="AE249">
        <v>0</v>
      </c>
      <c r="AF249" t="s">
        <v>286</v>
      </c>
      <c r="AG249">
        <v>8.9354999999999976</v>
      </c>
      <c r="AH249">
        <v>2</v>
      </c>
      <c r="AI249">
        <v>46468727</v>
      </c>
      <c r="AJ249">
        <v>262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ROW(Source!A380)</f>
        <v>380</v>
      </c>
      <c r="B250">
        <v>46468728</v>
      </c>
      <c r="C250">
        <v>46468715</v>
      </c>
      <c r="D250">
        <v>42570667</v>
      </c>
      <c r="E250">
        <v>1</v>
      </c>
      <c r="F250">
        <v>1</v>
      </c>
      <c r="G250">
        <v>1</v>
      </c>
      <c r="H250">
        <v>2</v>
      </c>
      <c r="I250" t="s">
        <v>629</v>
      </c>
      <c r="J250" t="s">
        <v>630</v>
      </c>
      <c r="K250" t="s">
        <v>631</v>
      </c>
      <c r="L250">
        <v>1368</v>
      </c>
      <c r="N250">
        <v>1011</v>
      </c>
      <c r="O250" t="s">
        <v>393</v>
      </c>
      <c r="P250" t="s">
        <v>393</v>
      </c>
      <c r="Q250">
        <v>1</v>
      </c>
      <c r="X250">
        <v>2.14</v>
      </c>
      <c r="Y250">
        <v>0</v>
      </c>
      <c r="Z250">
        <v>477.15</v>
      </c>
      <c r="AA250">
        <v>12.62</v>
      </c>
      <c r="AB250">
        <v>0</v>
      </c>
      <c r="AC250">
        <v>0</v>
      </c>
      <c r="AD250">
        <v>1</v>
      </c>
      <c r="AE250">
        <v>0</v>
      </c>
      <c r="AF250" t="s">
        <v>286</v>
      </c>
      <c r="AG250">
        <v>7.3829999999999991</v>
      </c>
      <c r="AH250">
        <v>2</v>
      </c>
      <c r="AI250">
        <v>46468728</v>
      </c>
      <c r="AJ250">
        <v>263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ROW(Source!A380)</f>
        <v>380</v>
      </c>
      <c r="B251">
        <v>46468729</v>
      </c>
      <c r="C251">
        <v>46468715</v>
      </c>
      <c r="D251">
        <v>42570685</v>
      </c>
      <c r="E251">
        <v>1</v>
      </c>
      <c r="F251">
        <v>1</v>
      </c>
      <c r="G251">
        <v>1</v>
      </c>
      <c r="H251">
        <v>2</v>
      </c>
      <c r="I251" t="s">
        <v>632</v>
      </c>
      <c r="J251" t="s">
        <v>633</v>
      </c>
      <c r="K251" t="s">
        <v>634</v>
      </c>
      <c r="L251">
        <v>1368</v>
      </c>
      <c r="N251">
        <v>1011</v>
      </c>
      <c r="O251" t="s">
        <v>393</v>
      </c>
      <c r="P251" t="s">
        <v>393</v>
      </c>
      <c r="Q251">
        <v>1</v>
      </c>
      <c r="X251">
        <v>3.71</v>
      </c>
      <c r="Y251">
        <v>0</v>
      </c>
      <c r="Z251">
        <v>201.45</v>
      </c>
      <c r="AA251">
        <v>9.4</v>
      </c>
      <c r="AB251">
        <v>0</v>
      </c>
      <c r="AC251">
        <v>0</v>
      </c>
      <c r="AD251">
        <v>1</v>
      </c>
      <c r="AE251">
        <v>0</v>
      </c>
      <c r="AF251" t="s">
        <v>286</v>
      </c>
      <c r="AG251">
        <v>12.799499999999998</v>
      </c>
      <c r="AH251">
        <v>2</v>
      </c>
      <c r="AI251">
        <v>46468729</v>
      </c>
      <c r="AJ251">
        <v>264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ROW(Source!A380)</f>
        <v>380</v>
      </c>
      <c r="B252">
        <v>46468730</v>
      </c>
      <c r="C252">
        <v>46468715</v>
      </c>
      <c r="D252">
        <v>42570737</v>
      </c>
      <c r="E252">
        <v>1</v>
      </c>
      <c r="F252">
        <v>1</v>
      </c>
      <c r="G252">
        <v>1</v>
      </c>
      <c r="H252">
        <v>2</v>
      </c>
      <c r="I252" t="s">
        <v>635</v>
      </c>
      <c r="J252" t="s">
        <v>636</v>
      </c>
      <c r="K252" t="s">
        <v>637</v>
      </c>
      <c r="L252">
        <v>1368</v>
      </c>
      <c r="N252">
        <v>1011</v>
      </c>
      <c r="O252" t="s">
        <v>393</v>
      </c>
      <c r="P252" t="s">
        <v>393</v>
      </c>
      <c r="Q252">
        <v>1</v>
      </c>
      <c r="X252">
        <v>1.52</v>
      </c>
      <c r="Y252">
        <v>0</v>
      </c>
      <c r="Z252">
        <v>19.04</v>
      </c>
      <c r="AA252">
        <v>0</v>
      </c>
      <c r="AB252">
        <v>0</v>
      </c>
      <c r="AC252">
        <v>0</v>
      </c>
      <c r="AD252">
        <v>1</v>
      </c>
      <c r="AE252">
        <v>0</v>
      </c>
      <c r="AF252" t="s">
        <v>286</v>
      </c>
      <c r="AG252">
        <v>5.2439999999999998</v>
      </c>
      <c r="AH252">
        <v>2</v>
      </c>
      <c r="AI252">
        <v>46468730</v>
      </c>
      <c r="AJ252">
        <v>265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ROW(Source!A380)</f>
        <v>380</v>
      </c>
      <c r="B253">
        <v>46468731</v>
      </c>
      <c r="C253">
        <v>46468715</v>
      </c>
      <c r="D253">
        <v>42570857</v>
      </c>
      <c r="E253">
        <v>1</v>
      </c>
      <c r="F253">
        <v>1</v>
      </c>
      <c r="G253">
        <v>1</v>
      </c>
      <c r="H253">
        <v>2</v>
      </c>
      <c r="I253" t="s">
        <v>638</v>
      </c>
      <c r="J253" t="s">
        <v>639</v>
      </c>
      <c r="K253" t="s">
        <v>640</v>
      </c>
      <c r="L253">
        <v>1368</v>
      </c>
      <c r="N253">
        <v>1011</v>
      </c>
      <c r="O253" t="s">
        <v>393</v>
      </c>
      <c r="P253" t="s">
        <v>393</v>
      </c>
      <c r="Q253">
        <v>1</v>
      </c>
      <c r="X253">
        <v>0.2</v>
      </c>
      <c r="Y253">
        <v>0</v>
      </c>
      <c r="Z253">
        <v>111.75</v>
      </c>
      <c r="AA253">
        <v>10.84</v>
      </c>
      <c r="AB253">
        <v>0</v>
      </c>
      <c r="AC253">
        <v>0</v>
      </c>
      <c r="AD253">
        <v>1</v>
      </c>
      <c r="AE253">
        <v>0</v>
      </c>
      <c r="AF253" t="s">
        <v>286</v>
      </c>
      <c r="AG253">
        <v>0.69</v>
      </c>
      <c r="AH253">
        <v>2</v>
      </c>
      <c r="AI253">
        <v>46468731</v>
      </c>
      <c r="AJ253">
        <v>266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ROW(Source!A380)</f>
        <v>380</v>
      </c>
      <c r="B254">
        <v>46468732</v>
      </c>
      <c r="C254">
        <v>46468715</v>
      </c>
      <c r="D254">
        <v>42597873</v>
      </c>
      <c r="E254">
        <v>1</v>
      </c>
      <c r="F254">
        <v>1</v>
      </c>
      <c r="G254">
        <v>1</v>
      </c>
      <c r="H254">
        <v>3</v>
      </c>
      <c r="I254" t="s">
        <v>641</v>
      </c>
      <c r="J254" t="s">
        <v>642</v>
      </c>
      <c r="K254" t="s">
        <v>643</v>
      </c>
      <c r="L254">
        <v>1348</v>
      </c>
      <c r="N254">
        <v>1009</v>
      </c>
      <c r="O254" t="s">
        <v>184</v>
      </c>
      <c r="P254" t="s">
        <v>184</v>
      </c>
      <c r="Q254">
        <v>1000</v>
      </c>
      <c r="X254">
        <v>8.0000000000000004E-4</v>
      </c>
      <c r="Y254">
        <v>6227.71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0</v>
      </c>
      <c r="AF254" t="s">
        <v>3</v>
      </c>
      <c r="AG254">
        <v>8.0000000000000004E-4</v>
      </c>
      <c r="AH254">
        <v>2</v>
      </c>
      <c r="AI254">
        <v>46468732</v>
      </c>
      <c r="AJ254">
        <v>267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ROW(Source!A380)</f>
        <v>380</v>
      </c>
      <c r="B255">
        <v>46468733</v>
      </c>
      <c r="C255">
        <v>46468715</v>
      </c>
      <c r="D255">
        <v>42600381</v>
      </c>
      <c r="E255">
        <v>1</v>
      </c>
      <c r="F255">
        <v>1</v>
      </c>
      <c r="G255">
        <v>1</v>
      </c>
      <c r="H255">
        <v>3</v>
      </c>
      <c r="I255" t="s">
        <v>644</v>
      </c>
      <c r="J255" t="s">
        <v>645</v>
      </c>
      <c r="K255" t="s">
        <v>646</v>
      </c>
      <c r="L255">
        <v>1354</v>
      </c>
      <c r="N255">
        <v>1010</v>
      </c>
      <c r="O255" t="s">
        <v>647</v>
      </c>
      <c r="P255" t="s">
        <v>647</v>
      </c>
      <c r="Q255">
        <v>1</v>
      </c>
      <c r="X255">
        <v>0.78200000000000003</v>
      </c>
      <c r="Y255">
        <v>848.77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3</v>
      </c>
      <c r="AG255">
        <v>0.78200000000000003</v>
      </c>
      <c r="AH255">
        <v>2</v>
      </c>
      <c r="AI255">
        <v>46468733</v>
      </c>
      <c r="AJ255">
        <v>268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ROW(Source!A380)</f>
        <v>380</v>
      </c>
      <c r="B256">
        <v>46468734</v>
      </c>
      <c r="C256">
        <v>46468715</v>
      </c>
      <c r="D256">
        <v>42594004</v>
      </c>
      <c r="E256">
        <v>1</v>
      </c>
      <c r="F256">
        <v>1</v>
      </c>
      <c r="G256">
        <v>1</v>
      </c>
      <c r="H256">
        <v>3</v>
      </c>
      <c r="I256" t="s">
        <v>648</v>
      </c>
      <c r="J256" t="s">
        <v>649</v>
      </c>
      <c r="K256" t="s">
        <v>650</v>
      </c>
      <c r="L256">
        <v>1348</v>
      </c>
      <c r="N256">
        <v>1009</v>
      </c>
      <c r="O256" t="s">
        <v>184</v>
      </c>
      <c r="P256" t="s">
        <v>184</v>
      </c>
      <c r="Q256">
        <v>1000</v>
      </c>
      <c r="X256">
        <v>2.3999999999999998E-3</v>
      </c>
      <c r="Y256">
        <v>45955.81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3</v>
      </c>
      <c r="AG256">
        <v>2.3999999999999998E-3</v>
      </c>
      <c r="AH256">
        <v>2</v>
      </c>
      <c r="AI256">
        <v>46468734</v>
      </c>
      <c r="AJ256">
        <v>269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ROW(Source!A380)</f>
        <v>380</v>
      </c>
      <c r="B257">
        <v>46468735</v>
      </c>
      <c r="C257">
        <v>46468715</v>
      </c>
      <c r="D257">
        <v>42594116</v>
      </c>
      <c r="E257">
        <v>1</v>
      </c>
      <c r="F257">
        <v>1</v>
      </c>
      <c r="G257">
        <v>1</v>
      </c>
      <c r="H257">
        <v>3</v>
      </c>
      <c r="I257" t="s">
        <v>651</v>
      </c>
      <c r="J257" t="s">
        <v>652</v>
      </c>
      <c r="K257" t="s">
        <v>653</v>
      </c>
      <c r="L257">
        <v>1348</v>
      </c>
      <c r="N257">
        <v>1009</v>
      </c>
      <c r="O257" t="s">
        <v>184</v>
      </c>
      <c r="P257" t="s">
        <v>184</v>
      </c>
      <c r="Q257">
        <v>1000</v>
      </c>
      <c r="X257">
        <v>4.0000000000000001E-3</v>
      </c>
      <c r="Y257">
        <v>1756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0</v>
      </c>
      <c r="AF257" t="s">
        <v>3</v>
      </c>
      <c r="AG257">
        <v>4.0000000000000001E-3</v>
      </c>
      <c r="AH257">
        <v>2</v>
      </c>
      <c r="AI257">
        <v>46468735</v>
      </c>
      <c r="AJ257">
        <v>270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ROW(Source!A380)</f>
        <v>380</v>
      </c>
      <c r="B258">
        <v>46468736</v>
      </c>
      <c r="C258">
        <v>46468715</v>
      </c>
      <c r="D258">
        <v>42599478</v>
      </c>
      <c r="E258">
        <v>1</v>
      </c>
      <c r="F258">
        <v>1</v>
      </c>
      <c r="G258">
        <v>1</v>
      </c>
      <c r="H258">
        <v>3</v>
      </c>
      <c r="I258" t="s">
        <v>654</v>
      </c>
      <c r="J258" t="s">
        <v>655</v>
      </c>
      <c r="K258" t="s">
        <v>656</v>
      </c>
      <c r="L258">
        <v>1348</v>
      </c>
      <c r="N258">
        <v>1009</v>
      </c>
      <c r="O258" t="s">
        <v>184</v>
      </c>
      <c r="P258" t="s">
        <v>184</v>
      </c>
      <c r="Q258">
        <v>1000</v>
      </c>
      <c r="X258">
        <v>1.2E-2</v>
      </c>
      <c r="Y258">
        <v>10469.84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0</v>
      </c>
      <c r="AF258" t="s">
        <v>3</v>
      </c>
      <c r="AG258">
        <v>1.2E-2</v>
      </c>
      <c r="AH258">
        <v>2</v>
      </c>
      <c r="AI258">
        <v>46468736</v>
      </c>
      <c r="AJ258">
        <v>271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ROW(Source!A380)</f>
        <v>380</v>
      </c>
      <c r="B259">
        <v>46468737</v>
      </c>
      <c r="C259">
        <v>46468715</v>
      </c>
      <c r="D259">
        <v>42589220</v>
      </c>
      <c r="E259">
        <v>1</v>
      </c>
      <c r="F259">
        <v>1</v>
      </c>
      <c r="G259">
        <v>1</v>
      </c>
      <c r="H259">
        <v>3</v>
      </c>
      <c r="I259" t="s">
        <v>657</v>
      </c>
      <c r="J259" t="s">
        <v>658</v>
      </c>
      <c r="K259" t="s">
        <v>659</v>
      </c>
      <c r="L259">
        <v>1348</v>
      </c>
      <c r="N259">
        <v>1009</v>
      </c>
      <c r="O259" t="s">
        <v>184</v>
      </c>
      <c r="P259" t="s">
        <v>184</v>
      </c>
      <c r="Q259">
        <v>1000</v>
      </c>
      <c r="X259">
        <v>8.0000000000000004E-4</v>
      </c>
      <c r="Y259">
        <v>5291.63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3</v>
      </c>
      <c r="AG259">
        <v>8.0000000000000004E-4</v>
      </c>
      <c r="AH259">
        <v>2</v>
      </c>
      <c r="AI259">
        <v>46468737</v>
      </c>
      <c r="AJ259">
        <v>272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ROW(Source!A380)</f>
        <v>380</v>
      </c>
      <c r="B260">
        <v>46468738</v>
      </c>
      <c r="C260">
        <v>46468715</v>
      </c>
      <c r="D260">
        <v>42581991</v>
      </c>
      <c r="E260">
        <v>1</v>
      </c>
      <c r="F260">
        <v>1</v>
      </c>
      <c r="G260">
        <v>1</v>
      </c>
      <c r="H260">
        <v>3</v>
      </c>
      <c r="I260" t="s">
        <v>287</v>
      </c>
      <c r="J260" t="s">
        <v>289</v>
      </c>
      <c r="K260" t="s">
        <v>288</v>
      </c>
      <c r="L260">
        <v>1348</v>
      </c>
      <c r="N260">
        <v>1009</v>
      </c>
      <c r="O260" t="s">
        <v>184</v>
      </c>
      <c r="P260" t="s">
        <v>184</v>
      </c>
      <c r="Q260">
        <v>1000</v>
      </c>
      <c r="X260">
        <v>105.26</v>
      </c>
      <c r="Y260">
        <v>342.09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3</v>
      </c>
      <c r="AG260">
        <v>105.26</v>
      </c>
      <c r="AH260">
        <v>2</v>
      </c>
      <c r="AI260">
        <v>46468738</v>
      </c>
      <c r="AJ260">
        <v>273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ROW(Source!A380)</f>
        <v>380</v>
      </c>
      <c r="B261">
        <v>46468739</v>
      </c>
      <c r="C261">
        <v>46468715</v>
      </c>
      <c r="D261">
        <v>42582071</v>
      </c>
      <c r="E261">
        <v>1</v>
      </c>
      <c r="F261">
        <v>1</v>
      </c>
      <c r="G261">
        <v>1</v>
      </c>
      <c r="H261">
        <v>3</v>
      </c>
      <c r="I261" t="s">
        <v>660</v>
      </c>
      <c r="J261" t="s">
        <v>661</v>
      </c>
      <c r="K261" t="s">
        <v>662</v>
      </c>
      <c r="L261">
        <v>1339</v>
      </c>
      <c r="N261">
        <v>1007</v>
      </c>
      <c r="O261" t="s">
        <v>139</v>
      </c>
      <c r="P261" t="s">
        <v>139</v>
      </c>
      <c r="Q261">
        <v>1</v>
      </c>
      <c r="X261">
        <v>20.52</v>
      </c>
      <c r="Y261">
        <v>1.5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 t="s">
        <v>3</v>
      </c>
      <c r="AG261">
        <v>20.52</v>
      </c>
      <c r="AH261">
        <v>2</v>
      </c>
      <c r="AI261">
        <v>46468739</v>
      </c>
      <c r="AJ261">
        <v>274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ROW(Source!A383)</f>
        <v>383</v>
      </c>
      <c r="B262">
        <v>46468744</v>
      </c>
      <c r="C262">
        <v>46468743</v>
      </c>
      <c r="D262">
        <v>42640504</v>
      </c>
      <c r="E262">
        <v>1</v>
      </c>
      <c r="F262">
        <v>1</v>
      </c>
      <c r="G262">
        <v>1</v>
      </c>
      <c r="H262">
        <v>1</v>
      </c>
      <c r="I262" t="s">
        <v>663</v>
      </c>
      <c r="J262" t="s">
        <v>3</v>
      </c>
      <c r="K262" t="s">
        <v>664</v>
      </c>
      <c r="L262">
        <v>1369</v>
      </c>
      <c r="N262">
        <v>1013</v>
      </c>
      <c r="O262" t="s">
        <v>387</v>
      </c>
      <c r="P262" t="s">
        <v>387</v>
      </c>
      <c r="Q262">
        <v>1</v>
      </c>
      <c r="X262">
        <v>0.35</v>
      </c>
      <c r="Y262">
        <v>0</v>
      </c>
      <c r="Z262">
        <v>0</v>
      </c>
      <c r="AA262">
        <v>0</v>
      </c>
      <c r="AB262">
        <v>8.7899999999999991</v>
      </c>
      <c r="AC262">
        <v>0</v>
      </c>
      <c r="AD262">
        <v>1</v>
      </c>
      <c r="AE262">
        <v>1</v>
      </c>
      <c r="AF262" t="s">
        <v>31</v>
      </c>
      <c r="AG262">
        <v>0.40249999999999997</v>
      </c>
      <c r="AH262">
        <v>2</v>
      </c>
      <c r="AI262">
        <v>46468744</v>
      </c>
      <c r="AJ262">
        <v>276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ROW(Source!A383)</f>
        <v>383</v>
      </c>
      <c r="B263">
        <v>46468745</v>
      </c>
      <c r="C263">
        <v>46468743</v>
      </c>
      <c r="D263">
        <v>121548</v>
      </c>
      <c r="E263">
        <v>1</v>
      </c>
      <c r="F263">
        <v>1</v>
      </c>
      <c r="G263">
        <v>1</v>
      </c>
      <c r="H263">
        <v>1</v>
      </c>
      <c r="I263" t="s">
        <v>26</v>
      </c>
      <c r="J263" t="s">
        <v>3</v>
      </c>
      <c r="K263" t="s">
        <v>388</v>
      </c>
      <c r="L263">
        <v>608254</v>
      </c>
      <c r="N263">
        <v>1013</v>
      </c>
      <c r="O263" t="s">
        <v>389</v>
      </c>
      <c r="P263" t="s">
        <v>389</v>
      </c>
      <c r="Q263">
        <v>1</v>
      </c>
      <c r="X263">
        <v>0.47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1</v>
      </c>
      <c r="AE263">
        <v>2</v>
      </c>
      <c r="AF263" t="s">
        <v>296</v>
      </c>
      <c r="AG263">
        <v>5.4049999999999994</v>
      </c>
      <c r="AH263">
        <v>2</v>
      </c>
      <c r="AI263">
        <v>46468745</v>
      </c>
      <c r="AJ263">
        <v>277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ROW(Source!A383)</f>
        <v>383</v>
      </c>
      <c r="B264">
        <v>46468746</v>
      </c>
      <c r="C264">
        <v>46468743</v>
      </c>
      <c r="D264">
        <v>42567318</v>
      </c>
      <c r="E264">
        <v>1</v>
      </c>
      <c r="F264">
        <v>1</v>
      </c>
      <c r="G264">
        <v>1</v>
      </c>
      <c r="H264">
        <v>2</v>
      </c>
      <c r="I264" t="s">
        <v>432</v>
      </c>
      <c r="J264" t="s">
        <v>433</v>
      </c>
      <c r="K264" t="s">
        <v>434</v>
      </c>
      <c r="L264">
        <v>1368</v>
      </c>
      <c r="N264">
        <v>1011</v>
      </c>
      <c r="O264" t="s">
        <v>393</v>
      </c>
      <c r="P264" t="s">
        <v>393</v>
      </c>
      <c r="Q264">
        <v>1</v>
      </c>
      <c r="X264">
        <v>0.11</v>
      </c>
      <c r="Y264">
        <v>0</v>
      </c>
      <c r="Z264">
        <v>88.87</v>
      </c>
      <c r="AA264">
        <v>9.4</v>
      </c>
      <c r="AB264">
        <v>0</v>
      </c>
      <c r="AC264">
        <v>0</v>
      </c>
      <c r="AD264">
        <v>1</v>
      </c>
      <c r="AE264">
        <v>0</v>
      </c>
      <c r="AF264" t="s">
        <v>296</v>
      </c>
      <c r="AG264">
        <v>1.2650000000000001</v>
      </c>
      <c r="AH264">
        <v>2</v>
      </c>
      <c r="AI264">
        <v>46468746</v>
      </c>
      <c r="AJ264">
        <v>278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ROW(Source!A383)</f>
        <v>383</v>
      </c>
      <c r="B265">
        <v>46468747</v>
      </c>
      <c r="C265">
        <v>46468743</v>
      </c>
      <c r="D265">
        <v>42568519</v>
      </c>
      <c r="E265">
        <v>1</v>
      </c>
      <c r="F265">
        <v>1</v>
      </c>
      <c r="G265">
        <v>1</v>
      </c>
      <c r="H265">
        <v>2</v>
      </c>
      <c r="I265" t="s">
        <v>612</v>
      </c>
      <c r="J265" t="s">
        <v>613</v>
      </c>
      <c r="K265" t="s">
        <v>614</v>
      </c>
      <c r="L265">
        <v>1368</v>
      </c>
      <c r="N265">
        <v>1011</v>
      </c>
      <c r="O265" t="s">
        <v>393</v>
      </c>
      <c r="P265" t="s">
        <v>393</v>
      </c>
      <c r="Q265">
        <v>1</v>
      </c>
      <c r="X265">
        <v>0.1</v>
      </c>
      <c r="Y265">
        <v>0</v>
      </c>
      <c r="Z265">
        <v>1494.6</v>
      </c>
      <c r="AA265">
        <v>13.46</v>
      </c>
      <c r="AB265">
        <v>0</v>
      </c>
      <c r="AC265">
        <v>0</v>
      </c>
      <c r="AD265">
        <v>1</v>
      </c>
      <c r="AE265">
        <v>0</v>
      </c>
      <c r="AF265" t="s">
        <v>296</v>
      </c>
      <c r="AG265">
        <v>1.1499999999999999</v>
      </c>
      <c r="AH265">
        <v>2</v>
      </c>
      <c r="AI265">
        <v>46468747</v>
      </c>
      <c r="AJ265">
        <v>279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ROW(Source!A383)</f>
        <v>383</v>
      </c>
      <c r="B266">
        <v>46468748</v>
      </c>
      <c r="C266">
        <v>46468743</v>
      </c>
      <c r="D266">
        <v>42568531</v>
      </c>
      <c r="E266">
        <v>1</v>
      </c>
      <c r="F266">
        <v>1</v>
      </c>
      <c r="G266">
        <v>1</v>
      </c>
      <c r="H266">
        <v>2</v>
      </c>
      <c r="I266" t="s">
        <v>615</v>
      </c>
      <c r="J266" t="s">
        <v>616</v>
      </c>
      <c r="K266" t="s">
        <v>592</v>
      </c>
      <c r="L266">
        <v>1368</v>
      </c>
      <c r="N266">
        <v>1011</v>
      </c>
      <c r="O266" t="s">
        <v>393</v>
      </c>
      <c r="P266" t="s">
        <v>393</v>
      </c>
      <c r="Q266">
        <v>1</v>
      </c>
      <c r="X266">
        <v>0.1</v>
      </c>
      <c r="Y266">
        <v>0</v>
      </c>
      <c r="Z266">
        <v>109.06</v>
      </c>
      <c r="AA266">
        <v>10.84</v>
      </c>
      <c r="AB266">
        <v>0</v>
      </c>
      <c r="AC266">
        <v>0</v>
      </c>
      <c r="AD266">
        <v>1</v>
      </c>
      <c r="AE266">
        <v>0</v>
      </c>
      <c r="AF266" t="s">
        <v>296</v>
      </c>
      <c r="AG266">
        <v>1.1499999999999999</v>
      </c>
      <c r="AH266">
        <v>2</v>
      </c>
      <c r="AI266">
        <v>46468748</v>
      </c>
      <c r="AJ266">
        <v>280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ROW(Source!A383)</f>
        <v>383</v>
      </c>
      <c r="B267">
        <v>46468749</v>
      </c>
      <c r="C267">
        <v>46468743</v>
      </c>
      <c r="D267">
        <v>42570663</v>
      </c>
      <c r="E267">
        <v>1</v>
      </c>
      <c r="F267">
        <v>1</v>
      </c>
      <c r="G267">
        <v>1</v>
      </c>
      <c r="H267">
        <v>2</v>
      </c>
      <c r="I267" t="s">
        <v>617</v>
      </c>
      <c r="J267" t="s">
        <v>618</v>
      </c>
      <c r="K267" t="s">
        <v>619</v>
      </c>
      <c r="L267">
        <v>1368</v>
      </c>
      <c r="N267">
        <v>1011</v>
      </c>
      <c r="O267" t="s">
        <v>393</v>
      </c>
      <c r="P267" t="s">
        <v>393</v>
      </c>
      <c r="Q267">
        <v>1</v>
      </c>
      <c r="X267">
        <v>0.1</v>
      </c>
      <c r="Y267">
        <v>0</v>
      </c>
      <c r="Z267">
        <v>706.29</v>
      </c>
      <c r="AA267">
        <v>15.37</v>
      </c>
      <c r="AB267">
        <v>0</v>
      </c>
      <c r="AC267">
        <v>0</v>
      </c>
      <c r="AD267">
        <v>1</v>
      </c>
      <c r="AE267">
        <v>0</v>
      </c>
      <c r="AF267" t="s">
        <v>296</v>
      </c>
      <c r="AG267">
        <v>1.1499999999999999</v>
      </c>
      <c r="AH267">
        <v>2</v>
      </c>
      <c r="AI267">
        <v>46468749</v>
      </c>
      <c r="AJ267">
        <v>281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ROW(Source!A383)</f>
        <v>383</v>
      </c>
      <c r="B268">
        <v>46468750</v>
      </c>
      <c r="C268">
        <v>46468743</v>
      </c>
      <c r="D268">
        <v>42570664</v>
      </c>
      <c r="E268">
        <v>1</v>
      </c>
      <c r="F268">
        <v>1</v>
      </c>
      <c r="G268">
        <v>1</v>
      </c>
      <c r="H268">
        <v>2</v>
      </c>
      <c r="I268" t="s">
        <v>620</v>
      </c>
      <c r="J268" t="s">
        <v>621</v>
      </c>
      <c r="K268" t="s">
        <v>622</v>
      </c>
      <c r="L268">
        <v>1368</v>
      </c>
      <c r="N268">
        <v>1011</v>
      </c>
      <c r="O268" t="s">
        <v>393</v>
      </c>
      <c r="P268" t="s">
        <v>393</v>
      </c>
      <c r="Q268">
        <v>1</v>
      </c>
      <c r="X268">
        <v>0.1</v>
      </c>
      <c r="Y268">
        <v>0</v>
      </c>
      <c r="Z268">
        <v>19.399999999999999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296</v>
      </c>
      <c r="AG268">
        <v>1.1499999999999999</v>
      </c>
      <c r="AH268">
        <v>2</v>
      </c>
      <c r="AI268">
        <v>46468750</v>
      </c>
      <c r="AJ268">
        <v>282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ROW(Source!A383)</f>
        <v>383</v>
      </c>
      <c r="B269">
        <v>46468751</v>
      </c>
      <c r="C269">
        <v>46468743</v>
      </c>
      <c r="D269">
        <v>42570685</v>
      </c>
      <c r="E269">
        <v>1</v>
      </c>
      <c r="F269">
        <v>1</v>
      </c>
      <c r="G269">
        <v>1</v>
      </c>
      <c r="H269">
        <v>2</v>
      </c>
      <c r="I269" t="s">
        <v>632</v>
      </c>
      <c r="J269" t="s">
        <v>633</v>
      </c>
      <c r="K269" t="s">
        <v>634</v>
      </c>
      <c r="L269">
        <v>1368</v>
      </c>
      <c r="N269">
        <v>1011</v>
      </c>
      <c r="O269" t="s">
        <v>393</v>
      </c>
      <c r="P269" t="s">
        <v>393</v>
      </c>
      <c r="Q269">
        <v>1</v>
      </c>
      <c r="X269">
        <v>0.06</v>
      </c>
      <c r="Y269">
        <v>0</v>
      </c>
      <c r="Z269">
        <v>201.45</v>
      </c>
      <c r="AA269">
        <v>9.4</v>
      </c>
      <c r="AB269">
        <v>0</v>
      </c>
      <c r="AC269">
        <v>0</v>
      </c>
      <c r="AD269">
        <v>1</v>
      </c>
      <c r="AE269">
        <v>0</v>
      </c>
      <c r="AF269" t="s">
        <v>296</v>
      </c>
      <c r="AG269">
        <v>0.69</v>
      </c>
      <c r="AH269">
        <v>2</v>
      </c>
      <c r="AI269">
        <v>46468751</v>
      </c>
      <c r="AJ269">
        <v>283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ROW(Source!A383)</f>
        <v>383</v>
      </c>
      <c r="B270">
        <v>46468752</v>
      </c>
      <c r="C270">
        <v>46468743</v>
      </c>
      <c r="D270">
        <v>42594116</v>
      </c>
      <c r="E270">
        <v>1</v>
      </c>
      <c r="F270">
        <v>1</v>
      </c>
      <c r="G270">
        <v>1</v>
      </c>
      <c r="H270">
        <v>3</v>
      </c>
      <c r="I270" t="s">
        <v>651</v>
      </c>
      <c r="J270" t="s">
        <v>652</v>
      </c>
      <c r="K270" t="s">
        <v>653</v>
      </c>
      <c r="L270">
        <v>1348</v>
      </c>
      <c r="N270">
        <v>1009</v>
      </c>
      <c r="O270" t="s">
        <v>184</v>
      </c>
      <c r="P270" t="s">
        <v>184</v>
      </c>
      <c r="Q270">
        <v>1000</v>
      </c>
      <c r="X270">
        <v>1E-3</v>
      </c>
      <c r="Y270">
        <v>1756</v>
      </c>
      <c r="Z270">
        <v>0</v>
      </c>
      <c r="AA270">
        <v>0</v>
      </c>
      <c r="AB270">
        <v>0</v>
      </c>
      <c r="AC270">
        <v>0</v>
      </c>
      <c r="AD270">
        <v>1</v>
      </c>
      <c r="AE270">
        <v>0</v>
      </c>
      <c r="AF270" t="s">
        <v>295</v>
      </c>
      <c r="AG270">
        <v>4.0000000000000001E-3</v>
      </c>
      <c r="AH270">
        <v>2</v>
      </c>
      <c r="AI270">
        <v>46468752</v>
      </c>
      <c r="AJ270">
        <v>284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ROW(Source!A383)</f>
        <v>383</v>
      </c>
      <c r="B271">
        <v>46468753</v>
      </c>
      <c r="C271">
        <v>46468743</v>
      </c>
      <c r="D271">
        <v>42581991</v>
      </c>
      <c r="E271">
        <v>1</v>
      </c>
      <c r="F271">
        <v>1</v>
      </c>
      <c r="G271">
        <v>1</v>
      </c>
      <c r="H271">
        <v>3</v>
      </c>
      <c r="I271" t="s">
        <v>287</v>
      </c>
      <c r="J271" t="s">
        <v>289</v>
      </c>
      <c r="K271" t="s">
        <v>288</v>
      </c>
      <c r="L271">
        <v>1348</v>
      </c>
      <c r="N271">
        <v>1009</v>
      </c>
      <c r="O271" t="s">
        <v>184</v>
      </c>
      <c r="P271" t="s">
        <v>184</v>
      </c>
      <c r="Q271">
        <v>1000</v>
      </c>
      <c r="X271">
        <v>13.2</v>
      </c>
      <c r="Y271">
        <v>342.09</v>
      </c>
      <c r="Z271">
        <v>0</v>
      </c>
      <c r="AA271">
        <v>0</v>
      </c>
      <c r="AB271">
        <v>0</v>
      </c>
      <c r="AC271">
        <v>0</v>
      </c>
      <c r="AD271">
        <v>1</v>
      </c>
      <c r="AE271">
        <v>0</v>
      </c>
      <c r="AF271" t="s">
        <v>295</v>
      </c>
      <c r="AG271">
        <v>52.8</v>
      </c>
      <c r="AH271">
        <v>2</v>
      </c>
      <c r="AI271">
        <v>46468753</v>
      </c>
      <c r="AJ271">
        <v>285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ROW(Source!A383)</f>
        <v>383</v>
      </c>
      <c r="B272">
        <v>46468754</v>
      </c>
      <c r="C272">
        <v>46468743</v>
      </c>
      <c r="D272">
        <v>42582071</v>
      </c>
      <c r="E272">
        <v>1</v>
      </c>
      <c r="F272">
        <v>1</v>
      </c>
      <c r="G272">
        <v>1</v>
      </c>
      <c r="H272">
        <v>3</v>
      </c>
      <c r="I272" t="s">
        <v>660</v>
      </c>
      <c r="J272" t="s">
        <v>661</v>
      </c>
      <c r="K272" t="s">
        <v>662</v>
      </c>
      <c r="L272">
        <v>1339</v>
      </c>
      <c r="N272">
        <v>1007</v>
      </c>
      <c r="O272" t="s">
        <v>139</v>
      </c>
      <c r="P272" t="s">
        <v>139</v>
      </c>
      <c r="Q272">
        <v>1</v>
      </c>
      <c r="X272">
        <v>0.44</v>
      </c>
      <c r="Y272">
        <v>1.5</v>
      </c>
      <c r="Z272">
        <v>0</v>
      </c>
      <c r="AA272">
        <v>0</v>
      </c>
      <c r="AB272">
        <v>0</v>
      </c>
      <c r="AC272">
        <v>0</v>
      </c>
      <c r="AD272">
        <v>1</v>
      </c>
      <c r="AE272">
        <v>0</v>
      </c>
      <c r="AF272" t="s">
        <v>295</v>
      </c>
      <c r="AG272">
        <v>1.76</v>
      </c>
      <c r="AH272">
        <v>2</v>
      </c>
      <c r="AI272">
        <v>46468754</v>
      </c>
      <c r="AJ272">
        <v>286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ROW(Source!A386)</f>
        <v>386</v>
      </c>
      <c r="B273">
        <v>46468762</v>
      </c>
      <c r="C273">
        <v>46468758</v>
      </c>
      <c r="D273">
        <v>121548</v>
      </c>
      <c r="E273">
        <v>1</v>
      </c>
      <c r="F273">
        <v>1</v>
      </c>
      <c r="G273">
        <v>1</v>
      </c>
      <c r="H273">
        <v>1</v>
      </c>
      <c r="I273" t="s">
        <v>26</v>
      </c>
      <c r="J273" t="s">
        <v>3</v>
      </c>
      <c r="K273" t="s">
        <v>388</v>
      </c>
      <c r="L273">
        <v>608254</v>
      </c>
      <c r="N273">
        <v>1013</v>
      </c>
      <c r="O273" t="s">
        <v>389</v>
      </c>
      <c r="P273" t="s">
        <v>389</v>
      </c>
      <c r="Q273">
        <v>1</v>
      </c>
      <c r="X273">
        <v>0.66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2</v>
      </c>
      <c r="AF273" t="s">
        <v>31</v>
      </c>
      <c r="AG273">
        <v>0.75900000000000001</v>
      </c>
      <c r="AH273">
        <v>2</v>
      </c>
      <c r="AI273">
        <v>46468759</v>
      </c>
      <c r="AJ273">
        <v>288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ROW(Source!A386)</f>
        <v>386</v>
      </c>
      <c r="B274">
        <v>46468763</v>
      </c>
      <c r="C274">
        <v>46468758</v>
      </c>
      <c r="D274">
        <v>42568363</v>
      </c>
      <c r="E274">
        <v>1</v>
      </c>
      <c r="F274">
        <v>1</v>
      </c>
      <c r="G274">
        <v>1</v>
      </c>
      <c r="H274">
        <v>2</v>
      </c>
      <c r="I274" t="s">
        <v>600</v>
      </c>
      <c r="J274" t="s">
        <v>601</v>
      </c>
      <c r="K274" t="s">
        <v>602</v>
      </c>
      <c r="L274">
        <v>1368</v>
      </c>
      <c r="N274">
        <v>1011</v>
      </c>
      <c r="O274" t="s">
        <v>393</v>
      </c>
      <c r="P274" t="s">
        <v>393</v>
      </c>
      <c r="Q274">
        <v>1</v>
      </c>
      <c r="X274">
        <v>0.33</v>
      </c>
      <c r="Y274">
        <v>0</v>
      </c>
      <c r="Z274">
        <v>113.31</v>
      </c>
      <c r="AA274">
        <v>20.239999999999998</v>
      </c>
      <c r="AB274">
        <v>0</v>
      </c>
      <c r="AC274">
        <v>0</v>
      </c>
      <c r="AD274">
        <v>1</v>
      </c>
      <c r="AE274">
        <v>0</v>
      </c>
      <c r="AF274" t="s">
        <v>31</v>
      </c>
      <c r="AG274">
        <v>0.3795</v>
      </c>
      <c r="AH274">
        <v>2</v>
      </c>
      <c r="AI274">
        <v>46468760</v>
      </c>
      <c r="AJ274">
        <v>289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ROW(Source!A386)</f>
        <v>386</v>
      </c>
      <c r="B275">
        <v>46468764</v>
      </c>
      <c r="C275">
        <v>46468758</v>
      </c>
      <c r="D275">
        <v>42594037</v>
      </c>
      <c r="E275">
        <v>1</v>
      </c>
      <c r="F275">
        <v>1</v>
      </c>
      <c r="G275">
        <v>1</v>
      </c>
      <c r="H275">
        <v>3</v>
      </c>
      <c r="I275" t="s">
        <v>603</v>
      </c>
      <c r="J275" t="s">
        <v>604</v>
      </c>
      <c r="K275" t="s">
        <v>605</v>
      </c>
      <c r="L275">
        <v>1348</v>
      </c>
      <c r="N275">
        <v>1009</v>
      </c>
      <c r="O275" t="s">
        <v>184</v>
      </c>
      <c r="P275" t="s">
        <v>184</v>
      </c>
      <c r="Q275">
        <v>1000</v>
      </c>
      <c r="X275">
        <v>1.03</v>
      </c>
      <c r="Y275">
        <v>1546.94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3</v>
      </c>
      <c r="AG275">
        <v>1.03</v>
      </c>
      <c r="AH275">
        <v>2</v>
      </c>
      <c r="AI275">
        <v>46468761</v>
      </c>
      <c r="AJ275">
        <v>290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ROW(Source!A387)</f>
        <v>387</v>
      </c>
      <c r="B276">
        <v>46468766</v>
      </c>
      <c r="C276">
        <v>46468765</v>
      </c>
      <c r="D276">
        <v>42646086</v>
      </c>
      <c r="E276">
        <v>1</v>
      </c>
      <c r="F276">
        <v>1</v>
      </c>
      <c r="G276">
        <v>1</v>
      </c>
      <c r="H276">
        <v>1</v>
      </c>
      <c r="I276" t="s">
        <v>440</v>
      </c>
      <c r="J276" t="s">
        <v>3</v>
      </c>
      <c r="K276" t="s">
        <v>441</v>
      </c>
      <c r="L276">
        <v>1369</v>
      </c>
      <c r="N276">
        <v>1013</v>
      </c>
      <c r="O276" t="s">
        <v>387</v>
      </c>
      <c r="P276" t="s">
        <v>387</v>
      </c>
      <c r="Q276">
        <v>1</v>
      </c>
      <c r="X276">
        <v>20.86</v>
      </c>
      <c r="Y276">
        <v>0</v>
      </c>
      <c r="Z276">
        <v>0</v>
      </c>
      <c r="AA276">
        <v>0</v>
      </c>
      <c r="AB276">
        <v>8.17</v>
      </c>
      <c r="AC276">
        <v>0</v>
      </c>
      <c r="AD276">
        <v>1</v>
      </c>
      <c r="AE276">
        <v>1</v>
      </c>
      <c r="AF276" t="s">
        <v>31</v>
      </c>
      <c r="AG276">
        <v>23.988999999999997</v>
      </c>
      <c r="AH276">
        <v>2</v>
      </c>
      <c r="AI276">
        <v>46468766</v>
      </c>
      <c r="AJ276">
        <v>291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ROW(Source!A387)</f>
        <v>387</v>
      </c>
      <c r="B277">
        <v>46468767</v>
      </c>
      <c r="C277">
        <v>46468765</v>
      </c>
      <c r="D277">
        <v>121548</v>
      </c>
      <c r="E277">
        <v>1</v>
      </c>
      <c r="F277">
        <v>1</v>
      </c>
      <c r="G277">
        <v>1</v>
      </c>
      <c r="H277">
        <v>1</v>
      </c>
      <c r="I277" t="s">
        <v>26</v>
      </c>
      <c r="J277" t="s">
        <v>3</v>
      </c>
      <c r="K277" t="s">
        <v>388</v>
      </c>
      <c r="L277">
        <v>608254</v>
      </c>
      <c r="N277">
        <v>1013</v>
      </c>
      <c r="O277" t="s">
        <v>389</v>
      </c>
      <c r="P277" t="s">
        <v>389</v>
      </c>
      <c r="Q277">
        <v>1</v>
      </c>
      <c r="X277">
        <v>18.649999999999999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1</v>
      </c>
      <c r="AE277">
        <v>2</v>
      </c>
      <c r="AF277" t="s">
        <v>300</v>
      </c>
      <c r="AG277">
        <v>128.685</v>
      </c>
      <c r="AH277">
        <v>2</v>
      </c>
      <c r="AI277">
        <v>46468767</v>
      </c>
      <c r="AJ277">
        <v>292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ROW(Source!A387)</f>
        <v>387</v>
      </c>
      <c r="B278">
        <v>46468768</v>
      </c>
      <c r="C278">
        <v>46468765</v>
      </c>
      <c r="D278">
        <v>42567318</v>
      </c>
      <c r="E278">
        <v>1</v>
      </c>
      <c r="F278">
        <v>1</v>
      </c>
      <c r="G278">
        <v>1</v>
      </c>
      <c r="H278">
        <v>2</v>
      </c>
      <c r="I278" t="s">
        <v>432</v>
      </c>
      <c r="J278" t="s">
        <v>433</v>
      </c>
      <c r="K278" t="s">
        <v>434</v>
      </c>
      <c r="L278">
        <v>1368</v>
      </c>
      <c r="N278">
        <v>1011</v>
      </c>
      <c r="O278" t="s">
        <v>393</v>
      </c>
      <c r="P278" t="s">
        <v>393</v>
      </c>
      <c r="Q278">
        <v>1</v>
      </c>
      <c r="X278">
        <v>0.55000000000000004</v>
      </c>
      <c r="Y278">
        <v>0</v>
      </c>
      <c r="Z278">
        <v>88.87</v>
      </c>
      <c r="AA278">
        <v>9.4</v>
      </c>
      <c r="AB278">
        <v>0</v>
      </c>
      <c r="AC278">
        <v>0</v>
      </c>
      <c r="AD278">
        <v>1</v>
      </c>
      <c r="AE278">
        <v>0</v>
      </c>
      <c r="AF278" t="s">
        <v>300</v>
      </c>
      <c r="AG278">
        <v>3.7949999999999999</v>
      </c>
      <c r="AH278">
        <v>2</v>
      </c>
      <c r="AI278">
        <v>46468768</v>
      </c>
      <c r="AJ278">
        <v>293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ROW(Source!A387)</f>
        <v>387</v>
      </c>
      <c r="B279">
        <v>46468769</v>
      </c>
      <c r="C279">
        <v>46468765</v>
      </c>
      <c r="D279">
        <v>42567359</v>
      </c>
      <c r="E279">
        <v>1</v>
      </c>
      <c r="F279">
        <v>1</v>
      </c>
      <c r="G279">
        <v>1</v>
      </c>
      <c r="H279">
        <v>2</v>
      </c>
      <c r="I279" t="s">
        <v>606</v>
      </c>
      <c r="J279" t="s">
        <v>607</v>
      </c>
      <c r="K279" t="s">
        <v>608</v>
      </c>
      <c r="L279">
        <v>1368</v>
      </c>
      <c r="N279">
        <v>1011</v>
      </c>
      <c r="O279" t="s">
        <v>393</v>
      </c>
      <c r="P279" t="s">
        <v>393</v>
      </c>
      <c r="Q279">
        <v>1</v>
      </c>
      <c r="X279">
        <v>2.44</v>
      </c>
      <c r="Y279">
        <v>0</v>
      </c>
      <c r="Z279">
        <v>1.05</v>
      </c>
      <c r="AA279">
        <v>0</v>
      </c>
      <c r="AB279">
        <v>0</v>
      </c>
      <c r="AC279">
        <v>0</v>
      </c>
      <c r="AD279">
        <v>1</v>
      </c>
      <c r="AE279">
        <v>0</v>
      </c>
      <c r="AF279" t="s">
        <v>300</v>
      </c>
      <c r="AG279">
        <v>16.835999999999999</v>
      </c>
      <c r="AH279">
        <v>2</v>
      </c>
      <c r="AI279">
        <v>46468769</v>
      </c>
      <c r="AJ279">
        <v>294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ROW(Source!A387)</f>
        <v>387</v>
      </c>
      <c r="B280">
        <v>46468770</v>
      </c>
      <c r="C280">
        <v>46468765</v>
      </c>
      <c r="D280">
        <v>42568433</v>
      </c>
      <c r="E280">
        <v>1</v>
      </c>
      <c r="F280">
        <v>1</v>
      </c>
      <c r="G280">
        <v>1</v>
      </c>
      <c r="H280">
        <v>2</v>
      </c>
      <c r="I280" t="s">
        <v>609</v>
      </c>
      <c r="J280" t="s">
        <v>610</v>
      </c>
      <c r="K280" t="s">
        <v>611</v>
      </c>
      <c r="L280">
        <v>1368</v>
      </c>
      <c r="N280">
        <v>1011</v>
      </c>
      <c r="O280" t="s">
        <v>393</v>
      </c>
      <c r="P280" t="s">
        <v>393</v>
      </c>
      <c r="Q280">
        <v>1</v>
      </c>
      <c r="X280">
        <v>0.97</v>
      </c>
      <c r="Y280">
        <v>0</v>
      </c>
      <c r="Z280">
        <v>195.49</v>
      </c>
      <c r="AA280">
        <v>12.62</v>
      </c>
      <c r="AB280">
        <v>0</v>
      </c>
      <c r="AC280">
        <v>0</v>
      </c>
      <c r="AD280">
        <v>1</v>
      </c>
      <c r="AE280">
        <v>0</v>
      </c>
      <c r="AF280" t="s">
        <v>300</v>
      </c>
      <c r="AG280">
        <v>6.6929999999999996</v>
      </c>
      <c r="AH280">
        <v>2</v>
      </c>
      <c r="AI280">
        <v>46468770</v>
      </c>
      <c r="AJ280">
        <v>295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ROW(Source!A387)</f>
        <v>387</v>
      </c>
      <c r="B281">
        <v>46468771</v>
      </c>
      <c r="C281">
        <v>46468765</v>
      </c>
      <c r="D281">
        <v>42568519</v>
      </c>
      <c r="E281">
        <v>1</v>
      </c>
      <c r="F281">
        <v>1</v>
      </c>
      <c r="G281">
        <v>1</v>
      </c>
      <c r="H281">
        <v>2</v>
      </c>
      <c r="I281" t="s">
        <v>612</v>
      </c>
      <c r="J281" t="s">
        <v>613</v>
      </c>
      <c r="K281" t="s">
        <v>614</v>
      </c>
      <c r="L281">
        <v>1368</v>
      </c>
      <c r="N281">
        <v>1011</v>
      </c>
      <c r="O281" t="s">
        <v>393</v>
      </c>
      <c r="P281" t="s">
        <v>393</v>
      </c>
      <c r="Q281">
        <v>1</v>
      </c>
      <c r="X281">
        <v>2.04</v>
      </c>
      <c r="Y281">
        <v>0</v>
      </c>
      <c r="Z281">
        <v>1494.6</v>
      </c>
      <c r="AA281">
        <v>13.46</v>
      </c>
      <c r="AB281">
        <v>0</v>
      </c>
      <c r="AC281">
        <v>0</v>
      </c>
      <c r="AD281">
        <v>1</v>
      </c>
      <c r="AE281">
        <v>0</v>
      </c>
      <c r="AF281" t="s">
        <v>300</v>
      </c>
      <c r="AG281">
        <v>14.075999999999997</v>
      </c>
      <c r="AH281">
        <v>2</v>
      </c>
      <c r="AI281">
        <v>46468771</v>
      </c>
      <c r="AJ281">
        <v>296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ROW(Source!A387)</f>
        <v>387</v>
      </c>
      <c r="B282">
        <v>46468772</v>
      </c>
      <c r="C282">
        <v>46468765</v>
      </c>
      <c r="D282">
        <v>42568531</v>
      </c>
      <c r="E282">
        <v>1</v>
      </c>
      <c r="F282">
        <v>1</v>
      </c>
      <c r="G282">
        <v>1</v>
      </c>
      <c r="H282">
        <v>2</v>
      </c>
      <c r="I282" t="s">
        <v>615</v>
      </c>
      <c r="J282" t="s">
        <v>616</v>
      </c>
      <c r="K282" t="s">
        <v>592</v>
      </c>
      <c r="L282">
        <v>1368</v>
      </c>
      <c r="N282">
        <v>1011</v>
      </c>
      <c r="O282" t="s">
        <v>393</v>
      </c>
      <c r="P282" t="s">
        <v>393</v>
      </c>
      <c r="Q282">
        <v>1</v>
      </c>
      <c r="X282">
        <v>3.1</v>
      </c>
      <c r="Y282">
        <v>0</v>
      </c>
      <c r="Z282">
        <v>109.06</v>
      </c>
      <c r="AA282">
        <v>10.84</v>
      </c>
      <c r="AB282">
        <v>0</v>
      </c>
      <c r="AC282">
        <v>0</v>
      </c>
      <c r="AD282">
        <v>1</v>
      </c>
      <c r="AE282">
        <v>0</v>
      </c>
      <c r="AF282" t="s">
        <v>300</v>
      </c>
      <c r="AG282">
        <v>21.39</v>
      </c>
      <c r="AH282">
        <v>2</v>
      </c>
      <c r="AI282">
        <v>46468772</v>
      </c>
      <c r="AJ282">
        <v>297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ROW(Source!A387)</f>
        <v>387</v>
      </c>
      <c r="B283">
        <v>46468773</v>
      </c>
      <c r="C283">
        <v>46468765</v>
      </c>
      <c r="D283">
        <v>42570318</v>
      </c>
      <c r="E283">
        <v>1</v>
      </c>
      <c r="F283">
        <v>1</v>
      </c>
      <c r="G283">
        <v>1</v>
      </c>
      <c r="H283">
        <v>2</v>
      </c>
      <c r="I283" t="s">
        <v>397</v>
      </c>
      <c r="J283" t="s">
        <v>398</v>
      </c>
      <c r="K283" t="s">
        <v>399</v>
      </c>
      <c r="L283">
        <v>1368</v>
      </c>
      <c r="N283">
        <v>1011</v>
      </c>
      <c r="O283" t="s">
        <v>393</v>
      </c>
      <c r="P283" t="s">
        <v>393</v>
      </c>
      <c r="Q283">
        <v>1</v>
      </c>
      <c r="X283">
        <v>1.1499999999999999</v>
      </c>
      <c r="Y283">
        <v>0</v>
      </c>
      <c r="Z283">
        <v>1.53</v>
      </c>
      <c r="AA283">
        <v>0</v>
      </c>
      <c r="AB283">
        <v>0</v>
      </c>
      <c r="AC283">
        <v>0</v>
      </c>
      <c r="AD283">
        <v>1</v>
      </c>
      <c r="AE283">
        <v>0</v>
      </c>
      <c r="AF283" t="s">
        <v>300</v>
      </c>
      <c r="AG283">
        <v>7.9349999999999987</v>
      </c>
      <c r="AH283">
        <v>2</v>
      </c>
      <c r="AI283">
        <v>46468773</v>
      </c>
      <c r="AJ283">
        <v>298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ROW(Source!A387)</f>
        <v>387</v>
      </c>
      <c r="B284">
        <v>46468774</v>
      </c>
      <c r="C284">
        <v>46468765</v>
      </c>
      <c r="D284">
        <v>42570663</v>
      </c>
      <c r="E284">
        <v>1</v>
      </c>
      <c r="F284">
        <v>1</v>
      </c>
      <c r="G284">
        <v>1</v>
      </c>
      <c r="H284">
        <v>2</v>
      </c>
      <c r="I284" t="s">
        <v>617</v>
      </c>
      <c r="J284" t="s">
        <v>618</v>
      </c>
      <c r="K284" t="s">
        <v>619</v>
      </c>
      <c r="L284">
        <v>1368</v>
      </c>
      <c r="N284">
        <v>1011</v>
      </c>
      <c r="O284" t="s">
        <v>393</v>
      </c>
      <c r="P284" t="s">
        <v>393</v>
      </c>
      <c r="Q284">
        <v>1</v>
      </c>
      <c r="X284">
        <v>2.04</v>
      </c>
      <c r="Y284">
        <v>0</v>
      </c>
      <c r="Z284">
        <v>706.29</v>
      </c>
      <c r="AA284">
        <v>15.37</v>
      </c>
      <c r="AB284">
        <v>0</v>
      </c>
      <c r="AC284">
        <v>0</v>
      </c>
      <c r="AD284">
        <v>1</v>
      </c>
      <c r="AE284">
        <v>0</v>
      </c>
      <c r="AF284" t="s">
        <v>300</v>
      </c>
      <c r="AG284">
        <v>14.075999999999997</v>
      </c>
      <c r="AH284">
        <v>2</v>
      </c>
      <c r="AI284">
        <v>46468774</v>
      </c>
      <c r="AJ284">
        <v>299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ROW(Source!A387)</f>
        <v>387</v>
      </c>
      <c r="B285">
        <v>46468775</v>
      </c>
      <c r="C285">
        <v>46468765</v>
      </c>
      <c r="D285">
        <v>42570664</v>
      </c>
      <c r="E285">
        <v>1</v>
      </c>
      <c r="F285">
        <v>1</v>
      </c>
      <c r="G285">
        <v>1</v>
      </c>
      <c r="H285">
        <v>2</v>
      </c>
      <c r="I285" t="s">
        <v>620</v>
      </c>
      <c r="J285" t="s">
        <v>621</v>
      </c>
      <c r="K285" t="s">
        <v>622</v>
      </c>
      <c r="L285">
        <v>1368</v>
      </c>
      <c r="N285">
        <v>1011</v>
      </c>
      <c r="O285" t="s">
        <v>393</v>
      </c>
      <c r="P285" t="s">
        <v>393</v>
      </c>
      <c r="Q285">
        <v>1</v>
      </c>
      <c r="X285">
        <v>2.04</v>
      </c>
      <c r="Y285">
        <v>0</v>
      </c>
      <c r="Z285">
        <v>19.399999999999999</v>
      </c>
      <c r="AA285">
        <v>0</v>
      </c>
      <c r="AB285">
        <v>0</v>
      </c>
      <c r="AC285">
        <v>0</v>
      </c>
      <c r="AD285">
        <v>1</v>
      </c>
      <c r="AE285">
        <v>0</v>
      </c>
      <c r="AF285" t="s">
        <v>300</v>
      </c>
      <c r="AG285">
        <v>14.075999999999997</v>
      </c>
      <c r="AH285">
        <v>2</v>
      </c>
      <c r="AI285">
        <v>46468775</v>
      </c>
      <c r="AJ285">
        <v>300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ROW(Source!A387)</f>
        <v>387</v>
      </c>
      <c r="B286">
        <v>46468776</v>
      </c>
      <c r="C286">
        <v>46468765</v>
      </c>
      <c r="D286">
        <v>42570665</v>
      </c>
      <c r="E286">
        <v>1</v>
      </c>
      <c r="F286">
        <v>1</v>
      </c>
      <c r="G286">
        <v>1</v>
      </c>
      <c r="H286">
        <v>2</v>
      </c>
      <c r="I286" t="s">
        <v>623</v>
      </c>
      <c r="J286" t="s">
        <v>624</v>
      </c>
      <c r="K286" t="s">
        <v>625</v>
      </c>
      <c r="L286">
        <v>1368</v>
      </c>
      <c r="N286">
        <v>1011</v>
      </c>
      <c r="O286" t="s">
        <v>393</v>
      </c>
      <c r="P286" t="s">
        <v>393</v>
      </c>
      <c r="Q286">
        <v>1</v>
      </c>
      <c r="X286">
        <v>1.51</v>
      </c>
      <c r="Y286">
        <v>0</v>
      </c>
      <c r="Z286">
        <v>299.85000000000002</v>
      </c>
      <c r="AA286">
        <v>12.62</v>
      </c>
      <c r="AB286">
        <v>0</v>
      </c>
      <c r="AC286">
        <v>0</v>
      </c>
      <c r="AD286">
        <v>1</v>
      </c>
      <c r="AE286">
        <v>0</v>
      </c>
      <c r="AF286" t="s">
        <v>300</v>
      </c>
      <c r="AG286">
        <v>10.419</v>
      </c>
      <c r="AH286">
        <v>2</v>
      </c>
      <c r="AI286">
        <v>46468776</v>
      </c>
      <c r="AJ286">
        <v>301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ROW(Source!A387)</f>
        <v>387</v>
      </c>
      <c r="B287">
        <v>46468777</v>
      </c>
      <c r="C287">
        <v>46468765</v>
      </c>
      <c r="D287">
        <v>42570666</v>
      </c>
      <c r="E287">
        <v>1</v>
      </c>
      <c r="F287">
        <v>1</v>
      </c>
      <c r="G287">
        <v>1</v>
      </c>
      <c r="H287">
        <v>2</v>
      </c>
      <c r="I287" t="s">
        <v>626</v>
      </c>
      <c r="J287" t="s">
        <v>627</v>
      </c>
      <c r="K287" t="s">
        <v>628</v>
      </c>
      <c r="L287">
        <v>1368</v>
      </c>
      <c r="N287">
        <v>1011</v>
      </c>
      <c r="O287" t="s">
        <v>393</v>
      </c>
      <c r="P287" t="s">
        <v>393</v>
      </c>
      <c r="Q287">
        <v>1</v>
      </c>
      <c r="X287">
        <v>2.59</v>
      </c>
      <c r="Y287">
        <v>0</v>
      </c>
      <c r="Z287">
        <v>119.15</v>
      </c>
      <c r="AA287">
        <v>12.62</v>
      </c>
      <c r="AB287">
        <v>0</v>
      </c>
      <c r="AC287">
        <v>0</v>
      </c>
      <c r="AD287">
        <v>1</v>
      </c>
      <c r="AE287">
        <v>0</v>
      </c>
      <c r="AF287" t="s">
        <v>300</v>
      </c>
      <c r="AG287">
        <v>17.870999999999995</v>
      </c>
      <c r="AH287">
        <v>2</v>
      </c>
      <c r="AI287">
        <v>46468777</v>
      </c>
      <c r="AJ287">
        <v>302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ROW(Source!A387)</f>
        <v>387</v>
      </c>
      <c r="B288">
        <v>46468778</v>
      </c>
      <c r="C288">
        <v>46468765</v>
      </c>
      <c r="D288">
        <v>42570667</v>
      </c>
      <c r="E288">
        <v>1</v>
      </c>
      <c r="F288">
        <v>1</v>
      </c>
      <c r="G288">
        <v>1</v>
      </c>
      <c r="H288">
        <v>2</v>
      </c>
      <c r="I288" t="s">
        <v>629</v>
      </c>
      <c r="J288" t="s">
        <v>630</v>
      </c>
      <c r="K288" t="s">
        <v>631</v>
      </c>
      <c r="L288">
        <v>1368</v>
      </c>
      <c r="N288">
        <v>1011</v>
      </c>
      <c r="O288" t="s">
        <v>393</v>
      </c>
      <c r="P288" t="s">
        <v>393</v>
      </c>
      <c r="Q288">
        <v>1</v>
      </c>
      <c r="X288">
        <v>2.14</v>
      </c>
      <c r="Y288">
        <v>0</v>
      </c>
      <c r="Z288">
        <v>477.15</v>
      </c>
      <c r="AA288">
        <v>12.62</v>
      </c>
      <c r="AB288">
        <v>0</v>
      </c>
      <c r="AC288">
        <v>0</v>
      </c>
      <c r="AD288">
        <v>1</v>
      </c>
      <c r="AE288">
        <v>0</v>
      </c>
      <c r="AF288" t="s">
        <v>300</v>
      </c>
      <c r="AG288">
        <v>14.765999999999998</v>
      </c>
      <c r="AH288">
        <v>2</v>
      </c>
      <c r="AI288">
        <v>46468778</v>
      </c>
      <c r="AJ288">
        <v>303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ROW(Source!A387)</f>
        <v>387</v>
      </c>
      <c r="B289">
        <v>46468779</v>
      </c>
      <c r="C289">
        <v>46468765</v>
      </c>
      <c r="D289">
        <v>42570685</v>
      </c>
      <c r="E289">
        <v>1</v>
      </c>
      <c r="F289">
        <v>1</v>
      </c>
      <c r="G289">
        <v>1</v>
      </c>
      <c r="H289">
        <v>2</v>
      </c>
      <c r="I289" t="s">
        <v>632</v>
      </c>
      <c r="J289" t="s">
        <v>633</v>
      </c>
      <c r="K289" t="s">
        <v>634</v>
      </c>
      <c r="L289">
        <v>1368</v>
      </c>
      <c r="N289">
        <v>1011</v>
      </c>
      <c r="O289" t="s">
        <v>393</v>
      </c>
      <c r="P289" t="s">
        <v>393</v>
      </c>
      <c r="Q289">
        <v>1</v>
      </c>
      <c r="X289">
        <v>3.71</v>
      </c>
      <c r="Y289">
        <v>0</v>
      </c>
      <c r="Z289">
        <v>201.45</v>
      </c>
      <c r="AA289">
        <v>9.4</v>
      </c>
      <c r="AB289">
        <v>0</v>
      </c>
      <c r="AC289">
        <v>0</v>
      </c>
      <c r="AD289">
        <v>1</v>
      </c>
      <c r="AE289">
        <v>0</v>
      </c>
      <c r="AF289" t="s">
        <v>300</v>
      </c>
      <c r="AG289">
        <v>25.598999999999997</v>
      </c>
      <c r="AH289">
        <v>2</v>
      </c>
      <c r="AI289">
        <v>46468779</v>
      </c>
      <c r="AJ289">
        <v>304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ROW(Source!A387)</f>
        <v>387</v>
      </c>
      <c r="B290">
        <v>46468780</v>
      </c>
      <c r="C290">
        <v>46468765</v>
      </c>
      <c r="D290">
        <v>42570737</v>
      </c>
      <c r="E290">
        <v>1</v>
      </c>
      <c r="F290">
        <v>1</v>
      </c>
      <c r="G290">
        <v>1</v>
      </c>
      <c r="H290">
        <v>2</v>
      </c>
      <c r="I290" t="s">
        <v>635</v>
      </c>
      <c r="J290" t="s">
        <v>636</v>
      </c>
      <c r="K290" t="s">
        <v>637</v>
      </c>
      <c r="L290">
        <v>1368</v>
      </c>
      <c r="N290">
        <v>1011</v>
      </c>
      <c r="O290" t="s">
        <v>393</v>
      </c>
      <c r="P290" t="s">
        <v>393</v>
      </c>
      <c r="Q290">
        <v>1</v>
      </c>
      <c r="X290">
        <v>1.52</v>
      </c>
      <c r="Y290">
        <v>0</v>
      </c>
      <c r="Z290">
        <v>19.04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300</v>
      </c>
      <c r="AG290">
        <v>10.488</v>
      </c>
      <c r="AH290">
        <v>2</v>
      </c>
      <c r="AI290">
        <v>46468780</v>
      </c>
      <c r="AJ290">
        <v>305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ROW(Source!A387)</f>
        <v>387</v>
      </c>
      <c r="B291">
        <v>46468781</v>
      </c>
      <c r="C291">
        <v>46468765</v>
      </c>
      <c r="D291">
        <v>42570857</v>
      </c>
      <c r="E291">
        <v>1</v>
      </c>
      <c r="F291">
        <v>1</v>
      </c>
      <c r="G291">
        <v>1</v>
      </c>
      <c r="H291">
        <v>2</v>
      </c>
      <c r="I291" t="s">
        <v>638</v>
      </c>
      <c r="J291" t="s">
        <v>639</v>
      </c>
      <c r="K291" t="s">
        <v>640</v>
      </c>
      <c r="L291">
        <v>1368</v>
      </c>
      <c r="N291">
        <v>1011</v>
      </c>
      <c r="O291" t="s">
        <v>393</v>
      </c>
      <c r="P291" t="s">
        <v>393</v>
      </c>
      <c r="Q291">
        <v>1</v>
      </c>
      <c r="X291">
        <v>0.2</v>
      </c>
      <c r="Y291">
        <v>0</v>
      </c>
      <c r="Z291">
        <v>111.75</v>
      </c>
      <c r="AA291">
        <v>10.84</v>
      </c>
      <c r="AB291">
        <v>0</v>
      </c>
      <c r="AC291">
        <v>0</v>
      </c>
      <c r="AD291">
        <v>1</v>
      </c>
      <c r="AE291">
        <v>0</v>
      </c>
      <c r="AF291" t="s">
        <v>300</v>
      </c>
      <c r="AG291">
        <v>1.38</v>
      </c>
      <c r="AH291">
        <v>2</v>
      </c>
      <c r="AI291">
        <v>46468781</v>
      </c>
      <c r="AJ291">
        <v>306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ROW(Source!A387)</f>
        <v>387</v>
      </c>
      <c r="B292">
        <v>46468782</v>
      </c>
      <c r="C292">
        <v>46468765</v>
      </c>
      <c r="D292">
        <v>42597873</v>
      </c>
      <c r="E292">
        <v>1</v>
      </c>
      <c r="F292">
        <v>1</v>
      </c>
      <c r="G292">
        <v>1</v>
      </c>
      <c r="H292">
        <v>3</v>
      </c>
      <c r="I292" t="s">
        <v>641</v>
      </c>
      <c r="J292" t="s">
        <v>642</v>
      </c>
      <c r="K292" t="s">
        <v>643</v>
      </c>
      <c r="L292">
        <v>1348</v>
      </c>
      <c r="N292">
        <v>1009</v>
      </c>
      <c r="O292" t="s">
        <v>184</v>
      </c>
      <c r="P292" t="s">
        <v>184</v>
      </c>
      <c r="Q292">
        <v>1000</v>
      </c>
      <c r="X292">
        <v>8.0000000000000004E-4</v>
      </c>
      <c r="Y292">
        <v>6227.71</v>
      </c>
      <c r="Z292">
        <v>0</v>
      </c>
      <c r="AA292">
        <v>0</v>
      </c>
      <c r="AB292">
        <v>0</v>
      </c>
      <c r="AC292">
        <v>0</v>
      </c>
      <c r="AD292">
        <v>1</v>
      </c>
      <c r="AE292">
        <v>0</v>
      </c>
      <c r="AF292" t="s">
        <v>3</v>
      </c>
      <c r="AG292">
        <v>8.0000000000000004E-4</v>
      </c>
      <c r="AH292">
        <v>2</v>
      </c>
      <c r="AI292">
        <v>46468782</v>
      </c>
      <c r="AJ292">
        <v>307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ROW(Source!A387)</f>
        <v>387</v>
      </c>
      <c r="B293">
        <v>46468783</v>
      </c>
      <c r="C293">
        <v>46468765</v>
      </c>
      <c r="D293">
        <v>42600381</v>
      </c>
      <c r="E293">
        <v>1</v>
      </c>
      <c r="F293">
        <v>1</v>
      </c>
      <c r="G293">
        <v>1</v>
      </c>
      <c r="H293">
        <v>3</v>
      </c>
      <c r="I293" t="s">
        <v>644</v>
      </c>
      <c r="J293" t="s">
        <v>645</v>
      </c>
      <c r="K293" t="s">
        <v>646</v>
      </c>
      <c r="L293">
        <v>1354</v>
      </c>
      <c r="N293">
        <v>1010</v>
      </c>
      <c r="O293" t="s">
        <v>647</v>
      </c>
      <c r="P293" t="s">
        <v>647</v>
      </c>
      <c r="Q293">
        <v>1</v>
      </c>
      <c r="X293">
        <v>0.78200000000000003</v>
      </c>
      <c r="Y293">
        <v>848.77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0</v>
      </c>
      <c r="AF293" t="s">
        <v>3</v>
      </c>
      <c r="AG293">
        <v>0.78200000000000003</v>
      </c>
      <c r="AH293">
        <v>2</v>
      </c>
      <c r="AI293">
        <v>46468783</v>
      </c>
      <c r="AJ293">
        <v>308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ROW(Source!A387)</f>
        <v>387</v>
      </c>
      <c r="B294">
        <v>46468784</v>
      </c>
      <c r="C294">
        <v>46468765</v>
      </c>
      <c r="D294">
        <v>42594004</v>
      </c>
      <c r="E294">
        <v>1</v>
      </c>
      <c r="F294">
        <v>1</v>
      </c>
      <c r="G294">
        <v>1</v>
      </c>
      <c r="H294">
        <v>3</v>
      </c>
      <c r="I294" t="s">
        <v>648</v>
      </c>
      <c r="J294" t="s">
        <v>649</v>
      </c>
      <c r="K294" t="s">
        <v>650</v>
      </c>
      <c r="L294">
        <v>1348</v>
      </c>
      <c r="N294">
        <v>1009</v>
      </c>
      <c r="O294" t="s">
        <v>184</v>
      </c>
      <c r="P294" t="s">
        <v>184</v>
      </c>
      <c r="Q294">
        <v>1000</v>
      </c>
      <c r="X294">
        <v>2.3999999999999998E-3</v>
      </c>
      <c r="Y294">
        <v>45955.81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0</v>
      </c>
      <c r="AF294" t="s">
        <v>3</v>
      </c>
      <c r="AG294">
        <v>2.3999999999999998E-3</v>
      </c>
      <c r="AH294">
        <v>2</v>
      </c>
      <c r="AI294">
        <v>46468784</v>
      </c>
      <c r="AJ294">
        <v>309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ROW(Source!A387)</f>
        <v>387</v>
      </c>
      <c r="B295">
        <v>46468785</v>
      </c>
      <c r="C295">
        <v>46468765</v>
      </c>
      <c r="D295">
        <v>42594116</v>
      </c>
      <c r="E295">
        <v>1</v>
      </c>
      <c r="F295">
        <v>1</v>
      </c>
      <c r="G295">
        <v>1</v>
      </c>
      <c r="H295">
        <v>3</v>
      </c>
      <c r="I295" t="s">
        <v>651</v>
      </c>
      <c r="J295" t="s">
        <v>652</v>
      </c>
      <c r="K295" t="s">
        <v>653</v>
      </c>
      <c r="L295">
        <v>1348</v>
      </c>
      <c r="N295">
        <v>1009</v>
      </c>
      <c r="O295" t="s">
        <v>184</v>
      </c>
      <c r="P295" t="s">
        <v>184</v>
      </c>
      <c r="Q295">
        <v>1000</v>
      </c>
      <c r="X295">
        <v>4.0000000000000001E-3</v>
      </c>
      <c r="Y295">
        <v>1756</v>
      </c>
      <c r="Z295">
        <v>0</v>
      </c>
      <c r="AA295">
        <v>0</v>
      </c>
      <c r="AB295">
        <v>0</v>
      </c>
      <c r="AC295">
        <v>0</v>
      </c>
      <c r="AD295">
        <v>1</v>
      </c>
      <c r="AE295">
        <v>0</v>
      </c>
      <c r="AF295" t="s">
        <v>3</v>
      </c>
      <c r="AG295">
        <v>4.0000000000000001E-3</v>
      </c>
      <c r="AH295">
        <v>2</v>
      </c>
      <c r="AI295">
        <v>46468785</v>
      </c>
      <c r="AJ295">
        <v>310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ROW(Source!A387)</f>
        <v>387</v>
      </c>
      <c r="B296">
        <v>46468786</v>
      </c>
      <c r="C296">
        <v>46468765</v>
      </c>
      <c r="D296">
        <v>42599478</v>
      </c>
      <c r="E296">
        <v>1</v>
      </c>
      <c r="F296">
        <v>1</v>
      </c>
      <c r="G296">
        <v>1</v>
      </c>
      <c r="H296">
        <v>3</v>
      </c>
      <c r="I296" t="s">
        <v>654</v>
      </c>
      <c r="J296" t="s">
        <v>655</v>
      </c>
      <c r="K296" t="s">
        <v>656</v>
      </c>
      <c r="L296">
        <v>1348</v>
      </c>
      <c r="N296">
        <v>1009</v>
      </c>
      <c r="O296" t="s">
        <v>184</v>
      </c>
      <c r="P296" t="s">
        <v>184</v>
      </c>
      <c r="Q296">
        <v>1000</v>
      </c>
      <c r="X296">
        <v>1.2E-2</v>
      </c>
      <c r="Y296">
        <v>10469.84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0</v>
      </c>
      <c r="AF296" t="s">
        <v>3</v>
      </c>
      <c r="AG296">
        <v>1.2E-2</v>
      </c>
      <c r="AH296">
        <v>2</v>
      </c>
      <c r="AI296">
        <v>46468786</v>
      </c>
      <c r="AJ296">
        <v>311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ROW(Source!A387)</f>
        <v>387</v>
      </c>
      <c r="B297">
        <v>46468787</v>
      </c>
      <c r="C297">
        <v>46468765</v>
      </c>
      <c r="D297">
        <v>42589220</v>
      </c>
      <c r="E297">
        <v>1</v>
      </c>
      <c r="F297">
        <v>1</v>
      </c>
      <c r="G297">
        <v>1</v>
      </c>
      <c r="H297">
        <v>3</v>
      </c>
      <c r="I297" t="s">
        <v>657</v>
      </c>
      <c r="J297" t="s">
        <v>658</v>
      </c>
      <c r="K297" t="s">
        <v>659</v>
      </c>
      <c r="L297">
        <v>1348</v>
      </c>
      <c r="N297">
        <v>1009</v>
      </c>
      <c r="O297" t="s">
        <v>184</v>
      </c>
      <c r="P297" t="s">
        <v>184</v>
      </c>
      <c r="Q297">
        <v>1000</v>
      </c>
      <c r="X297">
        <v>8.0000000000000004E-4</v>
      </c>
      <c r="Y297">
        <v>5291.63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 t="s">
        <v>3</v>
      </c>
      <c r="AG297">
        <v>8.0000000000000004E-4</v>
      </c>
      <c r="AH297">
        <v>2</v>
      </c>
      <c r="AI297">
        <v>46468787</v>
      </c>
      <c r="AJ297">
        <v>312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ROW(Source!A387)</f>
        <v>387</v>
      </c>
      <c r="B298">
        <v>46468788</v>
      </c>
      <c r="C298">
        <v>46468765</v>
      </c>
      <c r="D298">
        <v>42581991</v>
      </c>
      <c r="E298">
        <v>1</v>
      </c>
      <c r="F298">
        <v>1</v>
      </c>
      <c r="G298">
        <v>1</v>
      </c>
      <c r="H298">
        <v>3</v>
      </c>
      <c r="I298" t="s">
        <v>287</v>
      </c>
      <c r="J298" t="s">
        <v>289</v>
      </c>
      <c r="K298" t="s">
        <v>288</v>
      </c>
      <c r="L298">
        <v>1348</v>
      </c>
      <c r="N298">
        <v>1009</v>
      </c>
      <c r="O298" t="s">
        <v>184</v>
      </c>
      <c r="P298" t="s">
        <v>184</v>
      </c>
      <c r="Q298">
        <v>1000</v>
      </c>
      <c r="X298">
        <v>105.26</v>
      </c>
      <c r="Y298">
        <v>342.09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3</v>
      </c>
      <c r="AG298">
        <v>105.26</v>
      </c>
      <c r="AH298">
        <v>2</v>
      </c>
      <c r="AI298">
        <v>46468788</v>
      </c>
      <c r="AJ298">
        <v>313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ROW(Source!A387)</f>
        <v>387</v>
      </c>
      <c r="B299">
        <v>46468789</v>
      </c>
      <c r="C299">
        <v>46468765</v>
      </c>
      <c r="D299">
        <v>42582071</v>
      </c>
      <c r="E299">
        <v>1</v>
      </c>
      <c r="F299">
        <v>1</v>
      </c>
      <c r="G299">
        <v>1</v>
      </c>
      <c r="H299">
        <v>3</v>
      </c>
      <c r="I299" t="s">
        <v>660</v>
      </c>
      <c r="J299" t="s">
        <v>661</v>
      </c>
      <c r="K299" t="s">
        <v>662</v>
      </c>
      <c r="L299">
        <v>1339</v>
      </c>
      <c r="N299">
        <v>1007</v>
      </c>
      <c r="O299" t="s">
        <v>139</v>
      </c>
      <c r="P299" t="s">
        <v>139</v>
      </c>
      <c r="Q299">
        <v>1</v>
      </c>
      <c r="X299">
        <v>20.52</v>
      </c>
      <c r="Y299">
        <v>1.5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0</v>
      </c>
      <c r="AF299" t="s">
        <v>3</v>
      </c>
      <c r="AG299">
        <v>20.52</v>
      </c>
      <c r="AH299">
        <v>2</v>
      </c>
      <c r="AI299">
        <v>46468789</v>
      </c>
      <c r="AJ299">
        <v>314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ROW(Source!A390)</f>
        <v>390</v>
      </c>
      <c r="B300">
        <v>46468794</v>
      </c>
      <c r="C300">
        <v>46468793</v>
      </c>
      <c r="D300">
        <v>42640504</v>
      </c>
      <c r="E300">
        <v>1</v>
      </c>
      <c r="F300">
        <v>1</v>
      </c>
      <c r="G300">
        <v>1</v>
      </c>
      <c r="H300">
        <v>1</v>
      </c>
      <c r="I300" t="s">
        <v>663</v>
      </c>
      <c r="J300" t="s">
        <v>3</v>
      </c>
      <c r="K300" t="s">
        <v>664</v>
      </c>
      <c r="L300">
        <v>1369</v>
      </c>
      <c r="N300">
        <v>1013</v>
      </c>
      <c r="O300" t="s">
        <v>387</v>
      </c>
      <c r="P300" t="s">
        <v>387</v>
      </c>
      <c r="Q300">
        <v>1</v>
      </c>
      <c r="X300">
        <v>0.35</v>
      </c>
      <c r="Y300">
        <v>0</v>
      </c>
      <c r="Z300">
        <v>0</v>
      </c>
      <c r="AA300">
        <v>0</v>
      </c>
      <c r="AB300">
        <v>8.7899999999999991</v>
      </c>
      <c r="AC300">
        <v>0</v>
      </c>
      <c r="AD300">
        <v>1</v>
      </c>
      <c r="AE300">
        <v>1</v>
      </c>
      <c r="AF300" t="s">
        <v>305</v>
      </c>
      <c r="AG300">
        <v>0.80499999999999994</v>
      </c>
      <c r="AH300">
        <v>2</v>
      </c>
      <c r="AI300">
        <v>46468794</v>
      </c>
      <c r="AJ300">
        <v>316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ROW(Source!A390)</f>
        <v>390</v>
      </c>
      <c r="B301">
        <v>46468795</v>
      </c>
      <c r="C301">
        <v>46468793</v>
      </c>
      <c r="D301">
        <v>121548</v>
      </c>
      <c r="E301">
        <v>1</v>
      </c>
      <c r="F301">
        <v>1</v>
      </c>
      <c r="G301">
        <v>1</v>
      </c>
      <c r="H301">
        <v>1</v>
      </c>
      <c r="I301" t="s">
        <v>26</v>
      </c>
      <c r="J301" t="s">
        <v>3</v>
      </c>
      <c r="K301" t="s">
        <v>388</v>
      </c>
      <c r="L301">
        <v>608254</v>
      </c>
      <c r="N301">
        <v>1013</v>
      </c>
      <c r="O301" t="s">
        <v>389</v>
      </c>
      <c r="P301" t="s">
        <v>389</v>
      </c>
      <c r="Q301">
        <v>1</v>
      </c>
      <c r="X301">
        <v>0.47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1</v>
      </c>
      <c r="AE301">
        <v>2</v>
      </c>
      <c r="AF301" t="s">
        <v>304</v>
      </c>
      <c r="AG301">
        <v>6.4859999999999998</v>
      </c>
      <c r="AH301">
        <v>2</v>
      </c>
      <c r="AI301">
        <v>46468795</v>
      </c>
      <c r="AJ301">
        <v>317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ROW(Source!A390)</f>
        <v>390</v>
      </c>
      <c r="B302">
        <v>46468796</v>
      </c>
      <c r="C302">
        <v>46468793</v>
      </c>
      <c r="D302">
        <v>42567318</v>
      </c>
      <c r="E302">
        <v>1</v>
      </c>
      <c r="F302">
        <v>1</v>
      </c>
      <c r="G302">
        <v>1</v>
      </c>
      <c r="H302">
        <v>2</v>
      </c>
      <c r="I302" t="s">
        <v>432</v>
      </c>
      <c r="J302" t="s">
        <v>433</v>
      </c>
      <c r="K302" t="s">
        <v>434</v>
      </c>
      <c r="L302">
        <v>1368</v>
      </c>
      <c r="N302">
        <v>1011</v>
      </c>
      <c r="O302" t="s">
        <v>393</v>
      </c>
      <c r="P302" t="s">
        <v>393</v>
      </c>
      <c r="Q302">
        <v>1</v>
      </c>
      <c r="X302">
        <v>0.11</v>
      </c>
      <c r="Y302">
        <v>0</v>
      </c>
      <c r="Z302">
        <v>88.87</v>
      </c>
      <c r="AA302">
        <v>9.4</v>
      </c>
      <c r="AB302">
        <v>0</v>
      </c>
      <c r="AC302">
        <v>0</v>
      </c>
      <c r="AD302">
        <v>1</v>
      </c>
      <c r="AE302">
        <v>0</v>
      </c>
      <c r="AF302" t="s">
        <v>304</v>
      </c>
      <c r="AG302">
        <v>1.518</v>
      </c>
      <c r="AH302">
        <v>2</v>
      </c>
      <c r="AI302">
        <v>46468796</v>
      </c>
      <c r="AJ302">
        <v>318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ROW(Source!A390)</f>
        <v>390</v>
      </c>
      <c r="B303">
        <v>46468797</v>
      </c>
      <c r="C303">
        <v>46468793</v>
      </c>
      <c r="D303">
        <v>42568519</v>
      </c>
      <c r="E303">
        <v>1</v>
      </c>
      <c r="F303">
        <v>1</v>
      </c>
      <c r="G303">
        <v>1</v>
      </c>
      <c r="H303">
        <v>2</v>
      </c>
      <c r="I303" t="s">
        <v>612</v>
      </c>
      <c r="J303" t="s">
        <v>613</v>
      </c>
      <c r="K303" t="s">
        <v>614</v>
      </c>
      <c r="L303">
        <v>1368</v>
      </c>
      <c r="N303">
        <v>1011</v>
      </c>
      <c r="O303" t="s">
        <v>393</v>
      </c>
      <c r="P303" t="s">
        <v>393</v>
      </c>
      <c r="Q303">
        <v>1</v>
      </c>
      <c r="X303">
        <v>0.1</v>
      </c>
      <c r="Y303">
        <v>0</v>
      </c>
      <c r="Z303">
        <v>1494.6</v>
      </c>
      <c r="AA303">
        <v>13.46</v>
      </c>
      <c r="AB303">
        <v>0</v>
      </c>
      <c r="AC303">
        <v>0</v>
      </c>
      <c r="AD303">
        <v>1</v>
      </c>
      <c r="AE303">
        <v>0</v>
      </c>
      <c r="AF303" t="s">
        <v>304</v>
      </c>
      <c r="AG303">
        <v>1.38</v>
      </c>
      <c r="AH303">
        <v>2</v>
      </c>
      <c r="AI303">
        <v>46468797</v>
      </c>
      <c r="AJ303">
        <v>319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ROW(Source!A390)</f>
        <v>390</v>
      </c>
      <c r="B304">
        <v>46468798</v>
      </c>
      <c r="C304">
        <v>46468793</v>
      </c>
      <c r="D304">
        <v>42568531</v>
      </c>
      <c r="E304">
        <v>1</v>
      </c>
      <c r="F304">
        <v>1</v>
      </c>
      <c r="G304">
        <v>1</v>
      </c>
      <c r="H304">
        <v>2</v>
      </c>
      <c r="I304" t="s">
        <v>615</v>
      </c>
      <c r="J304" t="s">
        <v>616</v>
      </c>
      <c r="K304" t="s">
        <v>592</v>
      </c>
      <c r="L304">
        <v>1368</v>
      </c>
      <c r="N304">
        <v>1011</v>
      </c>
      <c r="O304" t="s">
        <v>393</v>
      </c>
      <c r="P304" t="s">
        <v>393</v>
      </c>
      <c r="Q304">
        <v>1</v>
      </c>
      <c r="X304">
        <v>0.1</v>
      </c>
      <c r="Y304">
        <v>0</v>
      </c>
      <c r="Z304">
        <v>109.06</v>
      </c>
      <c r="AA304">
        <v>10.84</v>
      </c>
      <c r="AB304">
        <v>0</v>
      </c>
      <c r="AC304">
        <v>0</v>
      </c>
      <c r="AD304">
        <v>1</v>
      </c>
      <c r="AE304">
        <v>0</v>
      </c>
      <c r="AF304" t="s">
        <v>304</v>
      </c>
      <c r="AG304">
        <v>1.38</v>
      </c>
      <c r="AH304">
        <v>2</v>
      </c>
      <c r="AI304">
        <v>46468798</v>
      </c>
      <c r="AJ304">
        <v>320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ROW(Source!A390)</f>
        <v>390</v>
      </c>
      <c r="B305">
        <v>46468799</v>
      </c>
      <c r="C305">
        <v>46468793</v>
      </c>
      <c r="D305">
        <v>42570663</v>
      </c>
      <c r="E305">
        <v>1</v>
      </c>
      <c r="F305">
        <v>1</v>
      </c>
      <c r="G305">
        <v>1</v>
      </c>
      <c r="H305">
        <v>2</v>
      </c>
      <c r="I305" t="s">
        <v>617</v>
      </c>
      <c r="J305" t="s">
        <v>618</v>
      </c>
      <c r="K305" t="s">
        <v>619</v>
      </c>
      <c r="L305">
        <v>1368</v>
      </c>
      <c r="N305">
        <v>1011</v>
      </c>
      <c r="O305" t="s">
        <v>393</v>
      </c>
      <c r="P305" t="s">
        <v>393</v>
      </c>
      <c r="Q305">
        <v>1</v>
      </c>
      <c r="X305">
        <v>0.1</v>
      </c>
      <c r="Y305">
        <v>0</v>
      </c>
      <c r="Z305">
        <v>706.29</v>
      </c>
      <c r="AA305">
        <v>15.37</v>
      </c>
      <c r="AB305">
        <v>0</v>
      </c>
      <c r="AC305">
        <v>0</v>
      </c>
      <c r="AD305">
        <v>1</v>
      </c>
      <c r="AE305">
        <v>0</v>
      </c>
      <c r="AF305" t="s">
        <v>304</v>
      </c>
      <c r="AG305">
        <v>1.38</v>
      </c>
      <c r="AH305">
        <v>2</v>
      </c>
      <c r="AI305">
        <v>46468799</v>
      </c>
      <c r="AJ305">
        <v>321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ROW(Source!A390)</f>
        <v>390</v>
      </c>
      <c r="B306">
        <v>46468800</v>
      </c>
      <c r="C306">
        <v>46468793</v>
      </c>
      <c r="D306">
        <v>42570664</v>
      </c>
      <c r="E306">
        <v>1</v>
      </c>
      <c r="F306">
        <v>1</v>
      </c>
      <c r="G306">
        <v>1</v>
      </c>
      <c r="H306">
        <v>2</v>
      </c>
      <c r="I306" t="s">
        <v>620</v>
      </c>
      <c r="J306" t="s">
        <v>621</v>
      </c>
      <c r="K306" t="s">
        <v>622</v>
      </c>
      <c r="L306">
        <v>1368</v>
      </c>
      <c r="N306">
        <v>1011</v>
      </c>
      <c r="O306" t="s">
        <v>393</v>
      </c>
      <c r="P306" t="s">
        <v>393</v>
      </c>
      <c r="Q306">
        <v>1</v>
      </c>
      <c r="X306">
        <v>0.1</v>
      </c>
      <c r="Y306">
        <v>0</v>
      </c>
      <c r="Z306">
        <v>19.399999999999999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304</v>
      </c>
      <c r="AG306">
        <v>1.38</v>
      </c>
      <c r="AH306">
        <v>2</v>
      </c>
      <c r="AI306">
        <v>46468800</v>
      </c>
      <c r="AJ306">
        <v>322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ROW(Source!A390)</f>
        <v>390</v>
      </c>
      <c r="B307">
        <v>46468801</v>
      </c>
      <c r="C307">
        <v>46468793</v>
      </c>
      <c r="D307">
        <v>42570685</v>
      </c>
      <c r="E307">
        <v>1</v>
      </c>
      <c r="F307">
        <v>1</v>
      </c>
      <c r="G307">
        <v>1</v>
      </c>
      <c r="H307">
        <v>2</v>
      </c>
      <c r="I307" t="s">
        <v>632</v>
      </c>
      <c r="J307" t="s">
        <v>633</v>
      </c>
      <c r="K307" t="s">
        <v>634</v>
      </c>
      <c r="L307">
        <v>1368</v>
      </c>
      <c r="N307">
        <v>1011</v>
      </c>
      <c r="O307" t="s">
        <v>393</v>
      </c>
      <c r="P307" t="s">
        <v>393</v>
      </c>
      <c r="Q307">
        <v>1</v>
      </c>
      <c r="X307">
        <v>0.06</v>
      </c>
      <c r="Y307">
        <v>0</v>
      </c>
      <c r="Z307">
        <v>201.45</v>
      </c>
      <c r="AA307">
        <v>9.4</v>
      </c>
      <c r="AB307">
        <v>0</v>
      </c>
      <c r="AC307">
        <v>0</v>
      </c>
      <c r="AD307">
        <v>1</v>
      </c>
      <c r="AE307">
        <v>0</v>
      </c>
      <c r="AF307" t="s">
        <v>304</v>
      </c>
      <c r="AG307">
        <v>0.82799999999999985</v>
      </c>
      <c r="AH307">
        <v>2</v>
      </c>
      <c r="AI307">
        <v>46468801</v>
      </c>
      <c r="AJ307">
        <v>323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ROW(Source!A390)</f>
        <v>390</v>
      </c>
      <c r="B308">
        <v>46468802</v>
      </c>
      <c r="C308">
        <v>46468793</v>
      </c>
      <c r="D308">
        <v>42594116</v>
      </c>
      <c r="E308">
        <v>1</v>
      </c>
      <c r="F308">
        <v>1</v>
      </c>
      <c r="G308">
        <v>1</v>
      </c>
      <c r="H308">
        <v>3</v>
      </c>
      <c r="I308" t="s">
        <v>651</v>
      </c>
      <c r="J308" t="s">
        <v>652</v>
      </c>
      <c r="K308" t="s">
        <v>653</v>
      </c>
      <c r="L308">
        <v>1348</v>
      </c>
      <c r="N308">
        <v>1009</v>
      </c>
      <c r="O308" t="s">
        <v>184</v>
      </c>
      <c r="P308" t="s">
        <v>184</v>
      </c>
      <c r="Q308">
        <v>1000</v>
      </c>
      <c r="X308">
        <v>1E-3</v>
      </c>
      <c r="Y308">
        <v>1756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0</v>
      </c>
      <c r="AF308" t="s">
        <v>303</v>
      </c>
      <c r="AG308">
        <v>2E-3</v>
      </c>
      <c r="AH308">
        <v>2</v>
      </c>
      <c r="AI308">
        <v>46468802</v>
      </c>
      <c r="AJ308">
        <v>324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ROW(Source!A390)</f>
        <v>390</v>
      </c>
      <c r="B309">
        <v>46468803</v>
      </c>
      <c r="C309">
        <v>46468793</v>
      </c>
      <c r="D309">
        <v>42581991</v>
      </c>
      <c r="E309">
        <v>1</v>
      </c>
      <c r="F309">
        <v>1</v>
      </c>
      <c r="G309">
        <v>1</v>
      </c>
      <c r="H309">
        <v>3</v>
      </c>
      <c r="I309" t="s">
        <v>287</v>
      </c>
      <c r="J309" t="s">
        <v>289</v>
      </c>
      <c r="K309" t="s">
        <v>288</v>
      </c>
      <c r="L309">
        <v>1348</v>
      </c>
      <c r="N309">
        <v>1009</v>
      </c>
      <c r="O309" t="s">
        <v>184</v>
      </c>
      <c r="P309" t="s">
        <v>184</v>
      </c>
      <c r="Q309">
        <v>1000</v>
      </c>
      <c r="X309">
        <v>13.2</v>
      </c>
      <c r="Y309">
        <v>342.09</v>
      </c>
      <c r="Z309">
        <v>0</v>
      </c>
      <c r="AA309">
        <v>0</v>
      </c>
      <c r="AB309">
        <v>0</v>
      </c>
      <c r="AC309">
        <v>0</v>
      </c>
      <c r="AD309">
        <v>1</v>
      </c>
      <c r="AE309">
        <v>0</v>
      </c>
      <c r="AF309" t="s">
        <v>303</v>
      </c>
      <c r="AG309">
        <v>26.4</v>
      </c>
      <c r="AH309">
        <v>2</v>
      </c>
      <c r="AI309">
        <v>46468803</v>
      </c>
      <c r="AJ309">
        <v>325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ROW(Source!A390)</f>
        <v>390</v>
      </c>
      <c r="B310">
        <v>46468804</v>
      </c>
      <c r="C310">
        <v>46468793</v>
      </c>
      <c r="D310">
        <v>42582071</v>
      </c>
      <c r="E310">
        <v>1</v>
      </c>
      <c r="F310">
        <v>1</v>
      </c>
      <c r="G310">
        <v>1</v>
      </c>
      <c r="H310">
        <v>3</v>
      </c>
      <c r="I310" t="s">
        <v>660</v>
      </c>
      <c r="J310" t="s">
        <v>661</v>
      </c>
      <c r="K310" t="s">
        <v>662</v>
      </c>
      <c r="L310">
        <v>1339</v>
      </c>
      <c r="N310">
        <v>1007</v>
      </c>
      <c r="O310" t="s">
        <v>139</v>
      </c>
      <c r="P310" t="s">
        <v>139</v>
      </c>
      <c r="Q310">
        <v>1</v>
      </c>
      <c r="X310">
        <v>0.44</v>
      </c>
      <c r="Y310">
        <v>1.5</v>
      </c>
      <c r="Z310">
        <v>0</v>
      </c>
      <c r="AA310">
        <v>0</v>
      </c>
      <c r="AB310">
        <v>0</v>
      </c>
      <c r="AC310">
        <v>0</v>
      </c>
      <c r="AD310">
        <v>1</v>
      </c>
      <c r="AE310">
        <v>0</v>
      </c>
      <c r="AF310" t="s">
        <v>303</v>
      </c>
      <c r="AG310">
        <v>0.88</v>
      </c>
      <c r="AH310">
        <v>2</v>
      </c>
      <c r="AI310">
        <v>46468804</v>
      </c>
      <c r="AJ310">
        <v>326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мат</vt:lpstr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Васильева Елена Владимировна</cp:lastModifiedBy>
  <dcterms:created xsi:type="dcterms:W3CDTF">2024-04-15T10:45:51Z</dcterms:created>
  <dcterms:modified xsi:type="dcterms:W3CDTF">2024-10-02T13:02:29Z</dcterms:modified>
</cp:coreProperties>
</file>