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J:\ECG_DKS\ECG_UKS_SMT\3. МОДЕРНИЗАЦИЯ ЗАВОДОВ\Кавказцемент\02-16-45-7 Ремонт кровли здания добавок\Актуализация ЭО 1 кв.24\"/>
    </mc:Choice>
  </mc:AlternateContent>
  <xr:revisionPtr revIDLastSave="0" documentId="13_ncr:1_{49BA521F-9CFE-4789-A922-A08C7841D8D0}" xr6:coauthVersionLast="36" xr6:coauthVersionMax="36" xr10:uidLastSave="{00000000-0000-0000-0000-000000000000}"/>
  <bookViews>
    <workbookView xWindow="0" yWindow="0" windowWidth="21570" windowHeight="10215" xr2:uid="{00000000-000D-0000-FFFF-FFFF00000000}"/>
  </bookViews>
  <sheets>
    <sheet name="Смета 12 гр. по ФЕР" sheetId="6" r:id="rId1"/>
    <sheet name="Source" sheetId="1" r:id="rId2"/>
    <sheet name="SourceObSm" sheetId="2" r:id="rId3"/>
    <sheet name="SmtRes" sheetId="3" r:id="rId4"/>
    <sheet name="EtalonRes" sheetId="4" r:id="rId5"/>
    <sheet name="SrcKA" sheetId="5" r:id="rId6"/>
  </sheets>
  <definedNames>
    <definedName name="_xlnm.Print_Titles" localSheetId="0">'Смета 12 гр. по ФЕР'!$32:$32</definedName>
    <definedName name="_xlnm.Print_Area" localSheetId="0">'Смета 12 гр. по ФЕР'!$A$1:$L$262</definedName>
  </definedNames>
  <calcPr calcId="191029" iterate="1"/>
</workbook>
</file>

<file path=xl/calcChain.xml><?xml version="1.0" encoding="utf-8"?>
<calcChain xmlns="http://schemas.openxmlformats.org/spreadsheetml/2006/main">
  <c r="B13" i="6" l="1"/>
  <c r="C262" i="6" l="1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Z236" i="6"/>
  <c r="Y236" i="6"/>
  <c r="X236" i="6"/>
  <c r="G235" i="6"/>
  <c r="E235" i="6"/>
  <c r="J234" i="6"/>
  <c r="E234" i="6"/>
  <c r="J233" i="6"/>
  <c r="E233" i="6"/>
  <c r="J232" i="6"/>
  <c r="G232" i="6"/>
  <c r="F232" i="6"/>
  <c r="J231" i="6"/>
  <c r="G231" i="6"/>
  <c r="F231" i="6"/>
  <c r="J230" i="6"/>
  <c r="G230" i="6"/>
  <c r="F230" i="6"/>
  <c r="J229" i="6"/>
  <c r="G229" i="6"/>
  <c r="F229" i="6"/>
  <c r="F227" i="6"/>
  <c r="D227" i="6"/>
  <c r="I227" i="6"/>
  <c r="C227" i="6"/>
  <c r="B227" i="6"/>
  <c r="Z226" i="6"/>
  <c r="Y226" i="6"/>
  <c r="X226" i="6"/>
  <c r="G225" i="6"/>
  <c r="E225" i="6"/>
  <c r="J224" i="6"/>
  <c r="E224" i="6"/>
  <c r="J223" i="6"/>
  <c r="E223" i="6"/>
  <c r="J222" i="6"/>
  <c r="G222" i="6"/>
  <c r="F222" i="6"/>
  <c r="J221" i="6"/>
  <c r="G221" i="6"/>
  <c r="F221" i="6"/>
  <c r="J220" i="6"/>
  <c r="G220" i="6"/>
  <c r="F220" i="6"/>
  <c r="J219" i="6"/>
  <c r="G219" i="6"/>
  <c r="F219" i="6"/>
  <c r="F217" i="6"/>
  <c r="D217" i="6"/>
  <c r="I217" i="6"/>
  <c r="C217" i="6"/>
  <c r="B217" i="6"/>
  <c r="Z216" i="6"/>
  <c r="Y216" i="6"/>
  <c r="X216" i="6"/>
  <c r="J215" i="6"/>
  <c r="G215" i="6"/>
  <c r="F215" i="6"/>
  <c r="D215" i="6"/>
  <c r="I215" i="6"/>
  <c r="B215" i="6"/>
  <c r="Z214" i="6"/>
  <c r="Y214" i="6"/>
  <c r="X214" i="6"/>
  <c r="J213" i="6"/>
  <c r="G213" i="6"/>
  <c r="F213" i="6"/>
  <c r="D213" i="6"/>
  <c r="I213" i="6"/>
  <c r="B213" i="6"/>
  <c r="Z212" i="6"/>
  <c r="Y212" i="6"/>
  <c r="W212" i="6"/>
  <c r="G211" i="6"/>
  <c r="E211" i="6"/>
  <c r="J210" i="6"/>
  <c r="E210" i="6"/>
  <c r="J209" i="6"/>
  <c r="E209" i="6"/>
  <c r="J208" i="6"/>
  <c r="G208" i="6"/>
  <c r="F208" i="6"/>
  <c r="J207" i="6"/>
  <c r="G207" i="6"/>
  <c r="F207" i="6"/>
  <c r="J206" i="6"/>
  <c r="G206" i="6"/>
  <c r="F206" i="6"/>
  <c r="J205" i="6"/>
  <c r="G205" i="6"/>
  <c r="F205" i="6"/>
  <c r="F204" i="6"/>
  <c r="D204" i="6"/>
  <c r="I204" i="6"/>
  <c r="C204" i="6"/>
  <c r="B204" i="6"/>
  <c r="Z203" i="6"/>
  <c r="Y203" i="6"/>
  <c r="X203" i="6"/>
  <c r="G202" i="6"/>
  <c r="E202" i="6"/>
  <c r="J201" i="6"/>
  <c r="E201" i="6"/>
  <c r="J200" i="6"/>
  <c r="E200" i="6"/>
  <c r="J199" i="6"/>
  <c r="G199" i="6"/>
  <c r="F199" i="6"/>
  <c r="J198" i="6"/>
  <c r="G198" i="6"/>
  <c r="F198" i="6"/>
  <c r="J197" i="6"/>
  <c r="G197" i="6"/>
  <c r="F197" i="6"/>
  <c r="J196" i="6"/>
  <c r="G196" i="6"/>
  <c r="F196" i="6"/>
  <c r="F194" i="6"/>
  <c r="D194" i="6"/>
  <c r="I194" i="6"/>
  <c r="C194" i="6"/>
  <c r="B194" i="6"/>
  <c r="Z193" i="6"/>
  <c r="Y193" i="6"/>
  <c r="X193" i="6"/>
  <c r="J192" i="6"/>
  <c r="G192" i="6"/>
  <c r="F192" i="6"/>
  <c r="D192" i="6"/>
  <c r="I192" i="6"/>
  <c r="B192" i="6"/>
  <c r="Z191" i="6"/>
  <c r="Y191" i="6"/>
  <c r="X191" i="6"/>
  <c r="J190" i="6"/>
  <c r="G190" i="6"/>
  <c r="F190" i="6"/>
  <c r="D190" i="6"/>
  <c r="I190" i="6"/>
  <c r="B190" i="6"/>
  <c r="Z189" i="6"/>
  <c r="Y189" i="6"/>
  <c r="W189" i="6"/>
  <c r="G188" i="6"/>
  <c r="E188" i="6"/>
  <c r="J187" i="6"/>
  <c r="E187" i="6"/>
  <c r="J186" i="6"/>
  <c r="E186" i="6"/>
  <c r="J185" i="6"/>
  <c r="G185" i="6"/>
  <c r="F185" i="6"/>
  <c r="J184" i="6"/>
  <c r="G184" i="6"/>
  <c r="F184" i="6"/>
  <c r="J183" i="6"/>
  <c r="G183" i="6"/>
  <c r="F183" i="6"/>
  <c r="J182" i="6"/>
  <c r="G182" i="6"/>
  <c r="F182" i="6"/>
  <c r="F181" i="6"/>
  <c r="D181" i="6"/>
  <c r="I181" i="6"/>
  <c r="C181" i="6"/>
  <c r="B181" i="6"/>
  <c r="Z180" i="6"/>
  <c r="Y180" i="6"/>
  <c r="X180" i="6"/>
  <c r="G179" i="6"/>
  <c r="E179" i="6"/>
  <c r="J178" i="6"/>
  <c r="E178" i="6"/>
  <c r="J177" i="6"/>
  <c r="E177" i="6"/>
  <c r="J176" i="6"/>
  <c r="G176" i="6"/>
  <c r="F176" i="6"/>
  <c r="J175" i="6"/>
  <c r="G175" i="6"/>
  <c r="F175" i="6"/>
  <c r="J174" i="6"/>
  <c r="G174" i="6"/>
  <c r="F174" i="6"/>
  <c r="J173" i="6"/>
  <c r="G173" i="6"/>
  <c r="F173" i="6"/>
  <c r="F172" i="6"/>
  <c r="D172" i="6"/>
  <c r="I172" i="6"/>
  <c r="C172" i="6"/>
  <c r="B172" i="6"/>
  <c r="B171" i="6"/>
  <c r="Z169" i="6"/>
  <c r="Y169" i="6"/>
  <c r="X169" i="6"/>
  <c r="J168" i="6"/>
  <c r="G168" i="6"/>
  <c r="F168" i="6"/>
  <c r="E168" i="6"/>
  <c r="D168" i="6"/>
  <c r="I168" i="6"/>
  <c r="B168" i="6"/>
  <c r="Z167" i="6"/>
  <c r="Y167" i="6"/>
  <c r="X167" i="6"/>
  <c r="J166" i="6"/>
  <c r="G166" i="6"/>
  <c r="F166" i="6"/>
  <c r="E166" i="6"/>
  <c r="D166" i="6"/>
  <c r="I166" i="6"/>
  <c r="B166" i="6"/>
  <c r="Z165" i="6"/>
  <c r="Y165" i="6"/>
  <c r="X165" i="6"/>
  <c r="J164" i="6"/>
  <c r="G164" i="6"/>
  <c r="F164" i="6"/>
  <c r="E164" i="6"/>
  <c r="D164" i="6"/>
  <c r="I164" i="6"/>
  <c r="B164" i="6"/>
  <c r="Z163" i="6"/>
  <c r="Y163" i="6"/>
  <c r="X163" i="6"/>
  <c r="J162" i="6"/>
  <c r="G162" i="6"/>
  <c r="F162" i="6"/>
  <c r="D162" i="6"/>
  <c r="I162" i="6"/>
  <c r="B162" i="6"/>
  <c r="Z161" i="6"/>
  <c r="Y161" i="6"/>
  <c r="X161" i="6"/>
  <c r="G160" i="6"/>
  <c r="E160" i="6"/>
  <c r="J159" i="6"/>
  <c r="E159" i="6"/>
  <c r="J158" i="6"/>
  <c r="E158" i="6"/>
  <c r="J157" i="6"/>
  <c r="G157" i="6"/>
  <c r="F157" i="6"/>
  <c r="J156" i="6"/>
  <c r="G156" i="6"/>
  <c r="F156" i="6"/>
  <c r="J155" i="6"/>
  <c r="G155" i="6"/>
  <c r="F155" i="6"/>
  <c r="F154" i="6"/>
  <c r="D154" i="6"/>
  <c r="I154" i="6"/>
  <c r="C154" i="6"/>
  <c r="B154" i="6"/>
  <c r="Z153" i="6"/>
  <c r="Y153" i="6"/>
  <c r="X153" i="6"/>
  <c r="J152" i="6"/>
  <c r="G152" i="6"/>
  <c r="F152" i="6"/>
  <c r="E152" i="6"/>
  <c r="D152" i="6"/>
  <c r="I152" i="6"/>
  <c r="B152" i="6"/>
  <c r="Z151" i="6"/>
  <c r="Y151" i="6"/>
  <c r="X151" i="6"/>
  <c r="J150" i="6"/>
  <c r="G150" i="6"/>
  <c r="F150" i="6"/>
  <c r="E150" i="6"/>
  <c r="D150" i="6"/>
  <c r="I150" i="6"/>
  <c r="B150" i="6"/>
  <c r="Z149" i="6"/>
  <c r="Y149" i="6"/>
  <c r="X149" i="6"/>
  <c r="J148" i="6"/>
  <c r="G148" i="6"/>
  <c r="F148" i="6"/>
  <c r="E148" i="6"/>
  <c r="D148" i="6"/>
  <c r="I148" i="6"/>
  <c r="B148" i="6"/>
  <c r="Z147" i="6"/>
  <c r="Y147" i="6"/>
  <c r="X147" i="6"/>
  <c r="J146" i="6"/>
  <c r="Z146" i="6"/>
  <c r="Y146" i="6"/>
  <c r="X146" i="6"/>
  <c r="F146" i="6"/>
  <c r="D146" i="6"/>
  <c r="C146" i="6"/>
  <c r="B146" i="6"/>
  <c r="J145" i="6"/>
  <c r="Z145" i="6"/>
  <c r="Y145" i="6"/>
  <c r="X145" i="6"/>
  <c r="F145" i="6"/>
  <c r="D145" i="6"/>
  <c r="C145" i="6"/>
  <c r="B145" i="6"/>
  <c r="G144" i="6"/>
  <c r="E144" i="6"/>
  <c r="J143" i="6"/>
  <c r="E143" i="6"/>
  <c r="J142" i="6"/>
  <c r="E142" i="6"/>
  <c r="J141" i="6"/>
  <c r="G141" i="6"/>
  <c r="F141" i="6"/>
  <c r="J140" i="6"/>
  <c r="G140" i="6"/>
  <c r="F140" i="6"/>
  <c r="J139" i="6"/>
  <c r="G139" i="6"/>
  <c r="F139" i="6"/>
  <c r="J138" i="6"/>
  <c r="G138" i="6"/>
  <c r="F138" i="6"/>
  <c r="F136" i="6"/>
  <c r="D136" i="6"/>
  <c r="I136" i="6"/>
  <c r="C136" i="6"/>
  <c r="B136" i="6"/>
  <c r="Z135" i="6"/>
  <c r="Y135" i="6"/>
  <c r="X135" i="6"/>
  <c r="J134" i="6"/>
  <c r="G134" i="6"/>
  <c r="F134" i="6"/>
  <c r="D134" i="6"/>
  <c r="I134" i="6"/>
  <c r="B134" i="6"/>
  <c r="Z133" i="6"/>
  <c r="Y133" i="6"/>
  <c r="W133" i="6"/>
  <c r="G132" i="6"/>
  <c r="E132" i="6"/>
  <c r="J131" i="6"/>
  <c r="E131" i="6"/>
  <c r="J130" i="6"/>
  <c r="E130" i="6"/>
  <c r="J129" i="6"/>
  <c r="G129" i="6"/>
  <c r="F129" i="6"/>
  <c r="J128" i="6"/>
  <c r="G128" i="6"/>
  <c r="F128" i="6"/>
  <c r="J127" i="6"/>
  <c r="G127" i="6"/>
  <c r="F127" i="6"/>
  <c r="J126" i="6"/>
  <c r="G126" i="6"/>
  <c r="F126" i="6"/>
  <c r="F125" i="6"/>
  <c r="D125" i="6"/>
  <c r="I125" i="6"/>
  <c r="C125" i="6"/>
  <c r="B125" i="6"/>
  <c r="Z124" i="6"/>
  <c r="Y124" i="6"/>
  <c r="X124" i="6"/>
  <c r="J123" i="6"/>
  <c r="G123" i="6"/>
  <c r="F123" i="6"/>
  <c r="E123" i="6"/>
  <c r="D123" i="6"/>
  <c r="I123" i="6"/>
  <c r="B123" i="6"/>
  <c r="Z122" i="6"/>
  <c r="Y122" i="6"/>
  <c r="X122" i="6"/>
  <c r="J121" i="6"/>
  <c r="G121" i="6"/>
  <c r="F121" i="6"/>
  <c r="E121" i="6"/>
  <c r="D121" i="6"/>
  <c r="I121" i="6"/>
  <c r="B121" i="6"/>
  <c r="Z120" i="6"/>
  <c r="Y120" i="6"/>
  <c r="X120" i="6"/>
  <c r="J119" i="6"/>
  <c r="G119" i="6"/>
  <c r="F119" i="6"/>
  <c r="E119" i="6"/>
  <c r="D119" i="6"/>
  <c r="I119" i="6"/>
  <c r="B119" i="6"/>
  <c r="Z118" i="6"/>
  <c r="Y118" i="6"/>
  <c r="X118" i="6"/>
  <c r="J116" i="6"/>
  <c r="G116" i="6"/>
  <c r="F116" i="6"/>
  <c r="D116" i="6"/>
  <c r="I116" i="6"/>
  <c r="B116" i="6"/>
  <c r="Z115" i="6"/>
  <c r="Y115" i="6"/>
  <c r="X115" i="6"/>
  <c r="J114" i="6"/>
  <c r="Z114" i="6"/>
  <c r="Y114" i="6"/>
  <c r="X114" i="6"/>
  <c r="F114" i="6"/>
  <c r="D114" i="6"/>
  <c r="C114" i="6"/>
  <c r="B114" i="6"/>
  <c r="J113" i="6"/>
  <c r="Z113" i="6"/>
  <c r="Y113" i="6"/>
  <c r="X113" i="6"/>
  <c r="F113" i="6"/>
  <c r="D113" i="6"/>
  <c r="C113" i="6"/>
  <c r="B113" i="6"/>
  <c r="J112" i="6"/>
  <c r="Z112" i="6"/>
  <c r="Y112" i="6"/>
  <c r="X112" i="6"/>
  <c r="F112" i="6"/>
  <c r="D112" i="6"/>
  <c r="C112" i="6"/>
  <c r="B112" i="6"/>
  <c r="G111" i="6"/>
  <c r="E111" i="6"/>
  <c r="J110" i="6"/>
  <c r="E110" i="6"/>
  <c r="J109" i="6"/>
  <c r="E109" i="6"/>
  <c r="J108" i="6"/>
  <c r="G108" i="6"/>
  <c r="F108" i="6"/>
  <c r="J107" i="6"/>
  <c r="G107" i="6"/>
  <c r="F107" i="6"/>
  <c r="J106" i="6"/>
  <c r="G106" i="6"/>
  <c r="F106" i="6"/>
  <c r="J105" i="6"/>
  <c r="G105" i="6"/>
  <c r="F105" i="6"/>
  <c r="F103" i="6"/>
  <c r="D103" i="6"/>
  <c r="I103" i="6"/>
  <c r="C103" i="6"/>
  <c r="B103" i="6"/>
  <c r="Z102" i="6"/>
  <c r="Y102" i="6"/>
  <c r="X102" i="6"/>
  <c r="J100" i="6"/>
  <c r="G100" i="6"/>
  <c r="F100" i="6"/>
  <c r="D100" i="6"/>
  <c r="I100" i="6"/>
  <c r="B100" i="6"/>
  <c r="Z99" i="6"/>
  <c r="Y99" i="6"/>
  <c r="X99" i="6"/>
  <c r="J97" i="6"/>
  <c r="G97" i="6"/>
  <c r="F97" i="6"/>
  <c r="D97" i="6"/>
  <c r="I97" i="6"/>
  <c r="B97" i="6"/>
  <c r="Z96" i="6"/>
  <c r="Y96" i="6"/>
  <c r="X96" i="6"/>
  <c r="J95" i="6"/>
  <c r="G95" i="6"/>
  <c r="F95" i="6"/>
  <c r="E95" i="6"/>
  <c r="D95" i="6"/>
  <c r="I95" i="6"/>
  <c r="B95" i="6"/>
  <c r="Z94" i="6"/>
  <c r="Y94" i="6"/>
  <c r="X94" i="6"/>
  <c r="G93" i="6"/>
  <c r="E93" i="6"/>
  <c r="J92" i="6"/>
  <c r="E92" i="6"/>
  <c r="J91" i="6"/>
  <c r="E91" i="6"/>
  <c r="J90" i="6"/>
  <c r="G90" i="6"/>
  <c r="F90" i="6"/>
  <c r="J89" i="6"/>
  <c r="G89" i="6"/>
  <c r="F89" i="6"/>
  <c r="J88" i="6"/>
  <c r="G88" i="6"/>
  <c r="F88" i="6"/>
  <c r="J87" i="6"/>
  <c r="G87" i="6"/>
  <c r="F87" i="6"/>
  <c r="F86" i="6"/>
  <c r="D86" i="6"/>
  <c r="I86" i="6"/>
  <c r="C86" i="6"/>
  <c r="B86" i="6"/>
  <c r="A85" i="6"/>
  <c r="Z80" i="6"/>
  <c r="Y80" i="6"/>
  <c r="X80" i="6"/>
  <c r="J79" i="6"/>
  <c r="G79" i="6"/>
  <c r="F79" i="6"/>
  <c r="D79" i="6"/>
  <c r="I79" i="6"/>
  <c r="B79" i="6"/>
  <c r="Z78" i="6"/>
  <c r="Y78" i="6"/>
  <c r="X78" i="6"/>
  <c r="J77" i="6"/>
  <c r="G77" i="6"/>
  <c r="F77" i="6"/>
  <c r="D77" i="6"/>
  <c r="I77" i="6"/>
  <c r="C77" i="6"/>
  <c r="B77" i="6"/>
  <c r="Z76" i="6"/>
  <c r="Y76" i="6"/>
  <c r="X76" i="6"/>
  <c r="J75" i="6"/>
  <c r="G75" i="6"/>
  <c r="F75" i="6"/>
  <c r="D75" i="6"/>
  <c r="I75" i="6"/>
  <c r="C75" i="6"/>
  <c r="B75" i="6"/>
  <c r="Z74" i="6"/>
  <c r="Y74" i="6"/>
  <c r="X74" i="6"/>
  <c r="J73" i="6"/>
  <c r="G73" i="6"/>
  <c r="F73" i="6"/>
  <c r="D73" i="6"/>
  <c r="I73" i="6"/>
  <c r="C73" i="6"/>
  <c r="B73" i="6"/>
  <c r="Z72" i="6"/>
  <c r="Y72" i="6"/>
  <c r="X72" i="6"/>
  <c r="J71" i="6"/>
  <c r="G71" i="6"/>
  <c r="F71" i="6"/>
  <c r="D71" i="6"/>
  <c r="I71" i="6"/>
  <c r="C71" i="6"/>
  <c r="B71" i="6"/>
  <c r="Z70" i="6"/>
  <c r="Y70" i="6"/>
  <c r="X70" i="6"/>
  <c r="J69" i="6"/>
  <c r="G69" i="6"/>
  <c r="F69" i="6"/>
  <c r="D69" i="6"/>
  <c r="I69" i="6"/>
  <c r="C69" i="6"/>
  <c r="B69" i="6"/>
  <c r="Z68" i="6"/>
  <c r="Y68" i="6"/>
  <c r="X68" i="6"/>
  <c r="G67" i="6"/>
  <c r="E67" i="6"/>
  <c r="J66" i="6"/>
  <c r="E66" i="6"/>
  <c r="J65" i="6"/>
  <c r="E65" i="6"/>
  <c r="J64" i="6"/>
  <c r="G64" i="6"/>
  <c r="F64" i="6"/>
  <c r="J63" i="6"/>
  <c r="G63" i="6"/>
  <c r="F63" i="6"/>
  <c r="J62" i="6"/>
  <c r="G62" i="6"/>
  <c r="F62" i="6"/>
  <c r="F60" i="6"/>
  <c r="D60" i="6"/>
  <c r="I60" i="6"/>
  <c r="C60" i="6"/>
  <c r="B60" i="6"/>
  <c r="Z59" i="6"/>
  <c r="Y59" i="6"/>
  <c r="X59" i="6"/>
  <c r="G58" i="6"/>
  <c r="E58" i="6"/>
  <c r="J57" i="6"/>
  <c r="E57" i="6"/>
  <c r="J56" i="6"/>
  <c r="E56" i="6"/>
  <c r="J55" i="6"/>
  <c r="G55" i="6"/>
  <c r="F55" i="6"/>
  <c r="J54" i="6"/>
  <c r="G54" i="6"/>
  <c r="F54" i="6"/>
  <c r="J53" i="6"/>
  <c r="G53" i="6"/>
  <c r="F53" i="6"/>
  <c r="F51" i="6"/>
  <c r="D51" i="6"/>
  <c r="I51" i="6"/>
  <c r="C51" i="6"/>
  <c r="B51" i="6"/>
  <c r="Z50" i="6"/>
  <c r="Y50" i="6"/>
  <c r="X50" i="6"/>
  <c r="G49" i="6"/>
  <c r="E49" i="6"/>
  <c r="J48" i="6"/>
  <c r="E48" i="6"/>
  <c r="J47" i="6"/>
  <c r="E47" i="6"/>
  <c r="J46" i="6"/>
  <c r="G46" i="6"/>
  <c r="F46" i="6"/>
  <c r="J45" i="6"/>
  <c r="G45" i="6"/>
  <c r="F45" i="6"/>
  <c r="J44" i="6"/>
  <c r="G44" i="6"/>
  <c r="F44" i="6"/>
  <c r="F42" i="6"/>
  <c r="D42" i="6"/>
  <c r="I42" i="6"/>
  <c r="C42" i="6"/>
  <c r="B42" i="6"/>
  <c r="Z41" i="6"/>
  <c r="Y41" i="6"/>
  <c r="X41" i="6"/>
  <c r="G40" i="6"/>
  <c r="E40" i="6"/>
  <c r="J39" i="6"/>
  <c r="E39" i="6"/>
  <c r="J38" i="6"/>
  <c r="E38" i="6"/>
  <c r="J37" i="6"/>
  <c r="G37" i="6"/>
  <c r="F37" i="6"/>
  <c r="J36" i="6"/>
  <c r="G36" i="6"/>
  <c r="F36" i="6"/>
  <c r="F34" i="6"/>
  <c r="D34" i="6"/>
  <c r="I34" i="6"/>
  <c r="C34" i="6"/>
  <c r="B34" i="6"/>
  <c r="A33" i="6"/>
  <c r="A20" i="6"/>
  <c r="H6" i="6"/>
  <c r="B6" i="6"/>
  <c r="A1" i="6"/>
  <c r="A1" i="4" l="1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" i="3"/>
  <c r="Y1" i="3"/>
  <c r="CY1" i="3"/>
  <c r="CZ1" i="3"/>
  <c r="DB1" i="3" s="1"/>
  <c r="DA1" i="3"/>
  <c r="DC1" i="3"/>
  <c r="A2" i="3"/>
  <c r="Y2" i="3"/>
  <c r="CY2" i="3"/>
  <c r="CZ2" i="3"/>
  <c r="DB2" i="3" s="1"/>
  <c r="DA2" i="3"/>
  <c r="DC2" i="3"/>
  <c r="A3" i="3"/>
  <c r="Y3" i="3"/>
  <c r="CY3" i="3"/>
  <c r="CZ3" i="3"/>
  <c r="DB3" i="3" s="1"/>
  <c r="DA3" i="3"/>
  <c r="DC3" i="3"/>
  <c r="A4" i="3"/>
  <c r="Y4" i="3"/>
  <c r="CY4" i="3"/>
  <c r="CZ4" i="3"/>
  <c r="DB4" i="3" s="1"/>
  <c r="DA4" i="3"/>
  <c r="DC4" i="3"/>
  <c r="A5" i="3"/>
  <c r="Y5" i="3"/>
  <c r="CY5" i="3"/>
  <c r="CZ5" i="3"/>
  <c r="DA5" i="3"/>
  <c r="DB5" i="3"/>
  <c r="DC5" i="3"/>
  <c r="A6" i="3"/>
  <c r="Y6" i="3"/>
  <c r="CY6" i="3"/>
  <c r="CZ6" i="3"/>
  <c r="DB6" i="3" s="1"/>
  <c r="DA6" i="3"/>
  <c r="DC6" i="3"/>
  <c r="A7" i="3"/>
  <c r="Y7" i="3"/>
  <c r="CY7" i="3"/>
  <c r="CZ7" i="3"/>
  <c r="DB7" i="3" s="1"/>
  <c r="DA7" i="3"/>
  <c r="DC7" i="3"/>
  <c r="A8" i="3"/>
  <c r="Y8" i="3"/>
  <c r="CY8" i="3"/>
  <c r="CZ8" i="3"/>
  <c r="DA8" i="3"/>
  <c r="DB8" i="3"/>
  <c r="DC8" i="3"/>
  <c r="A9" i="3"/>
  <c r="Y9" i="3"/>
  <c r="CY9" i="3"/>
  <c r="CZ9" i="3"/>
  <c r="DA9" i="3"/>
  <c r="DB9" i="3"/>
  <c r="DC9" i="3"/>
  <c r="A10" i="3"/>
  <c r="Y10" i="3"/>
  <c r="CY10" i="3"/>
  <c r="CZ10" i="3"/>
  <c r="DB10" i="3" s="1"/>
  <c r="DA10" i="3"/>
  <c r="DC10" i="3"/>
  <c r="A11" i="3"/>
  <c r="Y11" i="3"/>
  <c r="CY11" i="3"/>
  <c r="CZ11" i="3"/>
  <c r="DB11" i="3" s="1"/>
  <c r="DA11" i="3"/>
  <c r="DC11" i="3"/>
  <c r="A12" i="3"/>
  <c r="Y12" i="3"/>
  <c r="CY12" i="3"/>
  <c r="CZ12" i="3"/>
  <c r="DB12" i="3" s="1"/>
  <c r="DA12" i="3"/>
  <c r="DC12" i="3"/>
  <c r="A13" i="3"/>
  <c r="Y13" i="3"/>
  <c r="CY13" i="3"/>
  <c r="CZ13" i="3"/>
  <c r="DA13" i="3"/>
  <c r="DB13" i="3"/>
  <c r="DC13" i="3"/>
  <c r="A14" i="3"/>
  <c r="Y14" i="3"/>
  <c r="CY14" i="3"/>
  <c r="CZ14" i="3"/>
  <c r="DA14" i="3"/>
  <c r="DB14" i="3"/>
  <c r="DC14" i="3"/>
  <c r="A15" i="3"/>
  <c r="Y15" i="3"/>
  <c r="CY15" i="3"/>
  <c r="CZ15" i="3"/>
  <c r="DB15" i="3" s="1"/>
  <c r="DA15" i="3"/>
  <c r="DC15" i="3"/>
  <c r="A16" i="3"/>
  <c r="Y16" i="3"/>
  <c r="CY16" i="3"/>
  <c r="CZ16" i="3"/>
  <c r="DB16" i="3" s="1"/>
  <c r="DA16" i="3"/>
  <c r="DC16" i="3"/>
  <c r="A17" i="3"/>
  <c r="Y17" i="3"/>
  <c r="CY17" i="3"/>
  <c r="CZ17" i="3"/>
  <c r="DA17" i="3"/>
  <c r="DB17" i="3"/>
  <c r="DC17" i="3"/>
  <c r="A18" i="3"/>
  <c r="Y18" i="3"/>
  <c r="CY18" i="3"/>
  <c r="CZ18" i="3"/>
  <c r="DB18" i="3" s="1"/>
  <c r="DA18" i="3"/>
  <c r="DC18" i="3"/>
  <c r="A19" i="3"/>
  <c r="Y19" i="3"/>
  <c r="CY19" i="3"/>
  <c r="CZ19" i="3"/>
  <c r="DB19" i="3" s="1"/>
  <c r="DA19" i="3"/>
  <c r="DC19" i="3"/>
  <c r="A20" i="3"/>
  <c r="Y20" i="3"/>
  <c r="CY20" i="3"/>
  <c r="CZ20" i="3"/>
  <c r="DB20" i="3" s="1"/>
  <c r="DA20" i="3"/>
  <c r="DC20" i="3"/>
  <c r="A21" i="3"/>
  <c r="Y21" i="3"/>
  <c r="CY21" i="3"/>
  <c r="CZ21" i="3"/>
  <c r="DB21" i="3" s="1"/>
  <c r="DA21" i="3"/>
  <c r="DC21" i="3"/>
  <c r="A22" i="3"/>
  <c r="Y22" i="3"/>
  <c r="CY22" i="3"/>
  <c r="CZ22" i="3"/>
  <c r="DA22" i="3"/>
  <c r="DB22" i="3"/>
  <c r="DC22" i="3"/>
  <c r="A23" i="3"/>
  <c r="Y23" i="3"/>
  <c r="CY23" i="3"/>
  <c r="CZ23" i="3"/>
  <c r="DB23" i="3" s="1"/>
  <c r="DA23" i="3"/>
  <c r="DC23" i="3"/>
  <c r="A24" i="3"/>
  <c r="Y24" i="3"/>
  <c r="CY24" i="3"/>
  <c r="CZ24" i="3"/>
  <c r="DB24" i="3" s="1"/>
  <c r="DA24" i="3"/>
  <c r="DC24" i="3"/>
  <c r="A25" i="3"/>
  <c r="Y25" i="3"/>
  <c r="CY25" i="3"/>
  <c r="CZ25" i="3"/>
  <c r="DA25" i="3"/>
  <c r="DB25" i="3"/>
  <c r="DC25" i="3"/>
  <c r="A26" i="3"/>
  <c r="Y26" i="3"/>
  <c r="CY26" i="3"/>
  <c r="CZ26" i="3"/>
  <c r="DB26" i="3" s="1"/>
  <c r="DA26" i="3"/>
  <c r="DC26" i="3"/>
  <c r="A27" i="3"/>
  <c r="Y27" i="3"/>
  <c r="CY27" i="3"/>
  <c r="CZ27" i="3"/>
  <c r="DB27" i="3" s="1"/>
  <c r="DA27" i="3"/>
  <c r="DC27" i="3"/>
  <c r="A28" i="3"/>
  <c r="Y28" i="3"/>
  <c r="CY28" i="3"/>
  <c r="CZ28" i="3"/>
  <c r="DB28" i="3" s="1"/>
  <c r="DA28" i="3"/>
  <c r="DC28" i="3"/>
  <c r="A29" i="3"/>
  <c r="Y29" i="3"/>
  <c r="CY29" i="3"/>
  <c r="CZ29" i="3"/>
  <c r="DB29" i="3" s="1"/>
  <c r="DA29" i="3"/>
  <c r="DC29" i="3"/>
  <c r="A30" i="3"/>
  <c r="Y30" i="3"/>
  <c r="CY30" i="3"/>
  <c r="CZ30" i="3"/>
  <c r="DA30" i="3"/>
  <c r="DB30" i="3"/>
  <c r="DC30" i="3"/>
  <c r="A31" i="3"/>
  <c r="Y31" i="3"/>
  <c r="CY31" i="3"/>
  <c r="CZ31" i="3"/>
  <c r="DA31" i="3"/>
  <c r="DB31" i="3"/>
  <c r="DC31" i="3"/>
  <c r="A32" i="3"/>
  <c r="Y32" i="3"/>
  <c r="CY32" i="3"/>
  <c r="CZ32" i="3"/>
  <c r="DB32" i="3" s="1"/>
  <c r="DA32" i="3"/>
  <c r="DC32" i="3"/>
  <c r="A33" i="3"/>
  <c r="Y33" i="3"/>
  <c r="CY33" i="3"/>
  <c r="CZ33" i="3"/>
  <c r="DB33" i="3" s="1"/>
  <c r="DA33" i="3"/>
  <c r="DC33" i="3"/>
  <c r="A34" i="3"/>
  <c r="Y34" i="3"/>
  <c r="CY34" i="3"/>
  <c r="CZ34" i="3"/>
  <c r="DB34" i="3" s="1"/>
  <c r="DA34" i="3"/>
  <c r="DC34" i="3"/>
  <c r="A35" i="3"/>
  <c r="Y35" i="3"/>
  <c r="CY35" i="3"/>
  <c r="CZ35" i="3"/>
  <c r="DB35" i="3" s="1"/>
  <c r="DA35" i="3"/>
  <c r="DC35" i="3"/>
  <c r="A36" i="3"/>
  <c r="Y36" i="3"/>
  <c r="CY36" i="3"/>
  <c r="CZ36" i="3"/>
  <c r="DB36" i="3" s="1"/>
  <c r="DA36" i="3"/>
  <c r="DC36" i="3"/>
  <c r="A37" i="3"/>
  <c r="Y37" i="3"/>
  <c r="CY37" i="3"/>
  <c r="CZ37" i="3"/>
  <c r="DB37" i="3" s="1"/>
  <c r="DA37" i="3"/>
  <c r="DC37" i="3"/>
  <c r="A38" i="3"/>
  <c r="Y38" i="3"/>
  <c r="CY38" i="3"/>
  <c r="CZ38" i="3"/>
  <c r="DB38" i="3" s="1"/>
  <c r="DA38" i="3"/>
  <c r="DC38" i="3"/>
  <c r="A39" i="3"/>
  <c r="Y39" i="3"/>
  <c r="CY39" i="3"/>
  <c r="CZ39" i="3"/>
  <c r="DA39" i="3"/>
  <c r="DB39" i="3"/>
  <c r="DC39" i="3"/>
  <c r="A40" i="3"/>
  <c r="Y40" i="3"/>
  <c r="CY40" i="3"/>
  <c r="CZ40" i="3"/>
  <c r="DA40" i="3"/>
  <c r="DB40" i="3"/>
  <c r="DC40" i="3"/>
  <c r="A41" i="3"/>
  <c r="Y41" i="3"/>
  <c r="CY41" i="3"/>
  <c r="CZ41" i="3"/>
  <c r="DB41" i="3" s="1"/>
  <c r="DA41" i="3"/>
  <c r="DC41" i="3"/>
  <c r="A42" i="3"/>
  <c r="Y42" i="3"/>
  <c r="CY42" i="3"/>
  <c r="CZ42" i="3"/>
  <c r="DB42" i="3" s="1"/>
  <c r="DA42" i="3"/>
  <c r="DC42" i="3"/>
  <c r="A43" i="3"/>
  <c r="Y43" i="3"/>
  <c r="CY43" i="3"/>
  <c r="CZ43" i="3"/>
  <c r="DB43" i="3" s="1"/>
  <c r="DA43" i="3"/>
  <c r="DC43" i="3"/>
  <c r="A44" i="3"/>
  <c r="Y44" i="3"/>
  <c r="CY44" i="3"/>
  <c r="CZ44" i="3"/>
  <c r="DB44" i="3" s="1"/>
  <c r="DA44" i="3"/>
  <c r="DC44" i="3"/>
  <c r="A45" i="3"/>
  <c r="Y45" i="3"/>
  <c r="CY45" i="3"/>
  <c r="CZ45" i="3"/>
  <c r="DA45" i="3"/>
  <c r="DB45" i="3"/>
  <c r="DC45" i="3"/>
  <c r="A46" i="3"/>
  <c r="Y46" i="3"/>
  <c r="CY46" i="3"/>
  <c r="CZ46" i="3"/>
  <c r="DB46" i="3" s="1"/>
  <c r="DA46" i="3"/>
  <c r="DC46" i="3"/>
  <c r="A47" i="3"/>
  <c r="Y47" i="3"/>
  <c r="CY47" i="3"/>
  <c r="CZ47" i="3"/>
  <c r="DB47" i="3" s="1"/>
  <c r="DA47" i="3"/>
  <c r="DC47" i="3"/>
  <c r="A48" i="3"/>
  <c r="Y48" i="3"/>
  <c r="CY48" i="3"/>
  <c r="CZ48" i="3"/>
  <c r="DA48" i="3"/>
  <c r="DB48" i="3"/>
  <c r="DC48" i="3"/>
  <c r="A49" i="3"/>
  <c r="Y49" i="3"/>
  <c r="CY49" i="3"/>
  <c r="CZ49" i="3"/>
  <c r="DA49" i="3"/>
  <c r="DB49" i="3"/>
  <c r="DC49" i="3"/>
  <c r="A50" i="3"/>
  <c r="Y50" i="3"/>
  <c r="CY50" i="3"/>
  <c r="CZ50" i="3"/>
  <c r="DB50" i="3" s="1"/>
  <c r="DA50" i="3"/>
  <c r="DC50" i="3"/>
  <c r="A51" i="3"/>
  <c r="Y51" i="3"/>
  <c r="CY51" i="3"/>
  <c r="CZ51" i="3"/>
  <c r="DB51" i="3" s="1"/>
  <c r="DA51" i="3"/>
  <c r="DC51" i="3"/>
  <c r="A52" i="3"/>
  <c r="Y52" i="3"/>
  <c r="CY52" i="3"/>
  <c r="CZ52" i="3"/>
  <c r="DB52" i="3" s="1"/>
  <c r="DA52" i="3"/>
  <c r="DC52" i="3"/>
  <c r="A53" i="3"/>
  <c r="Y53" i="3"/>
  <c r="CY53" i="3"/>
  <c r="CZ53" i="3"/>
  <c r="DA53" i="3"/>
  <c r="DB53" i="3"/>
  <c r="DC53" i="3"/>
  <c r="A54" i="3"/>
  <c r="Y54" i="3"/>
  <c r="CY54" i="3"/>
  <c r="CZ54" i="3"/>
  <c r="DA54" i="3"/>
  <c r="DB54" i="3"/>
  <c r="DC54" i="3"/>
  <c r="A55" i="3"/>
  <c r="Y55" i="3"/>
  <c r="CY55" i="3"/>
  <c r="CZ55" i="3"/>
  <c r="DB55" i="3" s="1"/>
  <c r="DA55" i="3"/>
  <c r="DC55" i="3"/>
  <c r="A56" i="3"/>
  <c r="Y56" i="3"/>
  <c r="CY56" i="3"/>
  <c r="CZ56" i="3"/>
  <c r="DB56" i="3" s="1"/>
  <c r="DA56" i="3"/>
  <c r="DC56" i="3"/>
  <c r="A57" i="3"/>
  <c r="Y57" i="3"/>
  <c r="CY57" i="3"/>
  <c r="CZ57" i="3"/>
  <c r="DA57" i="3"/>
  <c r="DB57" i="3"/>
  <c r="DC57" i="3"/>
  <c r="A58" i="3"/>
  <c r="Y58" i="3"/>
  <c r="CY58" i="3"/>
  <c r="CZ58" i="3"/>
  <c r="DB58" i="3" s="1"/>
  <c r="DA58" i="3"/>
  <c r="DC58" i="3"/>
  <c r="A59" i="3"/>
  <c r="Y59" i="3"/>
  <c r="CY59" i="3"/>
  <c r="CZ59" i="3"/>
  <c r="DB59" i="3" s="1"/>
  <c r="DA59" i="3"/>
  <c r="DC59" i="3"/>
  <c r="A60" i="3"/>
  <c r="Y60" i="3"/>
  <c r="CY60" i="3"/>
  <c r="CZ60" i="3"/>
  <c r="DB60" i="3" s="1"/>
  <c r="DA60" i="3"/>
  <c r="DC60" i="3"/>
  <c r="A61" i="3"/>
  <c r="Y61" i="3"/>
  <c r="CY61" i="3"/>
  <c r="CZ61" i="3"/>
  <c r="DA61" i="3"/>
  <c r="DB61" i="3"/>
  <c r="DC61" i="3"/>
  <c r="A62" i="3"/>
  <c r="Y62" i="3"/>
  <c r="CY62" i="3"/>
  <c r="CZ62" i="3"/>
  <c r="DA62" i="3"/>
  <c r="DB62" i="3"/>
  <c r="DC62" i="3"/>
  <c r="A63" i="3"/>
  <c r="Y63" i="3"/>
  <c r="CY63" i="3"/>
  <c r="CZ63" i="3"/>
  <c r="DB63" i="3" s="1"/>
  <c r="DA63" i="3"/>
  <c r="DC63" i="3"/>
  <c r="A64" i="3"/>
  <c r="Y64" i="3"/>
  <c r="CY64" i="3"/>
  <c r="CZ64" i="3"/>
  <c r="DB64" i="3" s="1"/>
  <c r="DA64" i="3"/>
  <c r="DC64" i="3"/>
  <c r="A65" i="3"/>
  <c r="Y65" i="3"/>
  <c r="CY65" i="3"/>
  <c r="CZ65" i="3"/>
  <c r="DA65" i="3"/>
  <c r="DB65" i="3"/>
  <c r="DC65" i="3"/>
  <c r="A66" i="3"/>
  <c r="Y66" i="3"/>
  <c r="CY66" i="3"/>
  <c r="CZ66" i="3"/>
  <c r="DB66" i="3" s="1"/>
  <c r="DA66" i="3"/>
  <c r="DC66" i="3"/>
  <c r="A67" i="3"/>
  <c r="Y67" i="3"/>
  <c r="CY67" i="3"/>
  <c r="CZ67" i="3"/>
  <c r="DB67" i="3" s="1"/>
  <c r="DA67" i="3"/>
  <c r="DC67" i="3"/>
  <c r="A68" i="3"/>
  <c r="Y68" i="3"/>
  <c r="CY68" i="3"/>
  <c r="CZ68" i="3"/>
  <c r="DB68" i="3" s="1"/>
  <c r="DA68" i="3"/>
  <c r="DC68" i="3"/>
  <c r="A69" i="3"/>
  <c r="Y69" i="3"/>
  <c r="CY69" i="3"/>
  <c r="CZ69" i="3"/>
  <c r="DA69" i="3"/>
  <c r="DB69" i="3"/>
  <c r="DC69" i="3"/>
  <c r="A70" i="3"/>
  <c r="Y70" i="3"/>
  <c r="CY70" i="3"/>
  <c r="CZ70" i="3"/>
  <c r="DA70" i="3"/>
  <c r="DB70" i="3"/>
  <c r="DC70" i="3"/>
  <c r="A71" i="3"/>
  <c r="Y71" i="3"/>
  <c r="CY71" i="3"/>
  <c r="CZ71" i="3"/>
  <c r="DB71" i="3" s="1"/>
  <c r="DA71" i="3"/>
  <c r="DC71" i="3"/>
  <c r="A72" i="3"/>
  <c r="Y72" i="3"/>
  <c r="CY72" i="3"/>
  <c r="CZ72" i="3"/>
  <c r="DB72" i="3" s="1"/>
  <c r="DA72" i="3"/>
  <c r="DC72" i="3"/>
  <c r="A73" i="3"/>
  <c r="Y73" i="3"/>
  <c r="CY73" i="3"/>
  <c r="CZ73" i="3"/>
  <c r="DB73" i="3" s="1"/>
  <c r="DA73" i="3"/>
  <c r="DC73" i="3"/>
  <c r="A74" i="3"/>
  <c r="Y74" i="3"/>
  <c r="CY74" i="3"/>
  <c r="CZ74" i="3"/>
  <c r="DB74" i="3" s="1"/>
  <c r="DA74" i="3"/>
  <c r="DC74" i="3"/>
  <c r="A75" i="3"/>
  <c r="Y75" i="3"/>
  <c r="CY75" i="3"/>
  <c r="CZ75" i="3"/>
  <c r="DB75" i="3" s="1"/>
  <c r="DA75" i="3"/>
  <c r="DC75" i="3"/>
  <c r="A76" i="3"/>
  <c r="Y76" i="3"/>
  <c r="CY76" i="3"/>
  <c r="CZ76" i="3"/>
  <c r="DB76" i="3" s="1"/>
  <c r="DA76" i="3"/>
  <c r="DC76" i="3"/>
  <c r="A77" i="3"/>
  <c r="Y77" i="3"/>
  <c r="CY77" i="3"/>
  <c r="CZ77" i="3"/>
  <c r="DA77" i="3"/>
  <c r="DB77" i="3"/>
  <c r="DC77" i="3"/>
  <c r="A78" i="3"/>
  <c r="Y78" i="3"/>
  <c r="CY78" i="3"/>
  <c r="CZ78" i="3"/>
  <c r="DB78" i="3" s="1"/>
  <c r="DA78" i="3"/>
  <c r="DC78" i="3"/>
  <c r="A79" i="3"/>
  <c r="Y79" i="3"/>
  <c r="CY79" i="3"/>
  <c r="CZ79" i="3"/>
  <c r="DB79" i="3" s="1"/>
  <c r="DA79" i="3"/>
  <c r="DC79" i="3"/>
  <c r="A80" i="3"/>
  <c r="Y80" i="3"/>
  <c r="CY80" i="3"/>
  <c r="CZ80" i="3"/>
  <c r="DA80" i="3"/>
  <c r="DB80" i="3"/>
  <c r="DC80" i="3"/>
  <c r="A81" i="3"/>
  <c r="Y81" i="3"/>
  <c r="CY81" i="3"/>
  <c r="CZ81" i="3"/>
  <c r="DA81" i="3"/>
  <c r="DB81" i="3"/>
  <c r="DC81" i="3"/>
  <c r="A82" i="3"/>
  <c r="Y82" i="3"/>
  <c r="CY82" i="3"/>
  <c r="CZ82" i="3"/>
  <c r="DB82" i="3" s="1"/>
  <c r="DA82" i="3"/>
  <c r="DC82" i="3"/>
  <c r="A83" i="3"/>
  <c r="Y83" i="3"/>
  <c r="CY83" i="3"/>
  <c r="CZ83" i="3"/>
  <c r="DB83" i="3" s="1"/>
  <c r="DA83" i="3"/>
  <c r="DC83" i="3"/>
  <c r="A84" i="3"/>
  <c r="Y84" i="3"/>
  <c r="CY84" i="3"/>
  <c r="CZ84" i="3"/>
  <c r="DB84" i="3" s="1"/>
  <c r="DA84" i="3"/>
  <c r="DC84" i="3"/>
  <c r="A85" i="3"/>
  <c r="Y85" i="3"/>
  <c r="CY85" i="3"/>
  <c r="CZ85" i="3"/>
  <c r="DA85" i="3"/>
  <c r="DB85" i="3"/>
  <c r="DC85" i="3"/>
  <c r="A86" i="3"/>
  <c r="Y86" i="3"/>
  <c r="CY86" i="3"/>
  <c r="CZ86" i="3"/>
  <c r="DA86" i="3"/>
  <c r="DB86" i="3"/>
  <c r="DC86" i="3"/>
  <c r="A87" i="3"/>
  <c r="Y87" i="3"/>
  <c r="CY87" i="3"/>
  <c r="CZ87" i="3"/>
  <c r="DB87" i="3" s="1"/>
  <c r="DA87" i="3"/>
  <c r="DC87" i="3"/>
  <c r="A88" i="3"/>
  <c r="Y88" i="3"/>
  <c r="CY88" i="3"/>
  <c r="CZ88" i="3"/>
  <c r="DB88" i="3" s="1"/>
  <c r="DA88" i="3"/>
  <c r="DC88" i="3"/>
  <c r="A89" i="3"/>
  <c r="Y89" i="3"/>
  <c r="CY89" i="3"/>
  <c r="CZ89" i="3"/>
  <c r="DA89" i="3"/>
  <c r="DB89" i="3"/>
  <c r="DC89" i="3"/>
  <c r="A90" i="3"/>
  <c r="Y90" i="3"/>
  <c r="CY90" i="3"/>
  <c r="CZ90" i="3"/>
  <c r="DB90" i="3" s="1"/>
  <c r="DA90" i="3"/>
  <c r="DC90" i="3"/>
  <c r="A91" i="3"/>
  <c r="Y91" i="3"/>
  <c r="CY91" i="3"/>
  <c r="CZ91" i="3"/>
  <c r="DB91" i="3" s="1"/>
  <c r="DA91" i="3"/>
  <c r="DC91" i="3"/>
  <c r="A92" i="3"/>
  <c r="Y92" i="3"/>
  <c r="CY92" i="3"/>
  <c r="CZ92" i="3"/>
  <c r="DB92" i="3" s="1"/>
  <c r="DA92" i="3"/>
  <c r="DC92" i="3"/>
  <c r="A93" i="3"/>
  <c r="Y93" i="3"/>
  <c r="CY93" i="3"/>
  <c r="CZ93" i="3"/>
  <c r="DB93" i="3" s="1"/>
  <c r="DA93" i="3"/>
  <c r="DC93" i="3"/>
  <c r="A94" i="3"/>
  <c r="Y94" i="3"/>
  <c r="CY94" i="3"/>
  <c r="CZ94" i="3"/>
  <c r="DA94" i="3"/>
  <c r="DB94" i="3"/>
  <c r="DC94" i="3"/>
  <c r="A95" i="3"/>
  <c r="Y95" i="3"/>
  <c r="CY95" i="3"/>
  <c r="CZ95" i="3"/>
  <c r="DA95" i="3"/>
  <c r="DB95" i="3"/>
  <c r="DC95" i="3"/>
  <c r="A96" i="3"/>
  <c r="Y96" i="3"/>
  <c r="CY96" i="3"/>
  <c r="CZ96" i="3"/>
  <c r="DB96" i="3" s="1"/>
  <c r="DA96" i="3"/>
  <c r="DC96" i="3"/>
  <c r="A97" i="3"/>
  <c r="Y97" i="3"/>
  <c r="CY97" i="3"/>
  <c r="CZ97" i="3"/>
  <c r="DB97" i="3" s="1"/>
  <c r="DA97" i="3"/>
  <c r="DC97" i="3"/>
  <c r="A98" i="3"/>
  <c r="Y98" i="3"/>
  <c r="CY98" i="3"/>
  <c r="CZ98" i="3"/>
  <c r="DB98" i="3" s="1"/>
  <c r="DA98" i="3"/>
  <c r="DC98" i="3"/>
  <c r="A99" i="3"/>
  <c r="Y99" i="3"/>
  <c r="CY99" i="3"/>
  <c r="CZ99" i="3"/>
  <c r="DB99" i="3" s="1"/>
  <c r="DA99" i="3"/>
  <c r="DC99" i="3"/>
  <c r="A100" i="3"/>
  <c r="Y100" i="3"/>
  <c r="CY100" i="3"/>
  <c r="CZ100" i="3"/>
  <c r="DB100" i="3" s="1"/>
  <c r="DA100" i="3"/>
  <c r="DC100" i="3"/>
  <c r="A101" i="3"/>
  <c r="Y101" i="3"/>
  <c r="CY101" i="3"/>
  <c r="CZ101" i="3"/>
  <c r="DA101" i="3"/>
  <c r="DB101" i="3"/>
  <c r="DC101" i="3"/>
  <c r="A102" i="3"/>
  <c r="Y102" i="3"/>
  <c r="CY102" i="3"/>
  <c r="CZ102" i="3"/>
  <c r="DA102" i="3"/>
  <c r="DB102" i="3"/>
  <c r="DC102" i="3"/>
  <c r="A103" i="3"/>
  <c r="Y103" i="3"/>
  <c r="CY103" i="3"/>
  <c r="CZ103" i="3"/>
  <c r="DB103" i="3" s="1"/>
  <c r="DA103" i="3"/>
  <c r="DC103" i="3"/>
  <c r="A104" i="3"/>
  <c r="Y104" i="3"/>
  <c r="CY104" i="3"/>
  <c r="CZ104" i="3"/>
  <c r="DB104" i="3" s="1"/>
  <c r="DA104" i="3"/>
  <c r="DC104" i="3"/>
  <c r="A105" i="3"/>
  <c r="Y105" i="3"/>
  <c r="CY105" i="3"/>
  <c r="CZ105" i="3"/>
  <c r="DB105" i="3" s="1"/>
  <c r="DA105" i="3"/>
  <c r="DC105" i="3"/>
  <c r="A106" i="3"/>
  <c r="Y106" i="3"/>
  <c r="CY106" i="3"/>
  <c r="CZ106" i="3"/>
  <c r="DB106" i="3" s="1"/>
  <c r="DA106" i="3"/>
  <c r="DC106" i="3"/>
  <c r="A107" i="3"/>
  <c r="Y107" i="3"/>
  <c r="CY107" i="3"/>
  <c r="CZ107" i="3"/>
  <c r="DA107" i="3"/>
  <c r="DB107" i="3"/>
  <c r="DC107" i="3"/>
  <c r="A108" i="3"/>
  <c r="Y108" i="3"/>
  <c r="CY108" i="3"/>
  <c r="CZ108" i="3"/>
  <c r="DB108" i="3" s="1"/>
  <c r="DA108" i="3"/>
  <c r="DC108" i="3"/>
  <c r="A109" i="3"/>
  <c r="Y109" i="3"/>
  <c r="CY109" i="3"/>
  <c r="CZ109" i="3"/>
  <c r="DB109" i="3" s="1"/>
  <c r="DA109" i="3"/>
  <c r="DC109" i="3"/>
  <c r="A110" i="3"/>
  <c r="Y110" i="3"/>
  <c r="CY110" i="3"/>
  <c r="CZ110" i="3"/>
  <c r="DB110" i="3" s="1"/>
  <c r="DA110" i="3"/>
  <c r="DC110" i="3"/>
  <c r="A111" i="3"/>
  <c r="Y111" i="3"/>
  <c r="CY111" i="3"/>
  <c r="CZ111" i="3"/>
  <c r="DB111" i="3" s="1"/>
  <c r="DA111" i="3"/>
  <c r="DC111" i="3"/>
  <c r="A112" i="3"/>
  <c r="Y112" i="3"/>
  <c r="CY112" i="3"/>
  <c r="CZ112" i="3"/>
  <c r="DB112" i="3" s="1"/>
  <c r="DA112" i="3"/>
  <c r="DC112" i="3"/>
  <c r="A113" i="3"/>
  <c r="Y113" i="3"/>
  <c r="CY113" i="3"/>
  <c r="CZ113" i="3"/>
  <c r="DB113" i="3" s="1"/>
  <c r="DA113" i="3"/>
  <c r="DC113" i="3"/>
  <c r="A114" i="3"/>
  <c r="Y114" i="3"/>
  <c r="CY114" i="3"/>
  <c r="CZ114" i="3"/>
  <c r="DB114" i="3" s="1"/>
  <c r="DA114" i="3"/>
  <c r="DC114" i="3"/>
  <c r="A115" i="3"/>
  <c r="Y115" i="3"/>
  <c r="CY115" i="3"/>
  <c r="CZ115" i="3"/>
  <c r="DB115" i="3" s="1"/>
  <c r="DA115" i="3"/>
  <c r="DC115" i="3"/>
  <c r="A116" i="3"/>
  <c r="Y116" i="3"/>
  <c r="CY116" i="3"/>
  <c r="CZ116" i="3"/>
  <c r="DB116" i="3" s="1"/>
  <c r="DA116" i="3"/>
  <c r="DC116" i="3"/>
  <c r="A117" i="3"/>
  <c r="Y117" i="3"/>
  <c r="CY117" i="3"/>
  <c r="CZ117" i="3"/>
  <c r="DA117" i="3"/>
  <c r="DB117" i="3"/>
  <c r="DC117" i="3"/>
  <c r="A118" i="3"/>
  <c r="Y118" i="3"/>
  <c r="CY118" i="3"/>
  <c r="CZ118" i="3"/>
  <c r="DA118" i="3"/>
  <c r="DB118" i="3"/>
  <c r="DC118" i="3"/>
  <c r="A119" i="3"/>
  <c r="Y119" i="3"/>
  <c r="CY119" i="3"/>
  <c r="CZ119" i="3"/>
  <c r="DB119" i="3" s="1"/>
  <c r="DA119" i="3"/>
  <c r="DC119" i="3"/>
  <c r="A120" i="3"/>
  <c r="Y120" i="3"/>
  <c r="CY120" i="3"/>
  <c r="CZ120" i="3"/>
  <c r="DB120" i="3" s="1"/>
  <c r="DA120" i="3"/>
  <c r="DC120" i="3"/>
  <c r="A121" i="3"/>
  <c r="Y121" i="3"/>
  <c r="CY121" i="3"/>
  <c r="CZ121" i="3"/>
  <c r="DB121" i="3" s="1"/>
  <c r="DA121" i="3"/>
  <c r="DC121" i="3"/>
  <c r="A122" i="3"/>
  <c r="Y122" i="3"/>
  <c r="CY122" i="3"/>
  <c r="CZ122" i="3"/>
  <c r="DB122" i="3" s="1"/>
  <c r="DA122" i="3"/>
  <c r="DC122" i="3"/>
  <c r="A123" i="3"/>
  <c r="Y123" i="3"/>
  <c r="CY123" i="3"/>
  <c r="CZ123" i="3"/>
  <c r="DA123" i="3"/>
  <c r="DB123" i="3"/>
  <c r="DC123" i="3"/>
  <c r="A124" i="3"/>
  <c r="Y124" i="3"/>
  <c r="CY124" i="3"/>
  <c r="CZ124" i="3"/>
  <c r="DB124" i="3" s="1"/>
  <c r="DA124" i="3"/>
  <c r="DC124" i="3"/>
  <c r="A125" i="3"/>
  <c r="Y125" i="3"/>
  <c r="CY125" i="3"/>
  <c r="CZ125" i="3"/>
  <c r="DB125" i="3" s="1"/>
  <c r="DA125" i="3"/>
  <c r="DC125" i="3"/>
  <c r="A126" i="3"/>
  <c r="Y126" i="3"/>
  <c r="CY126" i="3"/>
  <c r="CZ126" i="3"/>
  <c r="DA126" i="3"/>
  <c r="DB126" i="3"/>
  <c r="DC126" i="3"/>
  <c r="A127" i="3"/>
  <c r="Y127" i="3"/>
  <c r="CY127" i="3"/>
  <c r="CZ127" i="3"/>
  <c r="DB127" i="3" s="1"/>
  <c r="DA127" i="3"/>
  <c r="DC127" i="3"/>
  <c r="A128" i="3"/>
  <c r="Y128" i="3"/>
  <c r="CY128" i="3"/>
  <c r="CZ128" i="3"/>
  <c r="DB128" i="3" s="1"/>
  <c r="DA128" i="3"/>
  <c r="DC128" i="3"/>
  <c r="A129" i="3"/>
  <c r="Y129" i="3"/>
  <c r="CY129" i="3"/>
  <c r="CZ129" i="3"/>
  <c r="DB129" i="3" s="1"/>
  <c r="DA129" i="3"/>
  <c r="DC129" i="3"/>
  <c r="A130" i="3"/>
  <c r="Y130" i="3"/>
  <c r="CY130" i="3"/>
  <c r="CZ130" i="3"/>
  <c r="DB130" i="3" s="1"/>
  <c r="DA130" i="3"/>
  <c r="DC130" i="3"/>
  <c r="A131" i="3"/>
  <c r="Y131" i="3"/>
  <c r="CY131" i="3"/>
  <c r="CZ131" i="3"/>
  <c r="DA131" i="3"/>
  <c r="DB131" i="3"/>
  <c r="DC131" i="3"/>
  <c r="A132" i="3"/>
  <c r="Y132" i="3"/>
  <c r="CY132" i="3"/>
  <c r="CZ132" i="3"/>
  <c r="DB132" i="3" s="1"/>
  <c r="DA132" i="3"/>
  <c r="DC132" i="3"/>
  <c r="A133" i="3"/>
  <c r="Y133" i="3"/>
  <c r="CY133" i="3"/>
  <c r="CZ133" i="3"/>
  <c r="DB133" i="3" s="1"/>
  <c r="DA133" i="3"/>
  <c r="DC133" i="3"/>
  <c r="A134" i="3"/>
  <c r="Y134" i="3"/>
  <c r="CY134" i="3"/>
  <c r="CZ134" i="3"/>
  <c r="DB134" i="3" s="1"/>
  <c r="DA134" i="3"/>
  <c r="DC134" i="3"/>
  <c r="A135" i="3"/>
  <c r="Y135" i="3"/>
  <c r="CY135" i="3"/>
  <c r="CZ135" i="3"/>
  <c r="DB135" i="3" s="1"/>
  <c r="DA135" i="3"/>
  <c r="DC135" i="3"/>
  <c r="A136" i="3"/>
  <c r="Y136" i="3"/>
  <c r="CY136" i="3"/>
  <c r="CZ136" i="3"/>
  <c r="DB136" i="3" s="1"/>
  <c r="DA136" i="3"/>
  <c r="DC136" i="3"/>
  <c r="A137" i="3"/>
  <c r="Y137" i="3"/>
  <c r="CY137" i="3"/>
  <c r="CZ137" i="3"/>
  <c r="DB137" i="3" s="1"/>
  <c r="DA137" i="3"/>
  <c r="DC137" i="3"/>
  <c r="A138" i="3"/>
  <c r="Y138" i="3"/>
  <c r="CY138" i="3"/>
  <c r="CZ138" i="3"/>
  <c r="DB138" i="3" s="1"/>
  <c r="DA138" i="3"/>
  <c r="DC138" i="3"/>
  <c r="A139" i="3"/>
  <c r="Y139" i="3"/>
  <c r="CY139" i="3"/>
  <c r="CZ139" i="3"/>
  <c r="DA139" i="3"/>
  <c r="DB139" i="3"/>
  <c r="DC139" i="3"/>
  <c r="A140" i="3"/>
  <c r="Y140" i="3"/>
  <c r="CY140" i="3"/>
  <c r="CZ140" i="3"/>
  <c r="DB140" i="3" s="1"/>
  <c r="DA140" i="3"/>
  <c r="DC140" i="3"/>
  <c r="A141" i="3"/>
  <c r="Y141" i="3"/>
  <c r="CY141" i="3"/>
  <c r="CZ141" i="3"/>
  <c r="DB141" i="3" s="1"/>
  <c r="DA141" i="3"/>
  <c r="DC141" i="3"/>
  <c r="A142" i="3"/>
  <c r="Y142" i="3"/>
  <c r="CY142" i="3"/>
  <c r="CZ142" i="3"/>
  <c r="DA142" i="3"/>
  <c r="DB142" i="3"/>
  <c r="DC142" i="3"/>
  <c r="A143" i="3"/>
  <c r="Y143" i="3"/>
  <c r="CY143" i="3"/>
  <c r="CZ143" i="3"/>
  <c r="DA143" i="3"/>
  <c r="DB143" i="3"/>
  <c r="DC143" i="3"/>
  <c r="A144" i="3"/>
  <c r="Y144" i="3"/>
  <c r="CY144" i="3"/>
  <c r="CZ144" i="3"/>
  <c r="DB144" i="3" s="1"/>
  <c r="DA144" i="3"/>
  <c r="DC144" i="3"/>
  <c r="A145" i="3"/>
  <c r="Y145" i="3"/>
  <c r="CY145" i="3"/>
  <c r="CZ145" i="3"/>
  <c r="DB145" i="3" s="1"/>
  <c r="DA145" i="3"/>
  <c r="DC145" i="3"/>
  <c r="A146" i="3"/>
  <c r="Y146" i="3"/>
  <c r="CY146" i="3"/>
  <c r="CZ146" i="3"/>
  <c r="DB146" i="3" s="1"/>
  <c r="DA146" i="3"/>
  <c r="DC146" i="3"/>
  <c r="A147" i="3"/>
  <c r="Y147" i="3"/>
  <c r="CY147" i="3"/>
  <c r="CZ147" i="3"/>
  <c r="DB147" i="3" s="1"/>
  <c r="DA147" i="3"/>
  <c r="DC147" i="3"/>
  <c r="A148" i="3"/>
  <c r="Y148" i="3"/>
  <c r="CY148" i="3"/>
  <c r="CZ148" i="3"/>
  <c r="DA148" i="3"/>
  <c r="DB148" i="3"/>
  <c r="DC148" i="3"/>
  <c r="A149" i="3"/>
  <c r="Y149" i="3"/>
  <c r="CY149" i="3"/>
  <c r="CZ149" i="3"/>
  <c r="DB149" i="3" s="1"/>
  <c r="DA149" i="3"/>
  <c r="DC149" i="3"/>
  <c r="A150" i="3"/>
  <c r="Y150" i="3"/>
  <c r="CY150" i="3"/>
  <c r="CZ150" i="3"/>
  <c r="DA150" i="3"/>
  <c r="DB150" i="3"/>
  <c r="DC150" i="3"/>
  <c r="A151" i="3"/>
  <c r="Y151" i="3"/>
  <c r="CY151" i="3"/>
  <c r="CZ151" i="3"/>
  <c r="DA151" i="3"/>
  <c r="DB151" i="3"/>
  <c r="DC151" i="3"/>
  <c r="A152" i="3"/>
  <c r="Y152" i="3"/>
  <c r="CY152" i="3"/>
  <c r="CZ152" i="3"/>
  <c r="DB152" i="3" s="1"/>
  <c r="DA152" i="3"/>
  <c r="DC152" i="3"/>
  <c r="A153" i="3"/>
  <c r="Y153" i="3"/>
  <c r="CY153" i="3"/>
  <c r="CZ153" i="3"/>
  <c r="DA153" i="3"/>
  <c r="DB153" i="3"/>
  <c r="DC153" i="3"/>
  <c r="A154" i="3"/>
  <c r="Y154" i="3"/>
  <c r="CY154" i="3"/>
  <c r="CZ154" i="3"/>
  <c r="DB154" i="3" s="1"/>
  <c r="DA154" i="3"/>
  <c r="DC154" i="3"/>
  <c r="A155" i="3"/>
  <c r="Y155" i="3"/>
  <c r="CY155" i="3"/>
  <c r="CZ155" i="3"/>
  <c r="DB155" i="3" s="1"/>
  <c r="DA155" i="3"/>
  <c r="DC155" i="3"/>
  <c r="A156" i="3"/>
  <c r="Y156" i="3"/>
  <c r="CY156" i="3"/>
  <c r="CZ156" i="3"/>
  <c r="DA156" i="3"/>
  <c r="DB156" i="3"/>
  <c r="DC156" i="3"/>
  <c r="A157" i="3"/>
  <c r="Y157" i="3"/>
  <c r="CY157" i="3"/>
  <c r="CZ157" i="3"/>
  <c r="DB157" i="3" s="1"/>
  <c r="DA157" i="3"/>
  <c r="DC157" i="3"/>
  <c r="A158" i="3"/>
  <c r="Y158" i="3"/>
  <c r="CY158" i="3"/>
  <c r="CZ158" i="3"/>
  <c r="DB158" i="3" s="1"/>
  <c r="DA158" i="3"/>
  <c r="DC158" i="3"/>
  <c r="A159" i="3"/>
  <c r="Y159" i="3"/>
  <c r="CY159" i="3"/>
  <c r="CZ159" i="3"/>
  <c r="DA159" i="3"/>
  <c r="DB159" i="3"/>
  <c r="DC159" i="3"/>
  <c r="A160" i="3"/>
  <c r="Y160" i="3"/>
  <c r="CY160" i="3"/>
  <c r="CZ160" i="3"/>
  <c r="DB160" i="3" s="1"/>
  <c r="DA160" i="3"/>
  <c r="DC160" i="3"/>
  <c r="A161" i="3"/>
  <c r="Y161" i="3"/>
  <c r="CY161" i="3"/>
  <c r="CZ161" i="3"/>
  <c r="DB161" i="3" s="1"/>
  <c r="DA161" i="3"/>
  <c r="DC161" i="3"/>
  <c r="A162" i="3"/>
  <c r="Y162" i="3"/>
  <c r="CY162" i="3"/>
  <c r="CZ162" i="3"/>
  <c r="DB162" i="3" s="1"/>
  <c r="DA162" i="3"/>
  <c r="DC162" i="3"/>
  <c r="A163" i="3"/>
  <c r="Y163" i="3"/>
  <c r="CY163" i="3"/>
  <c r="CZ163" i="3"/>
  <c r="DB163" i="3" s="1"/>
  <c r="DA163" i="3"/>
  <c r="DC163" i="3"/>
  <c r="A164" i="3"/>
  <c r="Y164" i="3"/>
  <c r="CY164" i="3"/>
  <c r="CZ164" i="3"/>
  <c r="DA164" i="3"/>
  <c r="DB164" i="3"/>
  <c r="DC164" i="3"/>
  <c r="A165" i="3"/>
  <c r="Y165" i="3"/>
  <c r="CY165" i="3"/>
  <c r="CZ165" i="3"/>
  <c r="DB165" i="3" s="1"/>
  <c r="DA165" i="3"/>
  <c r="DC165" i="3"/>
  <c r="A166" i="3"/>
  <c r="Y166" i="3"/>
  <c r="CY166" i="3"/>
  <c r="CZ166" i="3"/>
  <c r="DB166" i="3" s="1"/>
  <c r="DA166" i="3"/>
  <c r="DC166" i="3"/>
  <c r="A167" i="3"/>
  <c r="Y167" i="3"/>
  <c r="CY167" i="3"/>
  <c r="CZ167" i="3"/>
  <c r="DA167" i="3"/>
  <c r="DB167" i="3"/>
  <c r="DC167" i="3"/>
  <c r="A168" i="3"/>
  <c r="Y168" i="3"/>
  <c r="CY168" i="3"/>
  <c r="CZ168" i="3"/>
  <c r="DB168" i="3" s="1"/>
  <c r="DA168" i="3"/>
  <c r="DC168" i="3"/>
  <c r="A169" i="3"/>
  <c r="Y169" i="3"/>
  <c r="CY169" i="3"/>
  <c r="CZ169" i="3"/>
  <c r="DB169" i="3" s="1"/>
  <c r="DA169" i="3"/>
  <c r="DC169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D24" i="1"/>
  <c r="E26" i="1"/>
  <c r="Z26" i="1"/>
  <c r="AA26" i="1"/>
  <c r="AM26" i="1"/>
  <c r="AN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C28" i="1"/>
  <c r="D28" i="1"/>
  <c r="I28" i="1"/>
  <c r="K28" i="1"/>
  <c r="AC28" i="1"/>
  <c r="CQ28" i="1" s="1"/>
  <c r="P28" i="1" s="1"/>
  <c r="AE28" i="1"/>
  <c r="AF28" i="1"/>
  <c r="AG28" i="1"/>
  <c r="CU28" i="1" s="1"/>
  <c r="T28" i="1" s="1"/>
  <c r="AH28" i="1"/>
  <c r="CV28" i="1" s="1"/>
  <c r="U28" i="1" s="1"/>
  <c r="AI28" i="1"/>
  <c r="CW28" i="1" s="1"/>
  <c r="AJ28" i="1"/>
  <c r="CR28" i="1"/>
  <c r="Q28" i="1" s="1"/>
  <c r="K37" i="6" s="1"/>
  <c r="CS28" i="1"/>
  <c r="CT28" i="1"/>
  <c r="CX28" i="1"/>
  <c r="FR28" i="1"/>
  <c r="GL28" i="1"/>
  <c r="GO28" i="1"/>
  <c r="GP28" i="1"/>
  <c r="GV28" i="1"/>
  <c r="HC28" i="1" s="1"/>
  <c r="C29" i="1"/>
  <c r="D29" i="1"/>
  <c r="I29" i="1"/>
  <c r="K29" i="1"/>
  <c r="AC29" i="1"/>
  <c r="AE29" i="1"/>
  <c r="AF29" i="1"/>
  <c r="AG29" i="1"/>
  <c r="CU29" i="1" s="1"/>
  <c r="AH29" i="1"/>
  <c r="AI29" i="1"/>
  <c r="AJ29" i="1"/>
  <c r="CR29" i="1"/>
  <c r="CV29" i="1"/>
  <c r="U29" i="1" s="1"/>
  <c r="CW29" i="1"/>
  <c r="CX29" i="1"/>
  <c r="FR29" i="1"/>
  <c r="GL29" i="1"/>
  <c r="GO29" i="1"/>
  <c r="GP29" i="1"/>
  <c r="GV29" i="1"/>
  <c r="HC29" i="1" s="1"/>
  <c r="GX29" i="1"/>
  <c r="C30" i="1"/>
  <c r="D30" i="1"/>
  <c r="I30" i="1"/>
  <c r="K30" i="1"/>
  <c r="AC30" i="1"/>
  <c r="CQ30" i="1" s="1"/>
  <c r="P30" i="1" s="1"/>
  <c r="AE30" i="1"/>
  <c r="AF30" i="1"/>
  <c r="AG30" i="1"/>
  <c r="CU30" i="1" s="1"/>
  <c r="T30" i="1" s="1"/>
  <c r="AH30" i="1"/>
  <c r="CV30" i="1" s="1"/>
  <c r="U30" i="1" s="1"/>
  <c r="AI30" i="1"/>
  <c r="AJ30" i="1"/>
  <c r="CS30" i="1"/>
  <c r="CT30" i="1"/>
  <c r="S30" i="1" s="1"/>
  <c r="K53" i="6" s="1"/>
  <c r="CW30" i="1"/>
  <c r="CX30" i="1"/>
  <c r="W30" i="1" s="1"/>
  <c r="FR30" i="1"/>
  <c r="GL30" i="1"/>
  <c r="GO30" i="1"/>
  <c r="GP30" i="1"/>
  <c r="GV30" i="1"/>
  <c r="HC30" i="1"/>
  <c r="GX30" i="1" s="1"/>
  <c r="C31" i="1"/>
  <c r="D31" i="1"/>
  <c r="I31" i="1"/>
  <c r="K31" i="1"/>
  <c r="AC31" i="1"/>
  <c r="AE31" i="1"/>
  <c r="AF31" i="1"/>
  <c r="AG31" i="1"/>
  <c r="CU31" i="1" s="1"/>
  <c r="T31" i="1" s="1"/>
  <c r="AH31" i="1"/>
  <c r="AI31" i="1"/>
  <c r="CW31" i="1" s="1"/>
  <c r="V31" i="1" s="1"/>
  <c r="AJ31" i="1"/>
  <c r="CR31" i="1"/>
  <c r="Q31" i="1" s="1"/>
  <c r="K63" i="6" s="1"/>
  <c r="CV31" i="1"/>
  <c r="U31" i="1" s="1"/>
  <c r="CX31" i="1"/>
  <c r="W31" i="1" s="1"/>
  <c r="FR31" i="1"/>
  <c r="GL31" i="1"/>
  <c r="GO31" i="1"/>
  <c r="GP31" i="1"/>
  <c r="GV31" i="1"/>
  <c r="HC31" i="1" s="1"/>
  <c r="GX31" i="1" s="1"/>
  <c r="I32" i="1"/>
  <c r="K32" i="1"/>
  <c r="O32" i="1"/>
  <c r="P32" i="1"/>
  <c r="Q32" i="1"/>
  <c r="R32" i="1"/>
  <c r="S32" i="1"/>
  <c r="T32" i="1"/>
  <c r="U32" i="1"/>
  <c r="L70" i="6" s="1"/>
  <c r="Q70" i="6" s="1"/>
  <c r="V32" i="1"/>
  <c r="W32" i="1"/>
  <c r="X32" i="1"/>
  <c r="T69" i="6" s="1"/>
  <c r="Y32" i="1"/>
  <c r="V69" i="6" s="1"/>
  <c r="AB32" i="1"/>
  <c r="AC32" i="1"/>
  <c r="AD32" i="1"/>
  <c r="AE32" i="1"/>
  <c r="AF32" i="1"/>
  <c r="AG32" i="1"/>
  <c r="AH32" i="1"/>
  <c r="AI32" i="1"/>
  <c r="AJ32" i="1"/>
  <c r="FR32" i="1"/>
  <c r="GL32" i="1"/>
  <c r="GO32" i="1"/>
  <c r="GP32" i="1"/>
  <c r="GV32" i="1"/>
  <c r="GX32" i="1"/>
  <c r="I33" i="1"/>
  <c r="O33" i="1"/>
  <c r="P33" i="1"/>
  <c r="Q33" i="1"/>
  <c r="R33" i="1"/>
  <c r="S33" i="1"/>
  <c r="T33" i="1"/>
  <c r="U33" i="1"/>
  <c r="L72" i="6" s="1"/>
  <c r="Q72" i="6" s="1"/>
  <c r="V33" i="1"/>
  <c r="W33" i="1"/>
  <c r="X33" i="1"/>
  <c r="T71" i="6" s="1"/>
  <c r="Y33" i="1"/>
  <c r="V71" i="6" s="1"/>
  <c r="AB33" i="1"/>
  <c r="AC33" i="1"/>
  <c r="AD33" i="1"/>
  <c r="AE33" i="1"/>
  <c r="AF33" i="1"/>
  <c r="AG33" i="1"/>
  <c r="AH33" i="1"/>
  <c r="AI33" i="1"/>
  <c r="AJ33" i="1"/>
  <c r="FR33" i="1"/>
  <c r="GL33" i="1"/>
  <c r="GO33" i="1"/>
  <c r="GP33" i="1"/>
  <c r="GV33" i="1"/>
  <c r="GX33" i="1"/>
  <c r="I34" i="1"/>
  <c r="K34" i="1"/>
  <c r="O34" i="1"/>
  <c r="P34" i="1"/>
  <c r="Q34" i="1"/>
  <c r="R34" i="1"/>
  <c r="S34" i="1"/>
  <c r="T34" i="1"/>
  <c r="U34" i="1"/>
  <c r="L74" i="6" s="1"/>
  <c r="Q74" i="6" s="1"/>
  <c r="V34" i="1"/>
  <c r="W34" i="1"/>
  <c r="X34" i="1"/>
  <c r="T73" i="6" s="1"/>
  <c r="Y34" i="1"/>
  <c r="V73" i="6" s="1"/>
  <c r="AB34" i="1"/>
  <c r="CP34" i="1" s="1"/>
  <c r="AC34" i="1"/>
  <c r="AD34" i="1"/>
  <c r="AE34" i="1"/>
  <c r="AF34" i="1"/>
  <c r="AG34" i="1"/>
  <c r="AH34" i="1"/>
  <c r="AI34" i="1"/>
  <c r="AJ34" i="1"/>
  <c r="FR34" i="1"/>
  <c r="GL34" i="1"/>
  <c r="GO34" i="1"/>
  <c r="GP34" i="1"/>
  <c r="GV34" i="1"/>
  <c r="GX34" i="1"/>
  <c r="O35" i="1"/>
  <c r="P35" i="1"/>
  <c r="Q35" i="1"/>
  <c r="R35" i="1"/>
  <c r="S35" i="1"/>
  <c r="T35" i="1"/>
  <c r="U35" i="1"/>
  <c r="L76" i="6" s="1"/>
  <c r="Q76" i="6" s="1"/>
  <c r="V35" i="1"/>
  <c r="W35" i="1"/>
  <c r="X35" i="1"/>
  <c r="T75" i="6" s="1"/>
  <c r="Y35" i="1"/>
  <c r="V75" i="6" s="1"/>
  <c r="AB35" i="1"/>
  <c r="CP35" i="1" s="1"/>
  <c r="AC35" i="1"/>
  <c r="AD35" i="1"/>
  <c r="AE35" i="1"/>
  <c r="AF35" i="1"/>
  <c r="AG35" i="1"/>
  <c r="AH35" i="1"/>
  <c r="AI35" i="1"/>
  <c r="AJ35" i="1"/>
  <c r="FR35" i="1"/>
  <c r="GL35" i="1"/>
  <c r="GO35" i="1"/>
  <c r="GP35" i="1"/>
  <c r="GV35" i="1"/>
  <c r="GX35" i="1"/>
  <c r="O36" i="1"/>
  <c r="P36" i="1"/>
  <c r="Q36" i="1"/>
  <c r="R36" i="1"/>
  <c r="S36" i="1"/>
  <c r="T36" i="1"/>
  <c r="U36" i="1"/>
  <c r="L78" i="6" s="1"/>
  <c r="Q78" i="6" s="1"/>
  <c r="V36" i="1"/>
  <c r="W36" i="1"/>
  <c r="X36" i="1"/>
  <c r="T77" i="6" s="1"/>
  <c r="Y36" i="1"/>
  <c r="V77" i="6" s="1"/>
  <c r="AB36" i="1"/>
  <c r="CP36" i="1" s="1"/>
  <c r="AC36" i="1"/>
  <c r="AD36" i="1"/>
  <c r="AE36" i="1"/>
  <c r="AF36" i="1"/>
  <c r="AG36" i="1"/>
  <c r="AH36" i="1"/>
  <c r="AI36" i="1"/>
  <c r="AJ36" i="1"/>
  <c r="FR36" i="1"/>
  <c r="GL36" i="1"/>
  <c r="GO36" i="1"/>
  <c r="GP36" i="1"/>
  <c r="GV36" i="1"/>
  <c r="GX36" i="1"/>
  <c r="AC37" i="1"/>
  <c r="AD37" i="1"/>
  <c r="AE37" i="1"/>
  <c r="CS37" i="1" s="1"/>
  <c r="AF37" i="1"/>
  <c r="AG37" i="1"/>
  <c r="CU37" i="1" s="1"/>
  <c r="AH37" i="1"/>
  <c r="CV37" i="1" s="1"/>
  <c r="AI37" i="1"/>
  <c r="CW37" i="1" s="1"/>
  <c r="AJ37" i="1"/>
  <c r="CR37" i="1"/>
  <c r="CX37" i="1"/>
  <c r="FR37" i="1"/>
  <c r="GL37" i="1"/>
  <c r="GO37" i="1"/>
  <c r="GP37" i="1"/>
  <c r="GV37" i="1"/>
  <c r="HC37" i="1" s="1"/>
  <c r="B39" i="1"/>
  <c r="B26" i="1" s="1"/>
  <c r="C39" i="1"/>
  <c r="C26" i="1" s="1"/>
  <c r="D39" i="1"/>
  <c r="D26" i="1" s="1"/>
  <c r="F39" i="1"/>
  <c r="F26" i="1" s="1"/>
  <c r="G39" i="1"/>
  <c r="BX39" i="1"/>
  <c r="CK39" i="1"/>
  <c r="BB39" i="1" s="1"/>
  <c r="CL39" i="1"/>
  <c r="CL26" i="1" s="1"/>
  <c r="D69" i="1"/>
  <c r="E71" i="1"/>
  <c r="Z71" i="1"/>
  <c r="AA71" i="1"/>
  <c r="AM71" i="1"/>
  <c r="AN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DB71" i="1"/>
  <c r="DC71" i="1"/>
  <c r="DD71" i="1"/>
  <c r="DE71" i="1"/>
  <c r="DF71" i="1"/>
  <c r="DG71" i="1"/>
  <c r="DH71" i="1"/>
  <c r="DI71" i="1"/>
  <c r="DJ71" i="1"/>
  <c r="DK71" i="1"/>
  <c r="DL71" i="1"/>
  <c r="DM71" i="1"/>
  <c r="DN71" i="1"/>
  <c r="DO71" i="1"/>
  <c r="DP71" i="1"/>
  <c r="DQ71" i="1"/>
  <c r="DR71" i="1"/>
  <c r="DS71" i="1"/>
  <c r="DT71" i="1"/>
  <c r="DU71" i="1"/>
  <c r="DV71" i="1"/>
  <c r="DW71" i="1"/>
  <c r="DX71" i="1"/>
  <c r="DY71" i="1"/>
  <c r="DZ71" i="1"/>
  <c r="EA71" i="1"/>
  <c r="EB71" i="1"/>
  <c r="EC71" i="1"/>
  <c r="ED71" i="1"/>
  <c r="EE71" i="1"/>
  <c r="EF71" i="1"/>
  <c r="EG71" i="1"/>
  <c r="EH71" i="1"/>
  <c r="EI71" i="1"/>
  <c r="EJ71" i="1"/>
  <c r="EK71" i="1"/>
  <c r="EL71" i="1"/>
  <c r="EM71" i="1"/>
  <c r="EN71" i="1"/>
  <c r="EO71" i="1"/>
  <c r="EP71" i="1"/>
  <c r="EQ71" i="1"/>
  <c r="ER71" i="1"/>
  <c r="ES71" i="1"/>
  <c r="ET71" i="1"/>
  <c r="EU71" i="1"/>
  <c r="EV71" i="1"/>
  <c r="EW71" i="1"/>
  <c r="EX71" i="1"/>
  <c r="EY71" i="1"/>
  <c r="EZ71" i="1"/>
  <c r="FA71" i="1"/>
  <c r="FB71" i="1"/>
  <c r="FC71" i="1"/>
  <c r="FD71" i="1"/>
  <c r="FE71" i="1"/>
  <c r="FF71" i="1"/>
  <c r="FG71" i="1"/>
  <c r="FH71" i="1"/>
  <c r="FI71" i="1"/>
  <c r="FJ71" i="1"/>
  <c r="FK71" i="1"/>
  <c r="FL71" i="1"/>
  <c r="FM71" i="1"/>
  <c r="FN71" i="1"/>
  <c r="FO71" i="1"/>
  <c r="FP71" i="1"/>
  <c r="FQ71" i="1"/>
  <c r="FR71" i="1"/>
  <c r="FS71" i="1"/>
  <c r="FT71" i="1"/>
  <c r="FU71" i="1"/>
  <c r="FV71" i="1"/>
  <c r="FW71" i="1"/>
  <c r="FX71" i="1"/>
  <c r="FY71" i="1"/>
  <c r="FZ71" i="1"/>
  <c r="GA71" i="1"/>
  <c r="GB71" i="1"/>
  <c r="GC71" i="1"/>
  <c r="GD71" i="1"/>
  <c r="GE71" i="1"/>
  <c r="GF71" i="1"/>
  <c r="GG71" i="1"/>
  <c r="GH71" i="1"/>
  <c r="GI71" i="1"/>
  <c r="GJ71" i="1"/>
  <c r="GK71" i="1"/>
  <c r="GL71" i="1"/>
  <c r="GM71" i="1"/>
  <c r="GN71" i="1"/>
  <c r="GO71" i="1"/>
  <c r="GP71" i="1"/>
  <c r="GQ71" i="1"/>
  <c r="GR71" i="1"/>
  <c r="GS71" i="1"/>
  <c r="GT71" i="1"/>
  <c r="GU71" i="1"/>
  <c r="GV71" i="1"/>
  <c r="GW71" i="1"/>
  <c r="GX71" i="1"/>
  <c r="C73" i="1"/>
  <c r="D73" i="1"/>
  <c r="I73" i="1"/>
  <c r="E86" i="6" s="1"/>
  <c r="K73" i="1"/>
  <c r="AC73" i="1"/>
  <c r="H90" i="6" s="1"/>
  <c r="AE73" i="1"/>
  <c r="CS73" i="1" s="1"/>
  <c r="R73" i="1" s="1"/>
  <c r="K89" i="6" s="1"/>
  <c r="AF73" i="1"/>
  <c r="AG73" i="1"/>
  <c r="AH73" i="1"/>
  <c r="CV73" i="1" s="1"/>
  <c r="U73" i="1" s="1"/>
  <c r="AI73" i="1"/>
  <c r="CW73" i="1" s="1"/>
  <c r="V73" i="1" s="1"/>
  <c r="AJ73" i="1"/>
  <c r="CX73" i="1" s="1"/>
  <c r="W73" i="1" s="1"/>
  <c r="CU73" i="1"/>
  <c r="T73" i="1" s="1"/>
  <c r="FR73" i="1"/>
  <c r="GL73" i="1"/>
  <c r="GO73" i="1"/>
  <c r="GP73" i="1"/>
  <c r="GV73" i="1"/>
  <c r="HC73" i="1" s="1"/>
  <c r="GX73" i="1" s="1"/>
  <c r="R74" i="1"/>
  <c r="AC74" i="1"/>
  <c r="H95" i="6" s="1"/>
  <c r="AE74" i="1"/>
  <c r="AD74" i="1" s="1"/>
  <c r="AB74" i="1" s="1"/>
  <c r="AF74" i="1"/>
  <c r="AG74" i="1"/>
  <c r="AH74" i="1"/>
  <c r="CV74" i="1" s="1"/>
  <c r="U74" i="1" s="1"/>
  <c r="L96" i="6" s="1"/>
  <c r="Q96" i="6" s="1"/>
  <c r="AI74" i="1"/>
  <c r="CW74" i="1" s="1"/>
  <c r="V74" i="1" s="1"/>
  <c r="AJ74" i="1"/>
  <c r="CX74" i="1" s="1"/>
  <c r="W74" i="1" s="1"/>
  <c r="CQ74" i="1"/>
  <c r="P74" i="1" s="1"/>
  <c r="K95" i="6" s="1"/>
  <c r="J96" i="6" s="1"/>
  <c r="P96" i="6" s="1"/>
  <c r="CS74" i="1"/>
  <c r="CU74" i="1"/>
  <c r="T74" i="1" s="1"/>
  <c r="FR74" i="1"/>
  <c r="GL74" i="1"/>
  <c r="GO74" i="1"/>
  <c r="GP74" i="1"/>
  <c r="GV74" i="1"/>
  <c r="HC74" i="1"/>
  <c r="GX74" i="1" s="1"/>
  <c r="I75" i="1"/>
  <c r="K75" i="1"/>
  <c r="AC75" i="1"/>
  <c r="AE75" i="1"/>
  <c r="AD75" i="1" s="1"/>
  <c r="AF75" i="1"/>
  <c r="AG75" i="1"/>
  <c r="AH75" i="1"/>
  <c r="CV75" i="1" s="1"/>
  <c r="AI75" i="1"/>
  <c r="CW75" i="1" s="1"/>
  <c r="V75" i="1" s="1"/>
  <c r="AJ75" i="1"/>
  <c r="CX75" i="1" s="1"/>
  <c r="W75" i="1" s="1"/>
  <c r="CQ75" i="1"/>
  <c r="P75" i="1" s="1"/>
  <c r="CS75" i="1"/>
  <c r="CU75" i="1"/>
  <c r="FR75" i="1"/>
  <c r="GL75" i="1"/>
  <c r="GO75" i="1"/>
  <c r="GP75" i="1"/>
  <c r="GV75" i="1"/>
  <c r="HC75" i="1" s="1"/>
  <c r="GX75" i="1" s="1"/>
  <c r="I76" i="1"/>
  <c r="K76" i="1"/>
  <c r="AC76" i="1"/>
  <c r="H100" i="6" s="1"/>
  <c r="AE76" i="1"/>
  <c r="AF76" i="1"/>
  <c r="AG76" i="1"/>
  <c r="CU76" i="1" s="1"/>
  <c r="T76" i="1" s="1"/>
  <c r="AH76" i="1"/>
  <c r="AI76" i="1"/>
  <c r="AJ76" i="1"/>
  <c r="CX76" i="1" s="1"/>
  <c r="W76" i="1" s="1"/>
  <c r="CR76" i="1"/>
  <c r="Q76" i="1" s="1"/>
  <c r="CV76" i="1"/>
  <c r="CW76" i="1"/>
  <c r="V76" i="1" s="1"/>
  <c r="FR76" i="1"/>
  <c r="GL76" i="1"/>
  <c r="GO76" i="1"/>
  <c r="GP76" i="1"/>
  <c r="GV76" i="1"/>
  <c r="HC76" i="1" s="1"/>
  <c r="GX76" i="1" s="1"/>
  <c r="C77" i="1"/>
  <c r="D77" i="1"/>
  <c r="I77" i="1"/>
  <c r="I78" i="1" s="1"/>
  <c r="E112" i="6" s="1"/>
  <c r="K77" i="1"/>
  <c r="AC77" i="1"/>
  <c r="AE77" i="1"/>
  <c r="AF77" i="1"/>
  <c r="AG77" i="1"/>
  <c r="CU77" i="1" s="1"/>
  <c r="T77" i="1" s="1"/>
  <c r="AH77" i="1"/>
  <c r="AI77" i="1"/>
  <c r="CW77" i="1" s="1"/>
  <c r="V77" i="1" s="1"/>
  <c r="AJ77" i="1"/>
  <c r="CX77" i="1" s="1"/>
  <c r="W77" i="1" s="1"/>
  <c r="CV77" i="1"/>
  <c r="U77" i="1" s="1"/>
  <c r="FR77" i="1"/>
  <c r="GL77" i="1"/>
  <c r="GO77" i="1"/>
  <c r="GP77" i="1"/>
  <c r="GV77" i="1"/>
  <c r="HC77" i="1" s="1"/>
  <c r="GX77" i="1" s="1"/>
  <c r="AC78" i="1"/>
  <c r="AE78" i="1"/>
  <c r="AD78" i="1" s="1"/>
  <c r="AF78" i="1"/>
  <c r="AG78" i="1"/>
  <c r="AH78" i="1"/>
  <c r="AI78" i="1"/>
  <c r="CW78" i="1" s="1"/>
  <c r="AJ78" i="1"/>
  <c r="CX78" i="1" s="1"/>
  <c r="CR78" i="1"/>
  <c r="Q78" i="1" s="1"/>
  <c r="CS78" i="1"/>
  <c r="CT78" i="1"/>
  <c r="CU78" i="1"/>
  <c r="CV78" i="1"/>
  <c r="U78" i="1" s="1"/>
  <c r="FR78" i="1"/>
  <c r="GL78" i="1"/>
  <c r="GO78" i="1"/>
  <c r="GP78" i="1"/>
  <c r="GV78" i="1"/>
  <c r="HC78" i="1" s="1"/>
  <c r="I79" i="1"/>
  <c r="P79" i="1"/>
  <c r="AC79" i="1"/>
  <c r="AE79" i="1"/>
  <c r="CS79" i="1" s="1"/>
  <c r="AF79" i="1"/>
  <c r="AG79" i="1"/>
  <c r="AH79" i="1"/>
  <c r="CV79" i="1" s="1"/>
  <c r="AI79" i="1"/>
  <c r="CW79" i="1" s="1"/>
  <c r="V79" i="1" s="1"/>
  <c r="AJ79" i="1"/>
  <c r="CQ79" i="1"/>
  <c r="CU79" i="1"/>
  <c r="CX79" i="1"/>
  <c r="W79" i="1" s="1"/>
  <c r="FR79" i="1"/>
  <c r="GL79" i="1"/>
  <c r="GO79" i="1"/>
  <c r="GP79" i="1"/>
  <c r="GV79" i="1"/>
  <c r="HC79" i="1" s="1"/>
  <c r="GX79" i="1" s="1"/>
  <c r="I80" i="1"/>
  <c r="E114" i="6" s="1"/>
  <c r="AC80" i="1"/>
  <c r="AD80" i="1"/>
  <c r="AE80" i="1"/>
  <c r="AF80" i="1"/>
  <c r="AG80" i="1"/>
  <c r="CU80" i="1" s="1"/>
  <c r="T80" i="1" s="1"/>
  <c r="AH80" i="1"/>
  <c r="CV80" i="1" s="1"/>
  <c r="AI80" i="1"/>
  <c r="AJ80" i="1"/>
  <c r="CX80" i="1" s="1"/>
  <c r="W80" i="1" s="1"/>
  <c r="CR80" i="1"/>
  <c r="CS80" i="1"/>
  <c r="CW80" i="1"/>
  <c r="V80" i="1" s="1"/>
  <c r="FR80" i="1"/>
  <c r="GL80" i="1"/>
  <c r="GO80" i="1"/>
  <c r="GP80" i="1"/>
  <c r="GV80" i="1"/>
  <c r="HC80" i="1" s="1"/>
  <c r="GX80" i="1" s="1"/>
  <c r="I81" i="1"/>
  <c r="K81" i="1"/>
  <c r="AC81" i="1"/>
  <c r="H116" i="6" s="1"/>
  <c r="W118" i="6" s="1"/>
  <c r="AE81" i="1"/>
  <c r="CR81" i="1" s="1"/>
  <c r="Q81" i="1" s="1"/>
  <c r="AF81" i="1"/>
  <c r="AG81" i="1"/>
  <c r="AH81" i="1"/>
  <c r="CV81" i="1" s="1"/>
  <c r="U81" i="1" s="1"/>
  <c r="L118" i="6" s="1"/>
  <c r="Q118" i="6" s="1"/>
  <c r="AI81" i="1"/>
  <c r="CW81" i="1" s="1"/>
  <c r="V81" i="1" s="1"/>
  <c r="AJ81" i="1"/>
  <c r="CX81" i="1" s="1"/>
  <c r="W81" i="1" s="1"/>
  <c r="CQ81" i="1"/>
  <c r="P81" i="1" s="1"/>
  <c r="CT81" i="1"/>
  <c r="S81" i="1" s="1"/>
  <c r="CU81" i="1"/>
  <c r="T81" i="1" s="1"/>
  <c r="FR81" i="1"/>
  <c r="GL81" i="1"/>
  <c r="GO81" i="1"/>
  <c r="GP81" i="1"/>
  <c r="GV81" i="1"/>
  <c r="HC81" i="1" s="1"/>
  <c r="GX81" i="1" s="1"/>
  <c r="AC82" i="1"/>
  <c r="AD82" i="1"/>
  <c r="AE82" i="1"/>
  <c r="AF82" i="1"/>
  <c r="AG82" i="1"/>
  <c r="AH82" i="1"/>
  <c r="CV82" i="1" s="1"/>
  <c r="U82" i="1" s="1"/>
  <c r="L120" i="6" s="1"/>
  <c r="Q120" i="6" s="1"/>
  <c r="AI82" i="1"/>
  <c r="CW82" i="1" s="1"/>
  <c r="V82" i="1" s="1"/>
  <c r="AJ82" i="1"/>
  <c r="CX82" i="1" s="1"/>
  <c r="W82" i="1" s="1"/>
  <c r="CT82" i="1"/>
  <c r="S82" i="1" s="1"/>
  <c r="CU82" i="1"/>
  <c r="T82" i="1" s="1"/>
  <c r="FR82" i="1"/>
  <c r="GL82" i="1"/>
  <c r="GO82" i="1"/>
  <c r="GP82" i="1"/>
  <c r="GV82" i="1"/>
  <c r="HC82" i="1" s="1"/>
  <c r="GX82" i="1" s="1"/>
  <c r="AC83" i="1"/>
  <c r="AD83" i="1"/>
  <c r="AE83" i="1"/>
  <c r="CS83" i="1" s="1"/>
  <c r="R83" i="1" s="1"/>
  <c r="AF83" i="1"/>
  <c r="AG83" i="1"/>
  <c r="AH83" i="1"/>
  <c r="CV83" i="1" s="1"/>
  <c r="U83" i="1" s="1"/>
  <c r="L122" i="6" s="1"/>
  <c r="Q122" i="6" s="1"/>
  <c r="AI83" i="1"/>
  <c r="CW83" i="1" s="1"/>
  <c r="V83" i="1" s="1"/>
  <c r="AJ83" i="1"/>
  <c r="CX83" i="1" s="1"/>
  <c r="W83" i="1" s="1"/>
  <c r="CQ83" i="1"/>
  <c r="P83" i="1" s="1"/>
  <c r="CR83" i="1"/>
  <c r="Q83" i="1" s="1"/>
  <c r="CT83" i="1"/>
  <c r="S83" i="1" s="1"/>
  <c r="CU83" i="1"/>
  <c r="T83" i="1" s="1"/>
  <c r="FR83" i="1"/>
  <c r="GL83" i="1"/>
  <c r="GO83" i="1"/>
  <c r="GP83" i="1"/>
  <c r="GV83" i="1"/>
  <c r="HC83" i="1" s="1"/>
  <c r="GX83" i="1" s="1"/>
  <c r="R84" i="1"/>
  <c r="AC84" i="1"/>
  <c r="AD84" i="1"/>
  <c r="AE84" i="1"/>
  <c r="CS84" i="1" s="1"/>
  <c r="AF84" i="1"/>
  <c r="AG84" i="1"/>
  <c r="CU84" i="1" s="1"/>
  <c r="T84" i="1" s="1"/>
  <c r="AH84" i="1"/>
  <c r="CV84" i="1" s="1"/>
  <c r="U84" i="1" s="1"/>
  <c r="L124" i="6" s="1"/>
  <c r="Q124" i="6" s="1"/>
  <c r="AI84" i="1"/>
  <c r="CW84" i="1" s="1"/>
  <c r="V84" i="1" s="1"/>
  <c r="AJ84" i="1"/>
  <c r="CR84" i="1"/>
  <c r="Q84" i="1" s="1"/>
  <c r="CT84" i="1"/>
  <c r="S84" i="1" s="1"/>
  <c r="CX84" i="1"/>
  <c r="W84" i="1" s="1"/>
  <c r="CY84" i="1"/>
  <c r="X84" i="1" s="1"/>
  <c r="T123" i="6" s="1"/>
  <c r="FR84" i="1"/>
  <c r="GL84" i="1"/>
  <c r="GO84" i="1"/>
  <c r="GP84" i="1"/>
  <c r="GV84" i="1"/>
  <c r="HC84" i="1" s="1"/>
  <c r="GX84" i="1" s="1"/>
  <c r="C85" i="1"/>
  <c r="D85" i="1"/>
  <c r="I85" i="1"/>
  <c r="E125" i="6" s="1"/>
  <c r="K85" i="1"/>
  <c r="AC85" i="1"/>
  <c r="AE85" i="1"/>
  <c r="AD85" i="1" s="1"/>
  <c r="AF85" i="1"/>
  <c r="AG85" i="1"/>
  <c r="AH85" i="1"/>
  <c r="CV85" i="1" s="1"/>
  <c r="AI85" i="1"/>
  <c r="CW85" i="1" s="1"/>
  <c r="V85" i="1" s="1"/>
  <c r="AJ85" i="1"/>
  <c r="CX85" i="1" s="1"/>
  <c r="W85" i="1" s="1"/>
  <c r="CQ85" i="1"/>
  <c r="CS85" i="1"/>
  <c r="R85" i="1" s="1"/>
  <c r="K128" i="6" s="1"/>
  <c r="CT85" i="1"/>
  <c r="S85" i="1" s="1"/>
  <c r="K126" i="6" s="1"/>
  <c r="CU85" i="1"/>
  <c r="FR85" i="1"/>
  <c r="GL85" i="1"/>
  <c r="GN85" i="1"/>
  <c r="GP85" i="1"/>
  <c r="GV85" i="1"/>
  <c r="HC85" i="1" s="1"/>
  <c r="GX85" i="1" s="1"/>
  <c r="I86" i="1"/>
  <c r="E134" i="6" s="1"/>
  <c r="K86" i="1"/>
  <c r="U86" i="1"/>
  <c r="L135" i="6" s="1"/>
  <c r="Q135" i="6" s="1"/>
  <c r="V86" i="1"/>
  <c r="AC86" i="1"/>
  <c r="H134" i="6" s="1"/>
  <c r="AE86" i="1"/>
  <c r="AF86" i="1"/>
  <c r="AG86" i="1"/>
  <c r="CU86" i="1" s="1"/>
  <c r="T86" i="1" s="1"/>
  <c r="AH86" i="1"/>
  <c r="AI86" i="1"/>
  <c r="AJ86" i="1"/>
  <c r="CX86" i="1" s="1"/>
  <c r="CQ86" i="1"/>
  <c r="CV86" i="1"/>
  <c r="CW86" i="1"/>
  <c r="FR86" i="1"/>
  <c r="GL86" i="1"/>
  <c r="GO86" i="1"/>
  <c r="GP86" i="1"/>
  <c r="GV86" i="1"/>
  <c r="HC86" i="1" s="1"/>
  <c r="GX86" i="1" s="1"/>
  <c r="C87" i="1"/>
  <c r="D87" i="1"/>
  <c r="I87" i="1"/>
  <c r="K87" i="1"/>
  <c r="AC87" i="1"/>
  <c r="AE87" i="1"/>
  <c r="CR87" i="1" s="1"/>
  <c r="Q87" i="1" s="1"/>
  <c r="K139" i="6" s="1"/>
  <c r="AF87" i="1"/>
  <c r="AG87" i="1"/>
  <c r="AH87" i="1"/>
  <c r="CV87" i="1" s="1"/>
  <c r="AI87" i="1"/>
  <c r="CW87" i="1" s="1"/>
  <c r="V87" i="1" s="1"/>
  <c r="AJ87" i="1"/>
  <c r="CX87" i="1" s="1"/>
  <c r="W87" i="1" s="1"/>
  <c r="CU87" i="1"/>
  <c r="T87" i="1" s="1"/>
  <c r="FR87" i="1"/>
  <c r="GL87" i="1"/>
  <c r="GO87" i="1"/>
  <c r="GP87" i="1"/>
  <c r="GV87" i="1"/>
  <c r="HC87" i="1" s="1"/>
  <c r="GX87" i="1" s="1"/>
  <c r="AC88" i="1"/>
  <c r="AE88" i="1"/>
  <c r="AF88" i="1"/>
  <c r="CT88" i="1" s="1"/>
  <c r="AG88" i="1"/>
  <c r="AH88" i="1"/>
  <c r="AI88" i="1"/>
  <c r="CW88" i="1" s="1"/>
  <c r="AJ88" i="1"/>
  <c r="CX88" i="1" s="1"/>
  <c r="CU88" i="1"/>
  <c r="CV88" i="1"/>
  <c r="FR88" i="1"/>
  <c r="GL88" i="1"/>
  <c r="GO88" i="1"/>
  <c r="GP88" i="1"/>
  <c r="GV88" i="1"/>
  <c r="HC88" i="1" s="1"/>
  <c r="I89" i="1"/>
  <c r="AC89" i="1"/>
  <c r="H146" i="6" s="1"/>
  <c r="W146" i="6" s="1"/>
  <c r="AE89" i="1"/>
  <c r="AF89" i="1"/>
  <c r="AG89" i="1"/>
  <c r="CU89" i="1" s="1"/>
  <c r="AH89" i="1"/>
  <c r="CV89" i="1" s="1"/>
  <c r="AI89" i="1"/>
  <c r="CW89" i="1" s="1"/>
  <c r="V89" i="1" s="1"/>
  <c r="AJ89" i="1"/>
  <c r="CS89" i="1"/>
  <c r="R89" i="1" s="1"/>
  <c r="CT89" i="1"/>
  <c r="CX89" i="1"/>
  <c r="W89" i="1" s="1"/>
  <c r="FR89" i="1"/>
  <c r="GL89" i="1"/>
  <c r="GO89" i="1"/>
  <c r="GP89" i="1"/>
  <c r="GV89" i="1"/>
  <c r="HC89" i="1"/>
  <c r="GX89" i="1" s="1"/>
  <c r="AC90" i="1"/>
  <c r="H148" i="6" s="1"/>
  <c r="AD90" i="1"/>
  <c r="AE90" i="1"/>
  <c r="AF90" i="1"/>
  <c r="AG90" i="1"/>
  <c r="AH90" i="1"/>
  <c r="CV90" i="1" s="1"/>
  <c r="U90" i="1" s="1"/>
  <c r="L149" i="6" s="1"/>
  <c r="Q149" i="6" s="1"/>
  <c r="AI90" i="1"/>
  <c r="CW90" i="1" s="1"/>
  <c r="V90" i="1" s="1"/>
  <c r="AJ90" i="1"/>
  <c r="CQ90" i="1"/>
  <c r="P90" i="1" s="1"/>
  <c r="CR90" i="1"/>
  <c r="Q90" i="1" s="1"/>
  <c r="CS90" i="1"/>
  <c r="R90" i="1" s="1"/>
  <c r="CY90" i="1" s="1"/>
  <c r="X90" i="1" s="1"/>
  <c r="T148" i="6" s="1"/>
  <c r="CT90" i="1"/>
  <c r="S90" i="1" s="1"/>
  <c r="CU90" i="1"/>
  <c r="T90" i="1" s="1"/>
  <c r="CX90" i="1"/>
  <c r="W90" i="1" s="1"/>
  <c r="FR90" i="1"/>
  <c r="GL90" i="1"/>
  <c r="GO90" i="1"/>
  <c r="GP90" i="1"/>
  <c r="GV90" i="1"/>
  <c r="HC90" i="1" s="1"/>
  <c r="GX90" i="1" s="1"/>
  <c r="V91" i="1"/>
  <c r="AC91" i="1"/>
  <c r="H150" i="6" s="1"/>
  <c r="AD91" i="1"/>
  <c r="AE91" i="1"/>
  <c r="AF91" i="1"/>
  <c r="AG91" i="1"/>
  <c r="AH91" i="1"/>
  <c r="CV91" i="1" s="1"/>
  <c r="U91" i="1" s="1"/>
  <c r="L151" i="6" s="1"/>
  <c r="Q151" i="6" s="1"/>
  <c r="AI91" i="1"/>
  <c r="CW91" i="1" s="1"/>
  <c r="AJ91" i="1"/>
  <c r="CQ91" i="1"/>
  <c r="P91" i="1" s="1"/>
  <c r="K150" i="6" s="1"/>
  <c r="J151" i="6" s="1"/>
  <c r="P151" i="6" s="1"/>
  <c r="CR91" i="1"/>
  <c r="Q91" i="1" s="1"/>
  <c r="CS91" i="1"/>
  <c r="R91" i="1" s="1"/>
  <c r="CT91" i="1"/>
  <c r="S91" i="1" s="1"/>
  <c r="CU91" i="1"/>
  <c r="T91" i="1" s="1"/>
  <c r="CX91" i="1"/>
  <c r="W91" i="1" s="1"/>
  <c r="FR91" i="1"/>
  <c r="GL91" i="1"/>
  <c r="GO91" i="1"/>
  <c r="GP91" i="1"/>
  <c r="GV91" i="1"/>
  <c r="HC91" i="1" s="1"/>
  <c r="GX91" i="1" s="1"/>
  <c r="AC92" i="1"/>
  <c r="H152" i="6" s="1"/>
  <c r="AD92" i="1"/>
  <c r="AE92" i="1"/>
  <c r="AF92" i="1"/>
  <c r="AG92" i="1"/>
  <c r="AH92" i="1"/>
  <c r="CV92" i="1" s="1"/>
  <c r="U92" i="1" s="1"/>
  <c r="L153" i="6" s="1"/>
  <c r="Q153" i="6" s="1"/>
  <c r="AI92" i="1"/>
  <c r="CW92" i="1" s="1"/>
  <c r="V92" i="1" s="1"/>
  <c r="AJ92" i="1"/>
  <c r="CQ92" i="1"/>
  <c r="P92" i="1" s="1"/>
  <c r="K152" i="6" s="1"/>
  <c r="J153" i="6" s="1"/>
  <c r="P153" i="6" s="1"/>
  <c r="CR92" i="1"/>
  <c r="Q92" i="1" s="1"/>
  <c r="CS92" i="1"/>
  <c r="R92" i="1" s="1"/>
  <c r="CT92" i="1"/>
  <c r="S92" i="1" s="1"/>
  <c r="CU92" i="1"/>
  <c r="T92" i="1" s="1"/>
  <c r="CX92" i="1"/>
  <c r="W92" i="1" s="1"/>
  <c r="CY92" i="1"/>
  <c r="X92" i="1" s="1"/>
  <c r="T152" i="6" s="1"/>
  <c r="FR92" i="1"/>
  <c r="GL92" i="1"/>
  <c r="GO92" i="1"/>
  <c r="GP92" i="1"/>
  <c r="GV92" i="1"/>
  <c r="HC92" i="1" s="1"/>
  <c r="GX92" i="1" s="1"/>
  <c r="C93" i="1"/>
  <c r="D93" i="1"/>
  <c r="I93" i="1"/>
  <c r="E154" i="6" s="1"/>
  <c r="K93" i="1"/>
  <c r="S93" i="1"/>
  <c r="K155" i="6" s="1"/>
  <c r="AC93" i="1"/>
  <c r="AE93" i="1"/>
  <c r="AF93" i="1"/>
  <c r="AG93" i="1"/>
  <c r="AH93" i="1"/>
  <c r="CV93" i="1" s="1"/>
  <c r="AI93" i="1"/>
  <c r="CW93" i="1" s="1"/>
  <c r="V93" i="1" s="1"/>
  <c r="AJ93" i="1"/>
  <c r="CX93" i="1" s="1"/>
  <c r="CT93" i="1"/>
  <c r="CU93" i="1"/>
  <c r="T93" i="1" s="1"/>
  <c r="FR93" i="1"/>
  <c r="GL93" i="1"/>
  <c r="GO93" i="1"/>
  <c r="GP93" i="1"/>
  <c r="GV93" i="1"/>
  <c r="HC93" i="1" s="1"/>
  <c r="I94" i="1"/>
  <c r="E162" i="6" s="1"/>
  <c r="K94" i="1"/>
  <c r="AC94" i="1"/>
  <c r="AE94" i="1"/>
  <c r="CR94" i="1" s="1"/>
  <c r="Q94" i="1" s="1"/>
  <c r="AF94" i="1"/>
  <c r="AG94" i="1"/>
  <c r="AH94" i="1"/>
  <c r="CV94" i="1" s="1"/>
  <c r="AI94" i="1"/>
  <c r="AJ94" i="1"/>
  <c r="CX94" i="1" s="1"/>
  <c r="W94" i="1" s="1"/>
  <c r="CU94" i="1"/>
  <c r="T94" i="1" s="1"/>
  <c r="CW94" i="1"/>
  <c r="V94" i="1" s="1"/>
  <c r="FR94" i="1"/>
  <c r="GL94" i="1"/>
  <c r="GO94" i="1"/>
  <c r="GP94" i="1"/>
  <c r="GV94" i="1"/>
  <c r="HC94" i="1" s="1"/>
  <c r="GX94" i="1" s="1"/>
  <c r="Q95" i="1"/>
  <c r="AC95" i="1"/>
  <c r="AE95" i="1"/>
  <c r="AF95" i="1"/>
  <c r="AG95" i="1"/>
  <c r="CU95" i="1" s="1"/>
  <c r="T95" i="1" s="1"/>
  <c r="AH95" i="1"/>
  <c r="CV95" i="1" s="1"/>
  <c r="U95" i="1" s="1"/>
  <c r="L165" i="6" s="1"/>
  <c r="Q165" i="6" s="1"/>
  <c r="AI95" i="1"/>
  <c r="CW95" i="1" s="1"/>
  <c r="V95" i="1" s="1"/>
  <c r="AJ95" i="1"/>
  <c r="CX95" i="1" s="1"/>
  <c r="W95" i="1" s="1"/>
  <c r="CR95" i="1"/>
  <c r="FR95" i="1"/>
  <c r="GL95" i="1"/>
  <c r="GO95" i="1"/>
  <c r="GP95" i="1"/>
  <c r="GV95" i="1"/>
  <c r="HC95" i="1"/>
  <c r="GX95" i="1" s="1"/>
  <c r="AC96" i="1"/>
  <c r="AE96" i="1"/>
  <c r="AD96" i="1" s="1"/>
  <c r="AF96" i="1"/>
  <c r="AG96" i="1"/>
  <c r="CU96" i="1" s="1"/>
  <c r="T96" i="1" s="1"/>
  <c r="AH96" i="1"/>
  <c r="CV96" i="1" s="1"/>
  <c r="U96" i="1" s="1"/>
  <c r="L167" i="6" s="1"/>
  <c r="Q167" i="6" s="1"/>
  <c r="AI96" i="1"/>
  <c r="CW96" i="1" s="1"/>
  <c r="V96" i="1" s="1"/>
  <c r="AJ96" i="1"/>
  <c r="CX96" i="1" s="1"/>
  <c r="W96" i="1" s="1"/>
  <c r="CR96" i="1"/>
  <c r="Q96" i="1" s="1"/>
  <c r="CS96" i="1"/>
  <c r="R96" i="1" s="1"/>
  <c r="FR96" i="1"/>
  <c r="GL96" i="1"/>
  <c r="GO96" i="1"/>
  <c r="GP96" i="1"/>
  <c r="GV96" i="1"/>
  <c r="HC96" i="1" s="1"/>
  <c r="GX96" i="1" s="1"/>
  <c r="AC97" i="1"/>
  <c r="AE97" i="1"/>
  <c r="AF97" i="1"/>
  <c r="AG97" i="1"/>
  <c r="AH97" i="1"/>
  <c r="AI97" i="1"/>
  <c r="CW97" i="1" s="1"/>
  <c r="V97" i="1" s="1"/>
  <c r="AJ97" i="1"/>
  <c r="CX97" i="1" s="1"/>
  <c r="W97" i="1" s="1"/>
  <c r="CU97" i="1"/>
  <c r="T97" i="1" s="1"/>
  <c r="CV97" i="1"/>
  <c r="U97" i="1" s="1"/>
  <c r="L169" i="6" s="1"/>
  <c r="Q169" i="6" s="1"/>
  <c r="FR97" i="1"/>
  <c r="GL97" i="1"/>
  <c r="GO97" i="1"/>
  <c r="GP97" i="1"/>
  <c r="GV97" i="1"/>
  <c r="HC97" i="1"/>
  <c r="GX97" i="1" s="1"/>
  <c r="C99" i="1"/>
  <c r="D99" i="1"/>
  <c r="I99" i="1"/>
  <c r="E172" i="6" s="1"/>
  <c r="K99" i="1"/>
  <c r="AC99" i="1"/>
  <c r="H176" i="6" s="1"/>
  <c r="AE99" i="1"/>
  <c r="AF99" i="1"/>
  <c r="AG99" i="1"/>
  <c r="CU99" i="1" s="1"/>
  <c r="T99" i="1" s="1"/>
  <c r="AH99" i="1"/>
  <c r="CV99" i="1" s="1"/>
  <c r="U99" i="1" s="1"/>
  <c r="AI99" i="1"/>
  <c r="CW99" i="1" s="1"/>
  <c r="V99" i="1" s="1"/>
  <c r="AJ99" i="1"/>
  <c r="CX99" i="1" s="1"/>
  <c r="W99" i="1" s="1"/>
  <c r="CS99" i="1"/>
  <c r="R99" i="1" s="1"/>
  <c r="K175" i="6" s="1"/>
  <c r="FR99" i="1"/>
  <c r="GL99" i="1"/>
  <c r="GO99" i="1"/>
  <c r="GP99" i="1"/>
  <c r="GV99" i="1"/>
  <c r="HC99" i="1"/>
  <c r="GX99" i="1" s="1"/>
  <c r="C100" i="1"/>
  <c r="D100" i="1"/>
  <c r="AC100" i="1"/>
  <c r="AE100" i="1"/>
  <c r="AF100" i="1"/>
  <c r="AG100" i="1"/>
  <c r="AH100" i="1"/>
  <c r="CV100" i="1" s="1"/>
  <c r="AI100" i="1"/>
  <c r="CW100" i="1" s="1"/>
  <c r="AJ100" i="1"/>
  <c r="CX100" i="1" s="1"/>
  <c r="CS100" i="1"/>
  <c r="CU100" i="1"/>
  <c r="FR100" i="1"/>
  <c r="GL100" i="1"/>
  <c r="GN100" i="1"/>
  <c r="GP100" i="1"/>
  <c r="GV100" i="1"/>
  <c r="HC100" i="1" s="1"/>
  <c r="I101" i="1"/>
  <c r="E190" i="6" s="1"/>
  <c r="K101" i="1"/>
  <c r="Q101" i="1"/>
  <c r="AC101" i="1"/>
  <c r="AD101" i="1"/>
  <c r="AE101" i="1"/>
  <c r="AF101" i="1"/>
  <c r="AG101" i="1"/>
  <c r="CU101" i="1" s="1"/>
  <c r="AH101" i="1"/>
  <c r="CV101" i="1" s="1"/>
  <c r="U101" i="1" s="1"/>
  <c r="L191" i="6" s="1"/>
  <c r="Q191" i="6" s="1"/>
  <c r="AI101" i="1"/>
  <c r="CW101" i="1" s="1"/>
  <c r="AJ101" i="1"/>
  <c r="CR101" i="1"/>
  <c r="CS101" i="1"/>
  <c r="R101" i="1" s="1"/>
  <c r="CX101" i="1"/>
  <c r="W101" i="1" s="1"/>
  <c r="FR101" i="1"/>
  <c r="GL101" i="1"/>
  <c r="GO101" i="1"/>
  <c r="GP101" i="1"/>
  <c r="GV101" i="1"/>
  <c r="HC101" i="1" s="1"/>
  <c r="I102" i="1"/>
  <c r="K102" i="1"/>
  <c r="AC102" i="1"/>
  <c r="AE102" i="1"/>
  <c r="CS102" i="1" s="1"/>
  <c r="R102" i="1" s="1"/>
  <c r="AF102" i="1"/>
  <c r="AG102" i="1"/>
  <c r="CU102" i="1" s="1"/>
  <c r="T102" i="1" s="1"/>
  <c r="AH102" i="1"/>
  <c r="CV102" i="1" s="1"/>
  <c r="U102" i="1" s="1"/>
  <c r="L193" i="6" s="1"/>
  <c r="Q193" i="6" s="1"/>
  <c r="AI102" i="1"/>
  <c r="CW102" i="1" s="1"/>
  <c r="V102" i="1" s="1"/>
  <c r="AJ102" i="1"/>
  <c r="CQ102" i="1"/>
  <c r="P102" i="1" s="1"/>
  <c r="CT102" i="1"/>
  <c r="S102" i="1" s="1"/>
  <c r="CX102" i="1"/>
  <c r="W102" i="1" s="1"/>
  <c r="FR102" i="1"/>
  <c r="GL102" i="1"/>
  <c r="GO102" i="1"/>
  <c r="GP102" i="1"/>
  <c r="GV102" i="1"/>
  <c r="HC102" i="1" s="1"/>
  <c r="GX102" i="1" s="1"/>
  <c r="C103" i="1"/>
  <c r="D103" i="1"/>
  <c r="I103" i="1"/>
  <c r="K103" i="1"/>
  <c r="Q103" i="1"/>
  <c r="K197" i="6" s="1"/>
  <c r="AC103" i="1"/>
  <c r="AE103" i="1"/>
  <c r="AF103" i="1"/>
  <c r="AG103" i="1"/>
  <c r="CU103" i="1" s="1"/>
  <c r="AH103" i="1"/>
  <c r="CV103" i="1" s="1"/>
  <c r="U103" i="1" s="1"/>
  <c r="AI103" i="1"/>
  <c r="AJ103" i="1"/>
  <c r="CX103" i="1" s="1"/>
  <c r="W103" i="1" s="1"/>
  <c r="CR103" i="1"/>
  <c r="CS103" i="1"/>
  <c r="R103" i="1" s="1"/>
  <c r="K198" i="6" s="1"/>
  <c r="CW103" i="1"/>
  <c r="V103" i="1" s="1"/>
  <c r="FR103" i="1"/>
  <c r="GL103" i="1"/>
  <c r="GO103" i="1"/>
  <c r="GP103" i="1"/>
  <c r="GV103" i="1"/>
  <c r="HC103" i="1" s="1"/>
  <c r="C104" i="1"/>
  <c r="D104" i="1"/>
  <c r="I104" i="1"/>
  <c r="E204" i="6" s="1"/>
  <c r="K104" i="1"/>
  <c r="AC104" i="1"/>
  <c r="AE104" i="1"/>
  <c r="AF104" i="1"/>
  <c r="AG104" i="1"/>
  <c r="CU104" i="1" s="1"/>
  <c r="AH104" i="1"/>
  <c r="AI104" i="1"/>
  <c r="CW104" i="1" s="1"/>
  <c r="V104" i="1" s="1"/>
  <c r="AJ104" i="1"/>
  <c r="CX104" i="1" s="1"/>
  <c r="CQ104" i="1"/>
  <c r="CV104" i="1"/>
  <c r="FR104" i="1"/>
  <c r="GL104" i="1"/>
  <c r="GN104" i="1"/>
  <c r="GP104" i="1"/>
  <c r="GV104" i="1"/>
  <c r="HC104" i="1"/>
  <c r="I105" i="1"/>
  <c r="E213" i="6" s="1"/>
  <c r="K105" i="1"/>
  <c r="AC105" i="1"/>
  <c r="AE105" i="1"/>
  <c r="AF105" i="1"/>
  <c r="CT105" i="1" s="1"/>
  <c r="S105" i="1" s="1"/>
  <c r="AG105" i="1"/>
  <c r="AH105" i="1"/>
  <c r="CV105" i="1" s="1"/>
  <c r="AI105" i="1"/>
  <c r="CW105" i="1" s="1"/>
  <c r="V105" i="1" s="1"/>
  <c r="AJ105" i="1"/>
  <c r="CX105" i="1" s="1"/>
  <c r="W105" i="1" s="1"/>
  <c r="CQ105" i="1"/>
  <c r="P105" i="1" s="1"/>
  <c r="CU105" i="1"/>
  <c r="T105" i="1" s="1"/>
  <c r="FR105" i="1"/>
  <c r="GL105" i="1"/>
  <c r="GO105" i="1"/>
  <c r="GP105" i="1"/>
  <c r="GV105" i="1"/>
  <c r="HC105" i="1" s="1"/>
  <c r="GX105" i="1" s="1"/>
  <c r="I106" i="1"/>
  <c r="E215" i="6" s="1"/>
  <c r="K106" i="1"/>
  <c r="AC106" i="1"/>
  <c r="AE106" i="1"/>
  <c r="AD106" i="1" s="1"/>
  <c r="AF106" i="1"/>
  <c r="AG106" i="1"/>
  <c r="CU106" i="1" s="1"/>
  <c r="T106" i="1" s="1"/>
  <c r="AH106" i="1"/>
  <c r="CV106" i="1" s="1"/>
  <c r="U106" i="1" s="1"/>
  <c r="L216" i="6" s="1"/>
  <c r="Q216" i="6" s="1"/>
  <c r="AI106" i="1"/>
  <c r="AJ106" i="1"/>
  <c r="CX106" i="1" s="1"/>
  <c r="CR106" i="1"/>
  <c r="Q106" i="1" s="1"/>
  <c r="CS106" i="1"/>
  <c r="R106" i="1" s="1"/>
  <c r="CW106" i="1"/>
  <c r="V106" i="1" s="1"/>
  <c r="FR106" i="1"/>
  <c r="GL106" i="1"/>
  <c r="GO106" i="1"/>
  <c r="GP106" i="1"/>
  <c r="GV106" i="1"/>
  <c r="HC106" i="1"/>
  <c r="GX106" i="1" s="1"/>
  <c r="C107" i="1"/>
  <c r="D107" i="1"/>
  <c r="I107" i="1"/>
  <c r="K107" i="1"/>
  <c r="AC107" i="1"/>
  <c r="H222" i="6" s="1"/>
  <c r="AE107" i="1"/>
  <c r="AF107" i="1"/>
  <c r="AG107" i="1"/>
  <c r="CU107" i="1" s="1"/>
  <c r="AH107" i="1"/>
  <c r="CV107" i="1" s="1"/>
  <c r="U107" i="1" s="1"/>
  <c r="AI107" i="1"/>
  <c r="CW107" i="1" s="1"/>
  <c r="V107" i="1" s="1"/>
  <c r="AJ107" i="1"/>
  <c r="CX107" i="1" s="1"/>
  <c r="CS107" i="1"/>
  <c r="R107" i="1" s="1"/>
  <c r="K221" i="6" s="1"/>
  <c r="FR107" i="1"/>
  <c r="GL107" i="1"/>
  <c r="GO107" i="1"/>
  <c r="GP107" i="1"/>
  <c r="GV107" i="1"/>
  <c r="HC107" i="1" s="1"/>
  <c r="GX107" i="1" s="1"/>
  <c r="C108" i="1"/>
  <c r="D108" i="1"/>
  <c r="I108" i="1"/>
  <c r="K108" i="1"/>
  <c r="AC108" i="1"/>
  <c r="AE108" i="1"/>
  <c r="AF108" i="1"/>
  <c r="AG108" i="1"/>
  <c r="AH108" i="1"/>
  <c r="AI108" i="1"/>
  <c r="CW108" i="1" s="1"/>
  <c r="V108" i="1" s="1"/>
  <c r="AJ108" i="1"/>
  <c r="CX108" i="1" s="1"/>
  <c r="CS108" i="1"/>
  <c r="R108" i="1" s="1"/>
  <c r="K231" i="6" s="1"/>
  <c r="CU108" i="1"/>
  <c r="CV108" i="1"/>
  <c r="U108" i="1" s="1"/>
  <c r="FR108" i="1"/>
  <c r="GL108" i="1"/>
  <c r="GO108" i="1"/>
  <c r="GP108" i="1"/>
  <c r="GV108" i="1"/>
  <c r="HC108" i="1"/>
  <c r="GX108" i="1" s="1"/>
  <c r="B110" i="1"/>
  <c r="B71" i="1" s="1"/>
  <c r="C110" i="1"/>
  <c r="C71" i="1" s="1"/>
  <c r="D110" i="1"/>
  <c r="D71" i="1" s="1"/>
  <c r="F110" i="1"/>
  <c r="F71" i="1" s="1"/>
  <c r="G110" i="1"/>
  <c r="BX110" i="1"/>
  <c r="BX71" i="1" s="1"/>
  <c r="CK110" i="1"/>
  <c r="CK71" i="1" s="1"/>
  <c r="CL110" i="1"/>
  <c r="CL71" i="1" s="1"/>
  <c r="CM110" i="1"/>
  <c r="CM71" i="1" s="1"/>
  <c r="B140" i="1"/>
  <c r="B22" i="1" s="1"/>
  <c r="C140" i="1"/>
  <c r="C22" i="1" s="1"/>
  <c r="D140" i="1"/>
  <c r="D22" i="1" s="1"/>
  <c r="F140" i="1"/>
  <c r="F22" i="1" s="1"/>
  <c r="G140" i="1"/>
  <c r="B170" i="1"/>
  <c r="B18" i="1" s="1"/>
  <c r="C170" i="1"/>
  <c r="C18" i="1" s="1"/>
  <c r="D170" i="1"/>
  <c r="D18" i="1" s="1"/>
  <c r="F170" i="1"/>
  <c r="F18" i="1" s="1"/>
  <c r="G170" i="1"/>
  <c r="B20" i="2"/>
  <c r="B21" i="2"/>
  <c r="B24" i="2"/>
  <c r="B27" i="2"/>
  <c r="B30" i="2"/>
  <c r="B32" i="2"/>
  <c r="B33" i="2"/>
  <c r="B35" i="2"/>
  <c r="B36" i="2"/>
  <c r="B37" i="2"/>
  <c r="B39" i="2"/>
  <c r="B40" i="2"/>
  <c r="B41" i="2"/>
  <c r="B42" i="2"/>
  <c r="B44" i="2"/>
  <c r="B45" i="2"/>
  <c r="B46" i="2"/>
  <c r="CY82" i="1" l="1"/>
  <c r="X82" i="1" s="1"/>
  <c r="T119" i="6" s="1"/>
  <c r="L180" i="6"/>
  <c r="Q180" i="6" s="1"/>
  <c r="L179" i="6"/>
  <c r="L225" i="6"/>
  <c r="L226" i="6"/>
  <c r="Q226" i="6" s="1"/>
  <c r="L202" i="6"/>
  <c r="L203" i="6"/>
  <c r="Q203" i="6" s="1"/>
  <c r="CS105" i="1"/>
  <c r="R105" i="1" s="1"/>
  <c r="CY105" i="1" s="1"/>
  <c r="X105" i="1" s="1"/>
  <c r="T213" i="6" s="1"/>
  <c r="AD105" i="1"/>
  <c r="CR105" i="1"/>
  <c r="Q105" i="1" s="1"/>
  <c r="CP105" i="1" s="1"/>
  <c r="O105" i="1" s="1"/>
  <c r="AD104" i="1"/>
  <c r="AB104" i="1" s="1"/>
  <c r="H206" i="6"/>
  <c r="H207" i="6"/>
  <c r="R207" i="6" s="1"/>
  <c r="CD110" i="1"/>
  <c r="CD71" i="1" s="1"/>
  <c r="CT95" i="1"/>
  <c r="S95" i="1" s="1"/>
  <c r="CY95" i="1" s="1"/>
  <c r="X95" i="1" s="1"/>
  <c r="U164" i="6"/>
  <c r="S164" i="6"/>
  <c r="CS93" i="1"/>
  <c r="R93" i="1" s="1"/>
  <c r="K157" i="6" s="1"/>
  <c r="H156" i="6"/>
  <c r="H157" i="6"/>
  <c r="R157" i="6" s="1"/>
  <c r="CQ80" i="1"/>
  <c r="P80" i="1" s="1"/>
  <c r="H114" i="6"/>
  <c r="W114" i="6" s="1"/>
  <c r="G102" i="6"/>
  <c r="O102" i="6" s="1"/>
  <c r="W102" i="6"/>
  <c r="U97" i="6"/>
  <c r="S97" i="6"/>
  <c r="L94" i="6"/>
  <c r="Q94" i="6" s="1"/>
  <c r="L93" i="6"/>
  <c r="L49" i="6"/>
  <c r="L50" i="6"/>
  <c r="Q50" i="6" s="1"/>
  <c r="L41" i="6"/>
  <c r="Q41" i="6" s="1"/>
  <c r="L40" i="6"/>
  <c r="G18" i="1"/>
  <c r="AF246" i="6"/>
  <c r="A246" i="6"/>
  <c r="W108" i="1"/>
  <c r="CT108" i="1"/>
  <c r="S108" i="1" s="1"/>
  <c r="K229" i="6" s="1"/>
  <c r="S227" i="6"/>
  <c r="H233" i="6" s="1"/>
  <c r="H229" i="6"/>
  <c r="U227" i="6"/>
  <c r="H234" i="6" s="1"/>
  <c r="CQ107" i="1"/>
  <c r="P107" i="1" s="1"/>
  <c r="K222" i="6" s="1"/>
  <c r="T107" i="1"/>
  <c r="AB106" i="1"/>
  <c r="AB105" i="1"/>
  <c r="H213" i="6"/>
  <c r="CS104" i="1"/>
  <c r="R104" i="1" s="1"/>
  <c r="K207" i="6" s="1"/>
  <c r="H208" i="6"/>
  <c r="CR102" i="1"/>
  <c r="Q102" i="1" s="1"/>
  <c r="CP102" i="1" s="1"/>
  <c r="O102" i="1" s="1"/>
  <c r="AD102" i="1"/>
  <c r="AD100" i="1"/>
  <c r="AB100" i="1" s="1"/>
  <c r="H183" i="6"/>
  <c r="H184" i="6"/>
  <c r="R184" i="6" s="1"/>
  <c r="CQ99" i="1"/>
  <c r="CQ97" i="1"/>
  <c r="P97" i="1" s="1"/>
  <c r="K168" i="6" s="1"/>
  <c r="J169" i="6" s="1"/>
  <c r="P169" i="6" s="1"/>
  <c r="H168" i="6"/>
  <c r="AB97" i="1"/>
  <c r="AB96" i="1"/>
  <c r="AD95" i="1"/>
  <c r="AB95" i="1" s="1"/>
  <c r="CS95" i="1"/>
  <c r="R95" i="1" s="1"/>
  <c r="U93" i="1"/>
  <c r="AD93" i="1"/>
  <c r="CP90" i="1"/>
  <c r="O90" i="1" s="1"/>
  <c r="K148" i="6"/>
  <c r="J149" i="6" s="1"/>
  <c r="P149" i="6" s="1"/>
  <c r="W149" i="6"/>
  <c r="G149" i="6"/>
  <c r="O149" i="6" s="1"/>
  <c r="CQ89" i="1"/>
  <c r="P89" i="1" s="1"/>
  <c r="CP89" i="1" s="1"/>
  <c r="O89" i="1" s="1"/>
  <c r="K146" i="6" s="1"/>
  <c r="T89" i="1"/>
  <c r="T88" i="1"/>
  <c r="CQ88" i="1"/>
  <c r="I88" i="1"/>
  <c r="E145" i="6" s="1"/>
  <c r="E136" i="6"/>
  <c r="C137" i="6"/>
  <c r="AD86" i="1"/>
  <c r="AB86" i="1" s="1"/>
  <c r="CS86" i="1"/>
  <c r="R86" i="1" s="1"/>
  <c r="CR85" i="1"/>
  <c r="Q85" i="1" s="1"/>
  <c r="K127" i="6" s="1"/>
  <c r="U85" i="1"/>
  <c r="CT75" i="1"/>
  <c r="S75" i="1" s="1"/>
  <c r="CZ75" i="1" s="1"/>
  <c r="Y75" i="1" s="1"/>
  <c r="V97" i="6" s="1"/>
  <c r="C98" i="6"/>
  <c r="E97" i="6"/>
  <c r="E51" i="6"/>
  <c r="C52" i="6"/>
  <c r="T29" i="1"/>
  <c r="BY39" i="1"/>
  <c r="AP39" i="1" s="1"/>
  <c r="F48" i="1" s="1"/>
  <c r="CQ96" i="1"/>
  <c r="P96" i="1" s="1"/>
  <c r="K166" i="6" s="1"/>
  <c r="J167" i="6" s="1"/>
  <c r="P167" i="6" s="1"/>
  <c r="H166" i="6"/>
  <c r="CT94" i="1"/>
  <c r="S94" i="1" s="1"/>
  <c r="U162" i="6"/>
  <c r="S162" i="6"/>
  <c r="GX93" i="1"/>
  <c r="CR93" i="1"/>
  <c r="Q93" i="1" s="1"/>
  <c r="K156" i="6" s="1"/>
  <c r="CQ93" i="1"/>
  <c r="P93" i="1" s="1"/>
  <c r="CP93" i="1" s="1"/>
  <c r="O93" i="1" s="1"/>
  <c r="AB93" i="1"/>
  <c r="CZ92" i="1"/>
  <c r="Y92" i="1" s="1"/>
  <c r="V152" i="6" s="1"/>
  <c r="U152" i="6"/>
  <c r="S152" i="6"/>
  <c r="S146" i="6"/>
  <c r="U146" i="6"/>
  <c r="Q89" i="1"/>
  <c r="E146" i="6"/>
  <c r="CT87" i="1"/>
  <c r="S87" i="1" s="1"/>
  <c r="K138" i="6" s="1"/>
  <c r="H138" i="6"/>
  <c r="U136" i="6"/>
  <c r="S136" i="6"/>
  <c r="P85" i="1"/>
  <c r="K129" i="6" s="1"/>
  <c r="AB84" i="1"/>
  <c r="H123" i="6"/>
  <c r="CY83" i="1"/>
  <c r="X83" i="1" s="1"/>
  <c r="T121" i="6" s="1"/>
  <c r="CS82" i="1"/>
  <c r="R82" i="1" s="1"/>
  <c r="CR82" i="1"/>
  <c r="Q82" i="1" s="1"/>
  <c r="CT79" i="1"/>
  <c r="S79" i="1" s="1"/>
  <c r="S113" i="6"/>
  <c r="U113" i="6"/>
  <c r="CT77" i="1"/>
  <c r="S77" i="1" s="1"/>
  <c r="K105" i="6" s="1"/>
  <c r="S103" i="6"/>
  <c r="H105" i="6"/>
  <c r="R105" i="6" s="1"/>
  <c r="U103" i="6"/>
  <c r="H69" i="6"/>
  <c r="CP32" i="1"/>
  <c r="GM32" i="1" s="1"/>
  <c r="L68" i="6"/>
  <c r="Q68" i="6" s="1"/>
  <c r="L67" i="6"/>
  <c r="E42" i="6"/>
  <c r="C43" i="6"/>
  <c r="CT103" i="1"/>
  <c r="S103" i="1" s="1"/>
  <c r="K196" i="6" s="1"/>
  <c r="S194" i="6"/>
  <c r="H200" i="6" s="1"/>
  <c r="H196" i="6"/>
  <c r="U194" i="6"/>
  <c r="H201" i="6" s="1"/>
  <c r="CZ102" i="1"/>
  <c r="Y102" i="1" s="1"/>
  <c r="V192" i="6" s="1"/>
  <c r="U190" i="6"/>
  <c r="S190" i="6"/>
  <c r="CT101" i="1"/>
  <c r="S101" i="1" s="1"/>
  <c r="CY101" i="1" s="1"/>
  <c r="X101" i="1" s="1"/>
  <c r="T190" i="6" s="1"/>
  <c r="AD97" i="1"/>
  <c r="CR97" i="1"/>
  <c r="Q97" i="1" s="1"/>
  <c r="U88" i="1"/>
  <c r="CT86" i="1"/>
  <c r="S134" i="6"/>
  <c r="U134" i="6"/>
  <c r="H128" i="6"/>
  <c r="R128" i="6" s="1"/>
  <c r="H127" i="6"/>
  <c r="CS81" i="1"/>
  <c r="R81" i="1" s="1"/>
  <c r="CY81" i="1" s="1"/>
  <c r="X81" i="1" s="1"/>
  <c r="T116" i="6" s="1"/>
  <c r="AD81" i="1"/>
  <c r="AB81" i="1" s="1"/>
  <c r="BX26" i="1"/>
  <c r="AO39" i="1"/>
  <c r="K36" i="1"/>
  <c r="S73" i="6"/>
  <c r="E73" i="6"/>
  <c r="U73" i="6"/>
  <c r="I36" i="1"/>
  <c r="L236" i="6"/>
  <c r="Q236" i="6" s="1"/>
  <c r="L235" i="6"/>
  <c r="AD108" i="1"/>
  <c r="AB108" i="1" s="1"/>
  <c r="H231" i="6"/>
  <c r="R231" i="6" s="1"/>
  <c r="H230" i="6"/>
  <c r="CR108" i="1"/>
  <c r="Q108" i="1" s="1"/>
  <c r="K230" i="6" s="1"/>
  <c r="C228" i="6"/>
  <c r="E227" i="6"/>
  <c r="CQ106" i="1"/>
  <c r="P106" i="1" s="1"/>
  <c r="K215" i="6" s="1"/>
  <c r="J216" i="6" s="1"/>
  <c r="P216" i="6" s="1"/>
  <c r="H215" i="6"/>
  <c r="K213" i="6"/>
  <c r="J214" i="6" s="1"/>
  <c r="P214" i="6" s="1"/>
  <c r="GX104" i="1"/>
  <c r="P104" i="1"/>
  <c r="K208" i="6" s="1"/>
  <c r="T104" i="1"/>
  <c r="CQ103" i="1"/>
  <c r="P103" i="1" s="1"/>
  <c r="H199" i="6"/>
  <c r="C195" i="6"/>
  <c r="E194" i="6"/>
  <c r="K192" i="6"/>
  <c r="J193" i="6" s="1"/>
  <c r="P193" i="6" s="1"/>
  <c r="AB102" i="1"/>
  <c r="H192" i="6"/>
  <c r="CQ100" i="1"/>
  <c r="P100" i="1" s="1"/>
  <c r="H185" i="6"/>
  <c r="CT99" i="1"/>
  <c r="H173" i="6"/>
  <c r="U172" i="6"/>
  <c r="H178" i="6" s="1"/>
  <c r="S172" i="6"/>
  <c r="H177" i="6" s="1"/>
  <c r="CS97" i="1"/>
  <c r="R97" i="1" s="1"/>
  <c r="G71" i="1"/>
  <c r="A238" i="6"/>
  <c r="T108" i="1"/>
  <c r="CQ108" i="1"/>
  <c r="P108" i="1" s="1"/>
  <c r="K232" i="6" s="1"/>
  <c r="H232" i="6"/>
  <c r="AD107" i="1"/>
  <c r="AB107" i="1" s="1"/>
  <c r="H221" i="6"/>
  <c r="R221" i="6" s="1"/>
  <c r="H220" i="6"/>
  <c r="E217" i="6"/>
  <c r="C218" i="6"/>
  <c r="U213" i="6"/>
  <c r="S213" i="6"/>
  <c r="GX103" i="1"/>
  <c r="T103" i="1"/>
  <c r="GX101" i="1"/>
  <c r="T101" i="1"/>
  <c r="AB101" i="1"/>
  <c r="H190" i="6"/>
  <c r="K100" i="1"/>
  <c r="CT97" i="1"/>
  <c r="S97" i="1" s="1"/>
  <c r="CZ97" i="1" s="1"/>
  <c r="Y97" i="1" s="1"/>
  <c r="V168" i="6" s="1"/>
  <c r="S168" i="6"/>
  <c r="U168" i="6"/>
  <c r="AD94" i="1"/>
  <c r="AB94" i="1" s="1"/>
  <c r="CS94" i="1"/>
  <c r="R94" i="1" s="1"/>
  <c r="G151" i="6"/>
  <c r="O151" i="6" s="1"/>
  <c r="W151" i="6"/>
  <c r="AD89" i="1"/>
  <c r="CR89" i="1"/>
  <c r="W88" i="1"/>
  <c r="U145" i="6"/>
  <c r="BY110" i="1"/>
  <c r="CI110" i="1" s="1"/>
  <c r="AD87" i="1"/>
  <c r="AB87" i="1" s="1"/>
  <c r="H140" i="6"/>
  <c r="R140" i="6" s="1"/>
  <c r="H139" i="6"/>
  <c r="CS87" i="1"/>
  <c r="R87" i="1" s="1"/>
  <c r="K140" i="6" s="1"/>
  <c r="S125" i="6"/>
  <c r="H130" i="6" s="1"/>
  <c r="U125" i="6"/>
  <c r="H131" i="6" s="1"/>
  <c r="H126" i="6"/>
  <c r="H112" i="6"/>
  <c r="W112" i="6" s="1"/>
  <c r="CQ78" i="1"/>
  <c r="P78" i="1" s="1"/>
  <c r="K97" i="6"/>
  <c r="J99" i="6" s="1"/>
  <c r="P99" i="6" s="1"/>
  <c r="CT74" i="1"/>
  <c r="S74" i="1" s="1"/>
  <c r="CY74" i="1" s="1"/>
  <c r="X74" i="1" s="1"/>
  <c r="T95" i="6" s="1"/>
  <c r="U95" i="6"/>
  <c r="S95" i="6"/>
  <c r="AD73" i="1"/>
  <c r="AB73" i="1" s="1"/>
  <c r="H88" i="6"/>
  <c r="H89" i="6"/>
  <c r="R89" i="6" s="1"/>
  <c r="CR73" i="1"/>
  <c r="Q73" i="1" s="1"/>
  <c r="K88" i="6" s="1"/>
  <c r="H71" i="6"/>
  <c r="CP33" i="1"/>
  <c r="GM33" i="1" s="1"/>
  <c r="U71" i="6"/>
  <c r="S71" i="6"/>
  <c r="E71" i="6"/>
  <c r="L59" i="6"/>
  <c r="Q59" i="6" s="1"/>
  <c r="L58" i="6"/>
  <c r="AD77" i="1"/>
  <c r="AB77" i="1" s="1"/>
  <c r="H107" i="6"/>
  <c r="R107" i="6" s="1"/>
  <c r="H106" i="6"/>
  <c r="U114" i="6"/>
  <c r="S114" i="6"/>
  <c r="T79" i="1"/>
  <c r="E113" i="6"/>
  <c r="L111" i="6"/>
  <c r="L115" i="6"/>
  <c r="Q115" i="6" s="1"/>
  <c r="R75" i="1"/>
  <c r="CY75" i="1" s="1"/>
  <c r="X75" i="1" s="1"/>
  <c r="K33" i="1"/>
  <c r="U69" i="6"/>
  <c r="S69" i="6"/>
  <c r="E69" i="6"/>
  <c r="V30" i="1"/>
  <c r="R30" i="1"/>
  <c r="K55" i="6" s="1"/>
  <c r="Q29" i="1"/>
  <c r="K45" i="6" s="1"/>
  <c r="G22" i="1"/>
  <c r="AF242" i="6"/>
  <c r="A242" i="6"/>
  <c r="W107" i="1"/>
  <c r="CT107" i="1"/>
  <c r="S107" i="1" s="1"/>
  <c r="K219" i="6" s="1"/>
  <c r="U217" i="6"/>
  <c r="H224" i="6" s="1"/>
  <c r="H219" i="6"/>
  <c r="S217" i="6"/>
  <c r="H223" i="6" s="1"/>
  <c r="W106" i="1"/>
  <c r="CT106" i="1"/>
  <c r="S106" i="1" s="1"/>
  <c r="CY106" i="1" s="1"/>
  <c r="X106" i="1" s="1"/>
  <c r="T215" i="6" s="1"/>
  <c r="S215" i="6"/>
  <c r="U215" i="6"/>
  <c r="U105" i="1"/>
  <c r="L214" i="6" s="1"/>
  <c r="Q214" i="6" s="1"/>
  <c r="W104" i="1"/>
  <c r="CT104" i="1"/>
  <c r="S104" i="1" s="1"/>
  <c r="K205" i="6" s="1"/>
  <c r="H205" i="6"/>
  <c r="U204" i="6"/>
  <c r="H210" i="6" s="1"/>
  <c r="S204" i="6"/>
  <c r="H209" i="6" s="1"/>
  <c r="AD103" i="1"/>
  <c r="AB103" i="1" s="1"/>
  <c r="H197" i="6"/>
  <c r="H198" i="6"/>
  <c r="R198" i="6" s="1"/>
  <c r="U192" i="6"/>
  <c r="S192" i="6"/>
  <c r="I100" i="1"/>
  <c r="E181" i="6" s="1"/>
  <c r="E192" i="6"/>
  <c r="V101" i="1"/>
  <c r="CT100" i="1"/>
  <c r="S181" i="6"/>
  <c r="H186" i="6" s="1"/>
  <c r="H182" i="6"/>
  <c r="U181" i="6"/>
  <c r="H187" i="6" s="1"/>
  <c r="AD99" i="1"/>
  <c r="AB99" i="1" s="1"/>
  <c r="H175" i="6"/>
  <c r="R175" i="6" s="1"/>
  <c r="H174" i="6"/>
  <c r="CT96" i="1"/>
  <c r="S96" i="1" s="1"/>
  <c r="CY96" i="1" s="1"/>
  <c r="X96" i="1" s="1"/>
  <c r="T166" i="6" s="1"/>
  <c r="U166" i="6"/>
  <c r="S166" i="6"/>
  <c r="CQ95" i="1"/>
  <c r="P95" i="1" s="1"/>
  <c r="H164" i="6"/>
  <c r="U94" i="1"/>
  <c r="L163" i="6" s="1"/>
  <c r="Q163" i="6" s="1"/>
  <c r="CQ94" i="1"/>
  <c r="P94" i="1" s="1"/>
  <c r="H162" i="6"/>
  <c r="W93" i="1"/>
  <c r="S154" i="6"/>
  <c r="H158" i="6" s="1"/>
  <c r="H155" i="6"/>
  <c r="U154" i="6"/>
  <c r="H159" i="6" s="1"/>
  <c r="G153" i="6"/>
  <c r="O153" i="6" s="1"/>
  <c r="W153" i="6"/>
  <c r="CZ91" i="1"/>
  <c r="Y91" i="1" s="1"/>
  <c r="V150" i="6" s="1"/>
  <c r="U150" i="6"/>
  <c r="S150" i="6"/>
  <c r="S148" i="6"/>
  <c r="U148" i="6"/>
  <c r="U89" i="1"/>
  <c r="GX88" i="1"/>
  <c r="U87" i="1"/>
  <c r="CQ87" i="1"/>
  <c r="P87" i="1" s="1"/>
  <c r="H141" i="6"/>
  <c r="W135" i="6"/>
  <c r="G135" i="6"/>
  <c r="O135" i="6" s="1"/>
  <c r="T85" i="1"/>
  <c r="AB85" i="1"/>
  <c r="H129" i="6"/>
  <c r="U123" i="6"/>
  <c r="S123" i="6"/>
  <c r="CP83" i="1"/>
  <c r="O83" i="1" s="1"/>
  <c r="K121" i="6"/>
  <c r="J122" i="6" s="1"/>
  <c r="P122" i="6" s="1"/>
  <c r="AB83" i="1"/>
  <c r="H121" i="6"/>
  <c r="AB82" i="1"/>
  <c r="H119" i="6"/>
  <c r="CP81" i="1"/>
  <c r="O81" i="1" s="1"/>
  <c r="K116" i="6"/>
  <c r="J118" i="6" s="1"/>
  <c r="P118" i="6" s="1"/>
  <c r="C117" i="6"/>
  <c r="E116" i="6"/>
  <c r="CT80" i="1"/>
  <c r="CR79" i="1"/>
  <c r="U79" i="1"/>
  <c r="AD79" i="1"/>
  <c r="BZ110" i="1"/>
  <c r="U112" i="6"/>
  <c r="S112" i="6"/>
  <c r="CS77" i="1"/>
  <c r="R77" i="1" s="1"/>
  <c r="K107" i="6" s="1"/>
  <c r="CQ77" i="1"/>
  <c r="P77" i="1" s="1"/>
  <c r="H108" i="6"/>
  <c r="CT76" i="1"/>
  <c r="S76" i="1" s="1"/>
  <c r="U100" i="6"/>
  <c r="S100" i="6"/>
  <c r="U76" i="1"/>
  <c r="L102" i="6" s="1"/>
  <c r="Q102" i="6" s="1"/>
  <c r="C101" i="6"/>
  <c r="E100" i="6"/>
  <c r="CR75" i="1"/>
  <c r="Q75" i="1" s="1"/>
  <c r="CP75" i="1" s="1"/>
  <c r="O75" i="1" s="1"/>
  <c r="U75" i="1"/>
  <c r="L99" i="6" s="1"/>
  <c r="Q99" i="6" s="1"/>
  <c r="CR74" i="1"/>
  <c r="Q74" i="1" s="1"/>
  <c r="W96" i="6"/>
  <c r="G96" i="6"/>
  <c r="O96" i="6" s="1"/>
  <c r="CQ73" i="1"/>
  <c r="P73" i="1" s="1"/>
  <c r="K90" i="6" s="1"/>
  <c r="CC39" i="1"/>
  <c r="AT39" i="1" s="1"/>
  <c r="CT31" i="1"/>
  <c r="S31" i="1" s="1"/>
  <c r="K62" i="6" s="1"/>
  <c r="U60" i="6"/>
  <c r="H66" i="6" s="1"/>
  <c r="H62" i="6"/>
  <c r="S60" i="6"/>
  <c r="H65" i="6" s="1"/>
  <c r="C61" i="6"/>
  <c r="E60" i="6"/>
  <c r="S51" i="6"/>
  <c r="H56" i="6" s="1"/>
  <c r="H53" i="6"/>
  <c r="U51" i="6"/>
  <c r="H57" i="6" s="1"/>
  <c r="W29" i="1"/>
  <c r="CT29" i="1"/>
  <c r="S29" i="1" s="1"/>
  <c r="K44" i="6" s="1"/>
  <c r="U42" i="6"/>
  <c r="H48" i="6" s="1"/>
  <c r="H44" i="6"/>
  <c r="S42" i="6"/>
  <c r="H47" i="6" s="1"/>
  <c r="U34" i="6"/>
  <c r="H39" i="6" s="1"/>
  <c r="H36" i="6"/>
  <c r="S34" i="6"/>
  <c r="H38" i="6" s="1"/>
  <c r="W28" i="1"/>
  <c r="E34" i="6"/>
  <c r="C35" i="6"/>
  <c r="U121" i="6"/>
  <c r="S121" i="6"/>
  <c r="U119" i="6"/>
  <c r="S119" i="6"/>
  <c r="U116" i="6"/>
  <c r="S116" i="6"/>
  <c r="AB79" i="1"/>
  <c r="H113" i="6"/>
  <c r="W113" i="6" s="1"/>
  <c r="AB78" i="1"/>
  <c r="CR77" i="1"/>
  <c r="Q77" i="1" s="1"/>
  <c r="K106" i="6" s="1"/>
  <c r="C104" i="6"/>
  <c r="E103" i="6"/>
  <c r="T75" i="1"/>
  <c r="H97" i="6"/>
  <c r="CT73" i="1"/>
  <c r="S73" i="1" s="1"/>
  <c r="K87" i="6" s="1"/>
  <c r="H87" i="6"/>
  <c r="U86" i="6"/>
  <c r="H92" i="6" s="1"/>
  <c r="S86" i="6"/>
  <c r="H91" i="6" s="1"/>
  <c r="G26" i="1"/>
  <c r="A82" i="6"/>
  <c r="CT37" i="1"/>
  <c r="H77" i="6"/>
  <c r="H75" i="6"/>
  <c r="I35" i="1"/>
  <c r="H73" i="6"/>
  <c r="CD39" i="1"/>
  <c r="AU39" i="1" s="1"/>
  <c r="AD31" i="1"/>
  <c r="AB31" i="1" s="1"/>
  <c r="H64" i="6"/>
  <c r="R64" i="6" s="1"/>
  <c r="H63" i="6"/>
  <c r="AD30" i="1"/>
  <c r="AB30" i="1" s="1"/>
  <c r="H54" i="6"/>
  <c r="H55" i="6"/>
  <c r="R55" i="6" s="1"/>
  <c r="V29" i="1"/>
  <c r="AD29" i="1"/>
  <c r="H46" i="6"/>
  <c r="R46" i="6" s="1"/>
  <c r="H45" i="6"/>
  <c r="BZ39" i="1"/>
  <c r="CG39" i="1" s="1"/>
  <c r="AD28" i="1"/>
  <c r="H37" i="6"/>
  <c r="G118" i="6"/>
  <c r="O118" i="6" s="1"/>
  <c r="AU110" i="1"/>
  <c r="CY104" i="1"/>
  <c r="X104" i="1" s="1"/>
  <c r="T204" i="6" s="1"/>
  <c r="K209" i="6" s="1"/>
  <c r="CX123" i="3"/>
  <c r="CX131" i="3"/>
  <c r="CX122" i="3"/>
  <c r="CX121" i="3"/>
  <c r="CX129" i="3"/>
  <c r="CX130" i="3"/>
  <c r="R100" i="1"/>
  <c r="K184" i="6" s="1"/>
  <c r="CZ101" i="1"/>
  <c r="Y101" i="1" s="1"/>
  <c r="V190" i="6" s="1"/>
  <c r="CZ107" i="1"/>
  <c r="Y107" i="1" s="1"/>
  <c r="V217" i="6" s="1"/>
  <c r="K224" i="6" s="1"/>
  <c r="CY107" i="1"/>
  <c r="X107" i="1" s="1"/>
  <c r="T217" i="6" s="1"/>
  <c r="K223" i="6" s="1"/>
  <c r="V100" i="1"/>
  <c r="BZ71" i="1"/>
  <c r="AQ110" i="1"/>
  <c r="CY108" i="1"/>
  <c r="X108" i="1" s="1"/>
  <c r="T227" i="6" s="1"/>
  <c r="K233" i="6" s="1"/>
  <c r="CZ108" i="1"/>
  <c r="Y108" i="1" s="1"/>
  <c r="V227" i="6" s="1"/>
  <c r="K234" i="6" s="1"/>
  <c r="CY102" i="1"/>
  <c r="X102" i="1" s="1"/>
  <c r="BY71" i="1"/>
  <c r="AP110" i="1"/>
  <c r="CP108" i="1"/>
  <c r="O108" i="1" s="1"/>
  <c r="CZ105" i="1"/>
  <c r="Y105" i="1" s="1"/>
  <c r="CY103" i="1"/>
  <c r="X103" i="1" s="1"/>
  <c r="CZ103" i="1"/>
  <c r="Y103" i="1" s="1"/>
  <c r="V194" i="6" s="1"/>
  <c r="K201" i="6" s="1"/>
  <c r="CP97" i="1"/>
  <c r="O97" i="1" s="1"/>
  <c r="CX153" i="3"/>
  <c r="CX141" i="3"/>
  <c r="CX143" i="3"/>
  <c r="CX147" i="3"/>
  <c r="CX149" i="3"/>
  <c r="CX151" i="3"/>
  <c r="T100" i="1"/>
  <c r="BC110" i="1"/>
  <c r="CG110" i="1"/>
  <c r="CQ101" i="1"/>
  <c r="P101" i="1" s="1"/>
  <c r="CX107" i="3"/>
  <c r="CX115" i="3"/>
  <c r="CX112" i="3"/>
  <c r="CX103" i="3"/>
  <c r="CX113" i="3"/>
  <c r="CX104" i="3"/>
  <c r="CX114" i="3"/>
  <c r="CX106" i="3"/>
  <c r="CX105" i="3"/>
  <c r="CX120" i="3"/>
  <c r="CX119" i="3"/>
  <c r="AB92" i="1"/>
  <c r="W86" i="1"/>
  <c r="CQ84" i="1"/>
  <c r="P84" i="1" s="1"/>
  <c r="R78" i="1"/>
  <c r="CG26" i="1"/>
  <c r="AX39" i="1"/>
  <c r="AB90" i="1"/>
  <c r="AD88" i="1"/>
  <c r="AB88" i="1" s="1"/>
  <c r="CS88" i="1"/>
  <c r="R88" i="1" s="1"/>
  <c r="CQ82" i="1"/>
  <c r="P82" i="1" s="1"/>
  <c r="AB80" i="1"/>
  <c r="CR88" i="1"/>
  <c r="Q88" i="1" s="1"/>
  <c r="CX161" i="3"/>
  <c r="CX155" i="3"/>
  <c r="CX157" i="3"/>
  <c r="CX159" i="3"/>
  <c r="CR104" i="1"/>
  <c r="Q104" i="1" s="1"/>
  <c r="U104" i="1"/>
  <c r="CP91" i="1"/>
  <c r="O91" i="1" s="1"/>
  <c r="BB110" i="1"/>
  <c r="CR100" i="1"/>
  <c r="Q100" i="1" s="1"/>
  <c r="K183" i="6" s="1"/>
  <c r="S99" i="1"/>
  <c r="K173" i="6" s="1"/>
  <c r="CZ93" i="1"/>
  <c r="Y93" i="1" s="1"/>
  <c r="S89" i="1"/>
  <c r="CY87" i="1"/>
  <c r="X87" i="1" s="1"/>
  <c r="T136" i="6" s="1"/>
  <c r="CZ87" i="1"/>
  <c r="Y87" i="1" s="1"/>
  <c r="V136" i="6" s="1"/>
  <c r="S86" i="1"/>
  <c r="CZ84" i="1"/>
  <c r="Y84" i="1" s="1"/>
  <c r="V123" i="6" s="1"/>
  <c r="V78" i="1"/>
  <c r="CZ77" i="1"/>
  <c r="Y77" i="1" s="1"/>
  <c r="V103" i="6" s="1"/>
  <c r="AD76" i="1"/>
  <c r="CS76" i="1"/>
  <c r="R76" i="1" s="1"/>
  <c r="AB91" i="1"/>
  <c r="CZ83" i="1"/>
  <c r="Y83" i="1" s="1"/>
  <c r="U80" i="1"/>
  <c r="R80" i="1"/>
  <c r="W78" i="1"/>
  <c r="GX78" i="1"/>
  <c r="AB76" i="1"/>
  <c r="S100" i="1"/>
  <c r="K182" i="6" s="1"/>
  <c r="CX169" i="3"/>
  <c r="CX163" i="3"/>
  <c r="CX165" i="3"/>
  <c r="CX139" i="3"/>
  <c r="CX136" i="3"/>
  <c r="CX137" i="3"/>
  <c r="CX138" i="3"/>
  <c r="CR99" i="1"/>
  <c r="Q99" i="1" s="1"/>
  <c r="K174" i="6" s="1"/>
  <c r="CY97" i="1"/>
  <c r="X97" i="1" s="1"/>
  <c r="T168" i="6" s="1"/>
  <c r="CP92" i="1"/>
  <c r="O92" i="1" s="1"/>
  <c r="CR86" i="1"/>
  <c r="Q86" i="1" s="1"/>
  <c r="CZ82" i="1"/>
  <c r="Y82" i="1" s="1"/>
  <c r="V119" i="6" s="1"/>
  <c r="S80" i="1"/>
  <c r="AO110" i="1"/>
  <c r="BD110" i="1"/>
  <c r="CR107" i="1"/>
  <c r="Q107" i="1" s="1"/>
  <c r="P99" i="1"/>
  <c r="K176" i="6" s="1"/>
  <c r="CY94" i="1"/>
  <c r="X94" i="1" s="1"/>
  <c r="CZ94" i="1"/>
  <c r="Y94" i="1" s="1"/>
  <c r="CY91" i="1"/>
  <c r="X91" i="1" s="1"/>
  <c r="T150" i="6" s="1"/>
  <c r="CZ90" i="1"/>
  <c r="Y90" i="1" s="1"/>
  <c r="AB89" i="1"/>
  <c r="P86" i="1"/>
  <c r="K134" i="6" s="1"/>
  <c r="J135" i="6" s="1"/>
  <c r="P135" i="6" s="1"/>
  <c r="CY85" i="1"/>
  <c r="X85" i="1" s="1"/>
  <c r="T125" i="6" s="1"/>
  <c r="K130" i="6" s="1"/>
  <c r="CZ85" i="1"/>
  <c r="Y85" i="1" s="1"/>
  <c r="V125" i="6" s="1"/>
  <c r="K131" i="6" s="1"/>
  <c r="CP85" i="1"/>
  <c r="O85" i="1" s="1"/>
  <c r="Q79" i="1"/>
  <c r="R79" i="1"/>
  <c r="CY79" i="1" s="1"/>
  <c r="X79" i="1" s="1"/>
  <c r="T113" i="6" s="1"/>
  <c r="AP26" i="1"/>
  <c r="CX99" i="3"/>
  <c r="CX93" i="3"/>
  <c r="CX98" i="3"/>
  <c r="S78" i="1"/>
  <c r="GN36" i="1"/>
  <c r="GM34" i="1"/>
  <c r="GN34" i="1"/>
  <c r="CX135" i="3"/>
  <c r="CD26" i="1"/>
  <c r="BZ26" i="1"/>
  <c r="AQ39" i="1"/>
  <c r="CY73" i="1"/>
  <c r="X73" i="1" s="1"/>
  <c r="T86" i="6" s="1"/>
  <c r="K91" i="6" s="1"/>
  <c r="AO26" i="1"/>
  <c r="F43" i="1"/>
  <c r="CX154" i="3"/>
  <c r="CX75" i="3"/>
  <c r="CX76" i="3"/>
  <c r="CX77" i="3"/>
  <c r="CX83" i="3"/>
  <c r="CQ76" i="1"/>
  <c r="P76" i="1" s="1"/>
  <c r="K100" i="6" s="1"/>
  <c r="J102" i="6" s="1"/>
  <c r="P102" i="6" s="1"/>
  <c r="AB75" i="1"/>
  <c r="GM35" i="1"/>
  <c r="GN35" i="1"/>
  <c r="CX91" i="3"/>
  <c r="CX92" i="3"/>
  <c r="CX84" i="3"/>
  <c r="CX85" i="3"/>
  <c r="AB37" i="1"/>
  <c r="CQ37" i="1"/>
  <c r="AB29" i="1"/>
  <c r="CX167" i="3"/>
  <c r="CX162" i="3"/>
  <c r="Q80" i="1"/>
  <c r="T78" i="1"/>
  <c r="AG110" i="1" s="1"/>
  <c r="CP74" i="1"/>
  <c r="O74" i="1" s="1"/>
  <c r="BB26" i="1"/>
  <c r="F52" i="1"/>
  <c r="CC26" i="1"/>
  <c r="CS31" i="1"/>
  <c r="R31" i="1" s="1"/>
  <c r="CS29" i="1"/>
  <c r="R29" i="1" s="1"/>
  <c r="R28" i="1"/>
  <c r="CK26" i="1"/>
  <c r="CX142" i="3"/>
  <c r="CY30" i="1"/>
  <c r="X30" i="1" s="1"/>
  <c r="T51" i="6" s="1"/>
  <c r="K56" i="6" s="1"/>
  <c r="CX160" i="3"/>
  <c r="CX152" i="3"/>
  <c r="CQ31" i="1"/>
  <c r="P31" i="1" s="1"/>
  <c r="CP31" i="1" s="1"/>
  <c r="O31" i="1" s="1"/>
  <c r="CR30" i="1"/>
  <c r="Q30" i="1" s="1"/>
  <c r="K54" i="6" s="1"/>
  <c r="CQ29" i="1"/>
  <c r="P29" i="1" s="1"/>
  <c r="CX140" i="3"/>
  <c r="CX116" i="3"/>
  <c r="CZ30" i="1"/>
  <c r="Y30" i="1" s="1"/>
  <c r="V51" i="6" s="1"/>
  <c r="K57" i="6" s="1"/>
  <c r="GX28" i="1"/>
  <c r="V28" i="1"/>
  <c r="CX164" i="3"/>
  <c r="CX150" i="3"/>
  <c r="CX110" i="3"/>
  <c r="CX82" i="3"/>
  <c r="BC39" i="1"/>
  <c r="CX168" i="3"/>
  <c r="CX158" i="3"/>
  <c r="CX127" i="3"/>
  <c r="CX145" i="3"/>
  <c r="CX111" i="3"/>
  <c r="CX101" i="3"/>
  <c r="CX61" i="3"/>
  <c r="CX66" i="3"/>
  <c r="CX67" i="3"/>
  <c r="CX69" i="3"/>
  <c r="CX68" i="3"/>
  <c r="CX46" i="3"/>
  <c r="CX54" i="3"/>
  <c r="CX43" i="3"/>
  <c r="CX51" i="3"/>
  <c r="CX44" i="3"/>
  <c r="CX45" i="3"/>
  <c r="CX58" i="3"/>
  <c r="CX52" i="3"/>
  <c r="CX59" i="3"/>
  <c r="CX53" i="3"/>
  <c r="CX60" i="3"/>
  <c r="K35" i="1"/>
  <c r="CX148" i="3"/>
  <c r="CX146" i="3"/>
  <c r="CX144" i="3"/>
  <c r="CX134" i="3"/>
  <c r="CX38" i="3"/>
  <c r="CX35" i="3"/>
  <c r="CX36" i="3"/>
  <c r="CX37" i="3"/>
  <c r="CX22" i="3"/>
  <c r="CX30" i="3"/>
  <c r="CX19" i="3"/>
  <c r="CX27" i="3"/>
  <c r="CX20" i="3"/>
  <c r="CX21" i="3"/>
  <c r="CX28" i="3"/>
  <c r="CX29" i="3"/>
  <c r="CX6" i="3"/>
  <c r="CX14" i="3"/>
  <c r="CX3" i="3"/>
  <c r="CX11" i="3"/>
  <c r="CX5" i="3"/>
  <c r="CX12" i="3"/>
  <c r="CX13" i="3"/>
  <c r="CX4" i="3"/>
  <c r="S28" i="1"/>
  <c r="CX166" i="3"/>
  <c r="CX156" i="3"/>
  <c r="AB28" i="1"/>
  <c r="CX74" i="3"/>
  <c r="CX1" i="3"/>
  <c r="CX65" i="3"/>
  <c r="CX100" i="3"/>
  <c r="CX80" i="3"/>
  <c r="CX78" i="3"/>
  <c r="CX124" i="3"/>
  <c r="CX109" i="3"/>
  <c r="CX97" i="3"/>
  <c r="CX79" i="3"/>
  <c r="CX70" i="3"/>
  <c r="CX133" i="3"/>
  <c r="CX118" i="3"/>
  <c r="CX96" i="3"/>
  <c r="CX94" i="3"/>
  <c r="CX90" i="3"/>
  <c r="CX88" i="3"/>
  <c r="CX108" i="3"/>
  <c r="CX73" i="3"/>
  <c r="CX117" i="3"/>
  <c r="CX102" i="3"/>
  <c r="CX89" i="3"/>
  <c r="CX2" i="3"/>
  <c r="CX64" i="3"/>
  <c r="CX50" i="3"/>
  <c r="CX49" i="3"/>
  <c r="CX48" i="3"/>
  <c r="CX47" i="3"/>
  <c r="CX42" i="3"/>
  <c r="CX41" i="3"/>
  <c r="CX40" i="3"/>
  <c r="CX63" i="3"/>
  <c r="CX57" i="3"/>
  <c r="CX39" i="3"/>
  <c r="CX34" i="3"/>
  <c r="CX33" i="3"/>
  <c r="CX32" i="3"/>
  <c r="CX87" i="3"/>
  <c r="CX72" i="3"/>
  <c r="CX62" i="3"/>
  <c r="CX56" i="3"/>
  <c r="CX31" i="3"/>
  <c r="CX26" i="3"/>
  <c r="CX25" i="3"/>
  <c r="CX24" i="3"/>
  <c r="CX18" i="3"/>
  <c r="CX17" i="3"/>
  <c r="CX16" i="3"/>
  <c r="CX8" i="3"/>
  <c r="CX7" i="3"/>
  <c r="CX86" i="3"/>
  <c r="CX81" i="3"/>
  <c r="CX23" i="3"/>
  <c r="CX15" i="3"/>
  <c r="CX10" i="3"/>
  <c r="CX9" i="3"/>
  <c r="CX95" i="3"/>
  <c r="CX71" i="3"/>
  <c r="CX55" i="3"/>
  <c r="W94" i="6" l="1"/>
  <c r="J59" i="6"/>
  <c r="P59" i="6" s="1"/>
  <c r="G59" i="6"/>
  <c r="O59" i="6" s="1"/>
  <c r="W236" i="6"/>
  <c r="J133" i="6"/>
  <c r="P133" i="6" s="1"/>
  <c r="T164" i="6"/>
  <c r="GN75" i="1"/>
  <c r="T97" i="6"/>
  <c r="HD33" i="1"/>
  <c r="K71" i="6"/>
  <c r="J72" i="6" s="1"/>
  <c r="P72" i="6" s="1"/>
  <c r="CP100" i="1"/>
  <c r="O100" i="1" s="1"/>
  <c r="K185" i="6"/>
  <c r="CY29" i="1"/>
  <c r="X29" i="1" s="1"/>
  <c r="T42" i="6" s="1"/>
  <c r="K47" i="6" s="1"/>
  <c r="K46" i="6"/>
  <c r="GM105" i="1"/>
  <c r="V213" i="6"/>
  <c r="GM102" i="1"/>
  <c r="T192" i="6"/>
  <c r="X133" i="6"/>
  <c r="HD32" i="1"/>
  <c r="K69" i="6"/>
  <c r="J70" i="6" s="1"/>
  <c r="P70" i="6" s="1"/>
  <c r="L161" i="6"/>
  <c r="Q161" i="6" s="1"/>
  <c r="L160" i="6"/>
  <c r="GN32" i="1"/>
  <c r="CY31" i="1"/>
  <c r="X31" i="1" s="1"/>
  <c r="T60" i="6" s="1"/>
  <c r="K65" i="6" s="1"/>
  <c r="K64" i="6"/>
  <c r="CZ96" i="1"/>
  <c r="Y96" i="1" s="1"/>
  <c r="V166" i="6" s="1"/>
  <c r="CP96" i="1"/>
  <c r="O96" i="1" s="1"/>
  <c r="CY77" i="1"/>
  <c r="X77" i="1" s="1"/>
  <c r="W78" i="6"/>
  <c r="G78" i="6"/>
  <c r="O78" i="6" s="1"/>
  <c r="CP95" i="1"/>
  <c r="O95" i="1" s="1"/>
  <c r="GN95" i="1" s="1"/>
  <c r="K164" i="6"/>
  <c r="J165" i="6" s="1"/>
  <c r="P165" i="6" s="1"/>
  <c r="W72" i="6"/>
  <c r="G72" i="6"/>
  <c r="O72" i="6" s="1"/>
  <c r="K37" i="1"/>
  <c r="U77" i="6"/>
  <c r="S77" i="6"/>
  <c r="E77" i="6"/>
  <c r="I37" i="1"/>
  <c r="R196" i="6"/>
  <c r="G203" i="6"/>
  <c r="O203" i="6" s="1"/>
  <c r="W203" i="6"/>
  <c r="W70" i="6"/>
  <c r="G70" i="6"/>
  <c r="O70" i="6" s="1"/>
  <c r="G124" i="6"/>
  <c r="O124" i="6" s="1"/>
  <c r="W124" i="6"/>
  <c r="HD34" i="1"/>
  <c r="K73" i="6"/>
  <c r="J74" i="6" s="1"/>
  <c r="P74" i="6" s="1"/>
  <c r="V162" i="6"/>
  <c r="L211" i="6"/>
  <c r="L212" i="6"/>
  <c r="Q212" i="6" s="1"/>
  <c r="CP88" i="1"/>
  <c r="O88" i="1" s="1"/>
  <c r="K145" i="6" s="1"/>
  <c r="W76" i="6"/>
  <c r="G76" i="6"/>
  <c r="O76" i="6" s="1"/>
  <c r="R62" i="6"/>
  <c r="W68" i="6"/>
  <c r="W120" i="6"/>
  <c r="G120" i="6"/>
  <c r="O120" i="6" s="1"/>
  <c r="W165" i="6"/>
  <c r="G165" i="6"/>
  <c r="O165" i="6" s="1"/>
  <c r="CP80" i="1"/>
  <c r="O80" i="1" s="1"/>
  <c r="K114" i="6" s="1"/>
  <c r="CP30" i="1"/>
  <c r="O30" i="1" s="1"/>
  <c r="GN33" i="1"/>
  <c r="HD35" i="1"/>
  <c r="K75" i="6"/>
  <c r="J76" i="6" s="1"/>
  <c r="P76" i="6" s="1"/>
  <c r="T162" i="6"/>
  <c r="GN93" i="1"/>
  <c r="V154" i="6"/>
  <c r="K159" i="6" s="1"/>
  <c r="CP104" i="1"/>
  <c r="O104" i="1" s="1"/>
  <c r="K206" i="6"/>
  <c r="G99" i="6"/>
  <c r="O99" i="6" s="1"/>
  <c r="W99" i="6"/>
  <c r="G163" i="6"/>
  <c r="O163" i="6" s="1"/>
  <c r="W163" i="6"/>
  <c r="W180" i="6"/>
  <c r="R182" i="6"/>
  <c r="G189" i="6"/>
  <c r="O189" i="6" s="1"/>
  <c r="X189" i="6"/>
  <c r="W191" i="6"/>
  <c r="G191" i="6"/>
  <c r="O191" i="6" s="1"/>
  <c r="CP103" i="1"/>
  <c r="O103" i="1" s="1"/>
  <c r="GM103" i="1" s="1"/>
  <c r="K199" i="6"/>
  <c r="H109" i="6"/>
  <c r="H143" i="6"/>
  <c r="W169" i="6"/>
  <c r="G169" i="6"/>
  <c r="O169" i="6" s="1"/>
  <c r="R229" i="6"/>
  <c r="G236" i="6"/>
  <c r="O236" i="6" s="1"/>
  <c r="CZ74" i="1"/>
  <c r="Y74" i="1" s="1"/>
  <c r="V95" i="6" s="1"/>
  <c r="BY26" i="1"/>
  <c r="CP73" i="1"/>
  <c r="O73" i="1" s="1"/>
  <c r="GM36" i="1"/>
  <c r="GN90" i="1"/>
  <c r="V148" i="6"/>
  <c r="CY76" i="1"/>
  <c r="X76" i="1" s="1"/>
  <c r="T100" i="6" s="1"/>
  <c r="CZ95" i="1"/>
  <c r="Y95" i="1" s="1"/>
  <c r="V164" i="6" s="1"/>
  <c r="CP101" i="1"/>
  <c r="O101" i="1" s="1"/>
  <c r="K190" i="6"/>
  <c r="J191" i="6" s="1"/>
  <c r="P191" i="6" s="1"/>
  <c r="CP106" i="1"/>
  <c r="O106" i="1" s="1"/>
  <c r="J236" i="6"/>
  <c r="P236" i="6" s="1"/>
  <c r="CZ106" i="1"/>
  <c r="Y106" i="1" s="1"/>
  <c r="V215" i="6" s="1"/>
  <c r="G68" i="6"/>
  <c r="O68" i="6" s="1"/>
  <c r="W74" i="6"/>
  <c r="G74" i="6"/>
  <c r="O74" i="6" s="1"/>
  <c r="S37" i="1"/>
  <c r="W50" i="6"/>
  <c r="R44" i="6"/>
  <c r="W122" i="6"/>
  <c r="G122" i="6"/>
  <c r="O122" i="6" s="1"/>
  <c r="CP87" i="1"/>
  <c r="O87" i="1" s="1"/>
  <c r="K141" i="6"/>
  <c r="R155" i="6"/>
  <c r="G161" i="6"/>
  <c r="O161" i="6" s="1"/>
  <c r="CP94" i="1"/>
  <c r="O94" i="1" s="1"/>
  <c r="GM94" i="1" s="1"/>
  <c r="K162" i="6"/>
  <c r="J163" i="6" s="1"/>
  <c r="P163" i="6" s="1"/>
  <c r="X212" i="6"/>
  <c r="G212" i="6"/>
  <c r="O212" i="6" s="1"/>
  <c r="R205" i="6"/>
  <c r="W226" i="6"/>
  <c r="R126" i="6"/>
  <c r="G133" i="6"/>
  <c r="O133" i="6" s="1"/>
  <c r="CY93" i="1"/>
  <c r="X93" i="1" s="1"/>
  <c r="T154" i="6" s="1"/>
  <c r="K158" i="6" s="1"/>
  <c r="J161" i="6" s="1"/>
  <c r="P161" i="6" s="1"/>
  <c r="G180" i="6"/>
  <c r="O180" i="6" s="1"/>
  <c r="R173" i="6"/>
  <c r="W193" i="6"/>
  <c r="G193" i="6"/>
  <c r="O193" i="6" s="1"/>
  <c r="R138" i="6"/>
  <c r="W167" i="6"/>
  <c r="G167" i="6"/>
  <c r="O167" i="6" s="1"/>
  <c r="P88" i="1"/>
  <c r="V88" i="1"/>
  <c r="AI110" i="1" s="1"/>
  <c r="CX132" i="3"/>
  <c r="CX126" i="3"/>
  <c r="CP28" i="1"/>
  <c r="O28" i="1" s="1"/>
  <c r="K36" i="6"/>
  <c r="CX125" i="3"/>
  <c r="CP29" i="1"/>
  <c r="O29" i="1" s="1"/>
  <c r="P37" i="1"/>
  <c r="AC39" i="1" s="1"/>
  <c r="CI39" i="1"/>
  <c r="CZ73" i="1"/>
  <c r="Y73" i="1" s="1"/>
  <c r="V86" i="6" s="1"/>
  <c r="K92" i="6" s="1"/>
  <c r="J94" i="6" s="1"/>
  <c r="P94" i="6" s="1"/>
  <c r="CP78" i="1"/>
  <c r="O78" i="1" s="1"/>
  <c r="K112" i="6" s="1"/>
  <c r="CZ81" i="1"/>
  <c r="Y81" i="1" s="1"/>
  <c r="CP107" i="1"/>
  <c r="O107" i="1" s="1"/>
  <c r="K220" i="6"/>
  <c r="J226" i="6" s="1"/>
  <c r="P226" i="6" s="1"/>
  <c r="GM83" i="1"/>
  <c r="V121" i="6"/>
  <c r="CP82" i="1"/>
  <c r="O82" i="1" s="1"/>
  <c r="K119" i="6"/>
  <c r="J120" i="6" s="1"/>
  <c r="P120" i="6" s="1"/>
  <c r="CP84" i="1"/>
  <c r="O84" i="1" s="1"/>
  <c r="K123" i="6"/>
  <c r="J124" i="6" s="1"/>
  <c r="P124" i="6" s="1"/>
  <c r="GN103" i="1"/>
  <c r="T194" i="6"/>
  <c r="K200" i="6" s="1"/>
  <c r="GX100" i="1"/>
  <c r="W100" i="1"/>
  <c r="U100" i="1"/>
  <c r="AH110" i="1" s="1"/>
  <c r="CX128" i="3"/>
  <c r="CZ104" i="1"/>
  <c r="Y104" i="1" s="1"/>
  <c r="V204" i="6" s="1"/>
  <c r="K210" i="6" s="1"/>
  <c r="G50" i="6"/>
  <c r="O50" i="6" s="1"/>
  <c r="E75" i="6"/>
  <c r="S75" i="6"/>
  <c r="U75" i="6"/>
  <c r="R87" i="6"/>
  <c r="G94" i="6"/>
  <c r="O94" i="6" s="1"/>
  <c r="G41" i="6"/>
  <c r="O41" i="6" s="1"/>
  <c r="W41" i="6"/>
  <c r="R36" i="6"/>
  <c r="W59" i="6"/>
  <c r="R53" i="6"/>
  <c r="CP77" i="1"/>
  <c r="O77" i="1" s="1"/>
  <c r="GN77" i="1" s="1"/>
  <c r="K108" i="6"/>
  <c r="L147" i="6"/>
  <c r="Q147" i="6" s="1"/>
  <c r="L144" i="6"/>
  <c r="W161" i="6"/>
  <c r="R219" i="6"/>
  <c r="G226" i="6"/>
  <c r="O226" i="6" s="1"/>
  <c r="S145" i="6"/>
  <c r="H142" i="6" s="1"/>
  <c r="W216" i="6"/>
  <c r="G216" i="6"/>
  <c r="O216" i="6" s="1"/>
  <c r="H110" i="6"/>
  <c r="L133" i="6"/>
  <c r="Q133" i="6" s="1"/>
  <c r="L132" i="6"/>
  <c r="H145" i="6"/>
  <c r="W145" i="6" s="1"/>
  <c r="G214" i="6"/>
  <c r="O214" i="6" s="1"/>
  <c r="W214" i="6"/>
  <c r="S88" i="1"/>
  <c r="GM107" i="1"/>
  <c r="GN107" i="1"/>
  <c r="AG71" i="1"/>
  <c r="T110" i="1"/>
  <c r="GM104" i="1"/>
  <c r="GO104" i="1"/>
  <c r="DF24" i="3"/>
  <c r="DJ24" i="3" s="1"/>
  <c r="DG24" i="3"/>
  <c r="DH24" i="3"/>
  <c r="DI24" i="3"/>
  <c r="DH102" i="3"/>
  <c r="DI102" i="3"/>
  <c r="DF102" i="3"/>
  <c r="DG102" i="3"/>
  <c r="DJ102" i="3" s="1"/>
  <c r="DF117" i="3"/>
  <c r="DJ117" i="3" s="1"/>
  <c r="DH117" i="3"/>
  <c r="DI117" i="3"/>
  <c r="DG117" i="3"/>
  <c r="DG30" i="3"/>
  <c r="DH30" i="3"/>
  <c r="DI30" i="3"/>
  <c r="DF30" i="3"/>
  <c r="DJ30" i="3" s="1"/>
  <c r="DF157" i="3"/>
  <c r="DG157" i="3"/>
  <c r="DJ157" i="3" s="1"/>
  <c r="DI157" i="3"/>
  <c r="DH157" i="3"/>
  <c r="DF34" i="3"/>
  <c r="DH34" i="3"/>
  <c r="DI34" i="3"/>
  <c r="DJ34" i="3" s="1"/>
  <c r="DG34" i="3"/>
  <c r="DF133" i="3"/>
  <c r="DH133" i="3"/>
  <c r="DG133" i="3"/>
  <c r="DI133" i="3"/>
  <c r="DJ133" i="3" s="1"/>
  <c r="DI148" i="3"/>
  <c r="DH148" i="3"/>
  <c r="DG148" i="3"/>
  <c r="DJ148" i="3" s="1"/>
  <c r="DF148" i="3"/>
  <c r="DG158" i="3"/>
  <c r="DJ158" i="3" s="1"/>
  <c r="DH158" i="3"/>
  <c r="DF158" i="3"/>
  <c r="DI158" i="3"/>
  <c r="DF8" i="3"/>
  <c r="DJ8" i="3" s="1"/>
  <c r="DG8" i="3"/>
  <c r="DH8" i="3"/>
  <c r="DI8" i="3"/>
  <c r="DH57" i="3"/>
  <c r="DI57" i="3"/>
  <c r="DF57" i="3"/>
  <c r="DJ57" i="3" s="1"/>
  <c r="DG57" i="3"/>
  <c r="DH79" i="3"/>
  <c r="DF79" i="3"/>
  <c r="DG79" i="3"/>
  <c r="DJ79" i="3" s="1"/>
  <c r="DI79" i="3"/>
  <c r="DF13" i="3"/>
  <c r="DJ13" i="3" s="1"/>
  <c r="DG13" i="3"/>
  <c r="DI13" i="3"/>
  <c r="DH13" i="3"/>
  <c r="DF43" i="3"/>
  <c r="DG43" i="3"/>
  <c r="DJ43" i="3" s="1"/>
  <c r="DH43" i="3"/>
  <c r="DI43" i="3"/>
  <c r="DG15" i="3"/>
  <c r="DH15" i="3"/>
  <c r="DI15" i="3"/>
  <c r="DF15" i="3"/>
  <c r="DJ15" i="3" s="1"/>
  <c r="DF18" i="3"/>
  <c r="DH18" i="3"/>
  <c r="DI18" i="3"/>
  <c r="DJ18" i="3" s="1"/>
  <c r="DG18" i="3"/>
  <c r="DH87" i="3"/>
  <c r="DF87" i="3"/>
  <c r="DG87" i="3"/>
  <c r="DJ87" i="3" s="1"/>
  <c r="DI87" i="3"/>
  <c r="DH41" i="3"/>
  <c r="DI41" i="3"/>
  <c r="DJ41" i="3" s="1"/>
  <c r="DF41" i="3"/>
  <c r="DG41" i="3"/>
  <c r="DH89" i="3"/>
  <c r="DI89" i="3"/>
  <c r="DF89" i="3"/>
  <c r="DJ89" i="3" s="1"/>
  <c r="DG89" i="3"/>
  <c r="DG94" i="3"/>
  <c r="DH94" i="3"/>
  <c r="DI94" i="3"/>
  <c r="DJ94" i="3" s="1"/>
  <c r="DF94" i="3"/>
  <c r="DH124" i="3"/>
  <c r="DF124" i="3"/>
  <c r="DG124" i="3"/>
  <c r="DJ124" i="3" s="1"/>
  <c r="DI124" i="3"/>
  <c r="DF11" i="3"/>
  <c r="DJ11" i="3" s="1"/>
  <c r="DG11" i="3"/>
  <c r="DH11" i="3"/>
  <c r="DI11" i="3"/>
  <c r="DF27" i="3"/>
  <c r="DJ27" i="3" s="1"/>
  <c r="DG27" i="3"/>
  <c r="DH27" i="3"/>
  <c r="DI27" i="3"/>
  <c r="DH134" i="3"/>
  <c r="DI134" i="3"/>
  <c r="DJ134" i="3" s="1"/>
  <c r="DF134" i="3"/>
  <c r="DG134" i="3"/>
  <c r="DI52" i="3"/>
  <c r="DG52" i="3"/>
  <c r="DF52" i="3"/>
  <c r="DJ52" i="3" s="1"/>
  <c r="DH52" i="3"/>
  <c r="DI68" i="3"/>
  <c r="DG68" i="3"/>
  <c r="DF68" i="3"/>
  <c r="DJ68" i="3" s="1"/>
  <c r="DH68" i="3"/>
  <c r="DI145" i="3"/>
  <c r="DF145" i="3"/>
  <c r="DG145" i="3"/>
  <c r="DJ145" i="3" s="1"/>
  <c r="DH145" i="3"/>
  <c r="DG150" i="3"/>
  <c r="DH150" i="3"/>
  <c r="DI150" i="3"/>
  <c r="DF150" i="3"/>
  <c r="DJ150" i="3" s="1"/>
  <c r="DI84" i="3"/>
  <c r="DJ84" i="3" s="1"/>
  <c r="DG84" i="3"/>
  <c r="DF84" i="3"/>
  <c r="DH84" i="3"/>
  <c r="CZ31" i="1"/>
  <c r="Y31" i="1" s="1"/>
  <c r="V60" i="6" s="1"/>
  <c r="K66" i="6" s="1"/>
  <c r="J68" i="6" s="1"/>
  <c r="P68" i="6" s="1"/>
  <c r="DI76" i="3"/>
  <c r="DG76" i="3"/>
  <c r="DJ76" i="3" s="1"/>
  <c r="DF76" i="3"/>
  <c r="DH76" i="3"/>
  <c r="GM73" i="1"/>
  <c r="GN73" i="1"/>
  <c r="DG99" i="3"/>
  <c r="DH99" i="3"/>
  <c r="DI99" i="3"/>
  <c r="DF99" i="3"/>
  <c r="DJ99" i="3" s="1"/>
  <c r="CP99" i="1"/>
  <c r="O99" i="1" s="1"/>
  <c r="DG139" i="3"/>
  <c r="DH139" i="3"/>
  <c r="DF139" i="3"/>
  <c r="DJ139" i="3" s="1"/>
  <c r="DI139" i="3"/>
  <c r="DI105" i="3"/>
  <c r="DG105" i="3"/>
  <c r="DJ105" i="3" s="1"/>
  <c r="DF105" i="3"/>
  <c r="DH105" i="3"/>
  <c r="DG107" i="3"/>
  <c r="DJ107" i="3" s="1"/>
  <c r="DH107" i="3"/>
  <c r="DI107" i="3"/>
  <c r="DF107" i="3"/>
  <c r="DF143" i="3"/>
  <c r="DG143" i="3"/>
  <c r="DJ143" i="3" s="1"/>
  <c r="DH143" i="3"/>
  <c r="DI143" i="3"/>
  <c r="AP71" i="1"/>
  <c r="AP140" i="1"/>
  <c r="F119" i="1"/>
  <c r="GM90" i="1"/>
  <c r="DG122" i="3"/>
  <c r="DI122" i="3"/>
  <c r="DJ122" i="3" s="1"/>
  <c r="DH122" i="3"/>
  <c r="DF122" i="3"/>
  <c r="DF42" i="3"/>
  <c r="DH42" i="3"/>
  <c r="DI42" i="3"/>
  <c r="DG42" i="3"/>
  <c r="DJ42" i="3" s="1"/>
  <c r="DI156" i="3"/>
  <c r="DH156" i="3"/>
  <c r="DF156" i="3"/>
  <c r="DG156" i="3"/>
  <c r="DJ156" i="3" s="1"/>
  <c r="DF19" i="3"/>
  <c r="DG19" i="3"/>
  <c r="DJ19" i="3" s="1"/>
  <c r="DH19" i="3"/>
  <c r="DI19" i="3"/>
  <c r="DF144" i="3"/>
  <c r="DI144" i="3"/>
  <c r="DH144" i="3"/>
  <c r="DG144" i="3"/>
  <c r="DJ144" i="3" s="1"/>
  <c r="DF58" i="3"/>
  <c r="DJ58" i="3" s="1"/>
  <c r="DI58" i="3"/>
  <c r="DG58" i="3"/>
  <c r="DH58" i="3"/>
  <c r="DG69" i="3"/>
  <c r="DF69" i="3"/>
  <c r="DJ69" i="3" s="1"/>
  <c r="DH69" i="3"/>
  <c r="DI69" i="3"/>
  <c r="DI164" i="3"/>
  <c r="DH164" i="3"/>
  <c r="DF164" i="3"/>
  <c r="DG164" i="3"/>
  <c r="DJ164" i="3" s="1"/>
  <c r="GM31" i="1"/>
  <c r="GN31" i="1"/>
  <c r="GN74" i="1"/>
  <c r="DI92" i="3"/>
  <c r="DG92" i="3"/>
  <c r="DF92" i="3"/>
  <c r="DJ92" i="3" s="1"/>
  <c r="DH92" i="3"/>
  <c r="DF75" i="3"/>
  <c r="DG75" i="3"/>
  <c r="DJ75" i="3" s="1"/>
  <c r="DI75" i="3"/>
  <c r="DH75" i="3"/>
  <c r="CP86" i="1"/>
  <c r="O86" i="1" s="1"/>
  <c r="DG165" i="3"/>
  <c r="DJ165" i="3" s="1"/>
  <c r="DF165" i="3"/>
  <c r="DH165" i="3"/>
  <c r="DI165" i="3"/>
  <c r="DI159" i="3"/>
  <c r="DF159" i="3"/>
  <c r="DG159" i="3"/>
  <c r="DJ159" i="3" s="1"/>
  <c r="DH159" i="3"/>
  <c r="GM84" i="1"/>
  <c r="GN84" i="1"/>
  <c r="DG106" i="3"/>
  <c r="DJ106" i="3" s="1"/>
  <c r="DF106" i="3"/>
  <c r="DH106" i="3"/>
  <c r="DI106" i="3"/>
  <c r="GN101" i="1"/>
  <c r="GM101" i="1"/>
  <c r="DF141" i="3"/>
  <c r="DG141" i="3"/>
  <c r="DH141" i="3"/>
  <c r="DI141" i="3"/>
  <c r="DJ141" i="3" s="1"/>
  <c r="GN83" i="1"/>
  <c r="DG131" i="3"/>
  <c r="DH131" i="3"/>
  <c r="DI131" i="3"/>
  <c r="DF131" i="3"/>
  <c r="DJ131" i="3" s="1"/>
  <c r="DH118" i="3"/>
  <c r="DI118" i="3"/>
  <c r="DF118" i="3"/>
  <c r="DJ118" i="3" s="1"/>
  <c r="DG118" i="3"/>
  <c r="GN92" i="1"/>
  <c r="GM92" i="1"/>
  <c r="AX26" i="1"/>
  <c r="F46" i="1"/>
  <c r="DG114" i="3"/>
  <c r="DF114" i="3"/>
  <c r="DJ114" i="3" s="1"/>
  <c r="DH114" i="3"/>
  <c r="DI114" i="3"/>
  <c r="CG71" i="1"/>
  <c r="AX110" i="1"/>
  <c r="DH153" i="3"/>
  <c r="DI153" i="3"/>
  <c r="DG153" i="3"/>
  <c r="DF153" i="3"/>
  <c r="DJ153" i="3" s="1"/>
  <c r="CZ79" i="1"/>
  <c r="Y79" i="1" s="1"/>
  <c r="V113" i="6" s="1"/>
  <c r="DG123" i="3"/>
  <c r="DJ123" i="3" s="1"/>
  <c r="DH123" i="3"/>
  <c r="DF123" i="3"/>
  <c r="DI123" i="3"/>
  <c r="DF3" i="3"/>
  <c r="DG3" i="3"/>
  <c r="DH3" i="3"/>
  <c r="DI3" i="3"/>
  <c r="DJ3" i="3" s="1"/>
  <c r="GN30" i="1"/>
  <c r="GM30" i="1"/>
  <c r="CY99" i="1"/>
  <c r="X99" i="1" s="1"/>
  <c r="T172" i="6" s="1"/>
  <c r="K177" i="6" s="1"/>
  <c r="CZ99" i="1"/>
  <c r="Y99" i="1" s="1"/>
  <c r="V172" i="6" s="1"/>
  <c r="K178" i="6" s="1"/>
  <c r="DF104" i="3"/>
  <c r="DG104" i="3"/>
  <c r="DJ104" i="3" s="1"/>
  <c r="DI104" i="3"/>
  <c r="DH104" i="3"/>
  <c r="BC71" i="1"/>
  <c r="F126" i="1"/>
  <c r="DG23" i="3"/>
  <c r="DJ23" i="3" s="1"/>
  <c r="DH23" i="3"/>
  <c r="DI23" i="3"/>
  <c r="DF23" i="3"/>
  <c r="DG78" i="3"/>
  <c r="DJ78" i="3" s="1"/>
  <c r="DH78" i="3"/>
  <c r="DF78" i="3"/>
  <c r="DI78" i="3"/>
  <c r="DG47" i="3"/>
  <c r="DJ47" i="3" s="1"/>
  <c r="DH47" i="3"/>
  <c r="DF47" i="3"/>
  <c r="DI47" i="3"/>
  <c r="DG166" i="3"/>
  <c r="DJ166" i="3" s="1"/>
  <c r="DH166" i="3"/>
  <c r="DF166" i="3"/>
  <c r="DI166" i="3"/>
  <c r="DF45" i="3"/>
  <c r="DG45" i="3"/>
  <c r="DJ45" i="3" s="1"/>
  <c r="DI45" i="3"/>
  <c r="DH45" i="3"/>
  <c r="DF127" i="3"/>
  <c r="DI127" i="3"/>
  <c r="DH127" i="3"/>
  <c r="DG127" i="3"/>
  <c r="DJ127" i="3" s="1"/>
  <c r="DF152" i="3"/>
  <c r="DJ152" i="3" s="1"/>
  <c r="DG152" i="3"/>
  <c r="DH152" i="3"/>
  <c r="DI152" i="3"/>
  <c r="DF91" i="3"/>
  <c r="DJ91" i="3" s="1"/>
  <c r="DG91" i="3"/>
  <c r="DI91" i="3"/>
  <c r="DH91" i="3"/>
  <c r="BD71" i="1"/>
  <c r="F135" i="1"/>
  <c r="DH55" i="3"/>
  <c r="DI55" i="3"/>
  <c r="DF55" i="3"/>
  <c r="DJ55" i="3" s="1"/>
  <c r="DG55" i="3"/>
  <c r="DH132" i="3"/>
  <c r="DI132" i="3"/>
  <c r="DG132" i="3"/>
  <c r="DF132" i="3"/>
  <c r="DJ132" i="3" s="1"/>
  <c r="DG22" i="3"/>
  <c r="DJ22" i="3" s="1"/>
  <c r="DH22" i="3"/>
  <c r="DI22" i="3"/>
  <c r="DF22" i="3"/>
  <c r="DF66" i="3"/>
  <c r="DJ66" i="3" s="1"/>
  <c r="DI66" i="3"/>
  <c r="DG66" i="3"/>
  <c r="DH66" i="3"/>
  <c r="DF160" i="3"/>
  <c r="DJ160" i="3" s="1"/>
  <c r="DH160" i="3"/>
  <c r="DG160" i="3"/>
  <c r="DI160" i="3"/>
  <c r="AQ26" i="1"/>
  <c r="AQ140" i="1"/>
  <c r="F49" i="1"/>
  <c r="DH169" i="3"/>
  <c r="DI169" i="3"/>
  <c r="DG169" i="3"/>
  <c r="DF169" i="3"/>
  <c r="DJ169" i="3" s="1"/>
  <c r="CY86" i="1"/>
  <c r="X86" i="1" s="1"/>
  <c r="T134" i="6" s="1"/>
  <c r="CZ86" i="1"/>
  <c r="Y86" i="1" s="1"/>
  <c r="V134" i="6" s="1"/>
  <c r="DF155" i="3"/>
  <c r="DG155" i="3"/>
  <c r="DH155" i="3"/>
  <c r="DI155" i="3"/>
  <c r="DJ155" i="3" s="1"/>
  <c r="DH71" i="3"/>
  <c r="DI71" i="3"/>
  <c r="DJ71" i="3" s="1"/>
  <c r="DF71" i="3"/>
  <c r="DG71" i="3"/>
  <c r="DF7" i="3"/>
  <c r="DG7" i="3"/>
  <c r="DJ7" i="3" s="1"/>
  <c r="DH7" i="3"/>
  <c r="DI7" i="3"/>
  <c r="DG31" i="3"/>
  <c r="DH31" i="3"/>
  <c r="DF31" i="3"/>
  <c r="DJ31" i="3" s="1"/>
  <c r="DI31" i="3"/>
  <c r="DG39" i="3"/>
  <c r="DH39" i="3"/>
  <c r="DF39" i="3"/>
  <c r="DJ39" i="3" s="1"/>
  <c r="DI39" i="3"/>
  <c r="DH49" i="3"/>
  <c r="DI49" i="3"/>
  <c r="DF49" i="3"/>
  <c r="DJ49" i="3" s="1"/>
  <c r="DG49" i="3"/>
  <c r="DH73" i="3"/>
  <c r="DI73" i="3"/>
  <c r="DF73" i="3"/>
  <c r="DG73" i="3"/>
  <c r="DJ73" i="3" s="1"/>
  <c r="DG70" i="3"/>
  <c r="DH70" i="3"/>
  <c r="DI70" i="3"/>
  <c r="DJ70" i="3" s="1"/>
  <c r="DF70" i="3"/>
  <c r="DH65" i="3"/>
  <c r="DI65" i="3"/>
  <c r="DF65" i="3"/>
  <c r="DG65" i="3"/>
  <c r="DJ65" i="3" s="1"/>
  <c r="DI4" i="3"/>
  <c r="DJ4" i="3" s="1"/>
  <c r="DF4" i="3"/>
  <c r="DG4" i="3"/>
  <c r="DH4" i="3"/>
  <c r="DF29" i="3"/>
  <c r="DJ29" i="3" s="1"/>
  <c r="DG29" i="3"/>
  <c r="DI29" i="3"/>
  <c r="DH29" i="3"/>
  <c r="DF37" i="3"/>
  <c r="DG37" i="3"/>
  <c r="DJ37" i="3" s="1"/>
  <c r="DI37" i="3"/>
  <c r="DH37" i="3"/>
  <c r="DF51" i="3"/>
  <c r="DJ51" i="3" s="1"/>
  <c r="DG51" i="3"/>
  <c r="DH51" i="3"/>
  <c r="DI51" i="3"/>
  <c r="DG61" i="3"/>
  <c r="DI61" i="3"/>
  <c r="DJ61" i="3" s="1"/>
  <c r="DF61" i="3"/>
  <c r="DH61" i="3"/>
  <c r="DF168" i="3"/>
  <c r="DJ168" i="3" s="1"/>
  <c r="DH168" i="3"/>
  <c r="DG168" i="3"/>
  <c r="DI168" i="3"/>
  <c r="AD110" i="1"/>
  <c r="CP79" i="1"/>
  <c r="O79" i="1" s="1"/>
  <c r="K113" i="6" s="1"/>
  <c r="CY100" i="1"/>
  <c r="X100" i="1" s="1"/>
  <c r="CZ100" i="1"/>
  <c r="Y100" i="1" s="1"/>
  <c r="V181" i="6" s="1"/>
  <c r="K187" i="6" s="1"/>
  <c r="GM96" i="1"/>
  <c r="GN96" i="1"/>
  <c r="DH161" i="3"/>
  <c r="DI161" i="3"/>
  <c r="DG161" i="3"/>
  <c r="DF161" i="3"/>
  <c r="DJ161" i="3" s="1"/>
  <c r="DI113" i="3"/>
  <c r="DG113" i="3"/>
  <c r="DF113" i="3"/>
  <c r="DJ113" i="3" s="1"/>
  <c r="DH113" i="3"/>
  <c r="GM93" i="1"/>
  <c r="GM108" i="1"/>
  <c r="GN108" i="1"/>
  <c r="GN105" i="1"/>
  <c r="DG130" i="3"/>
  <c r="DF130" i="3"/>
  <c r="DJ130" i="3" s="1"/>
  <c r="DH130" i="3"/>
  <c r="DI130" i="3"/>
  <c r="DH81" i="3"/>
  <c r="DI81" i="3"/>
  <c r="DF81" i="3"/>
  <c r="DJ81" i="3" s="1"/>
  <c r="DG81" i="3"/>
  <c r="DI146" i="3"/>
  <c r="DH146" i="3"/>
  <c r="DF146" i="3"/>
  <c r="DG146" i="3"/>
  <c r="DJ146" i="3" s="1"/>
  <c r="DF163" i="3"/>
  <c r="DG163" i="3"/>
  <c r="DI163" i="3"/>
  <c r="DJ163" i="3" s="1"/>
  <c r="DH163" i="3"/>
  <c r="DG86" i="3"/>
  <c r="DJ86" i="3" s="1"/>
  <c r="DH86" i="3"/>
  <c r="DI86" i="3"/>
  <c r="DF86" i="3"/>
  <c r="DG6" i="3"/>
  <c r="DJ6" i="3" s="1"/>
  <c r="DH6" i="3"/>
  <c r="DI6" i="3"/>
  <c r="DF6" i="3"/>
  <c r="DI36" i="3"/>
  <c r="DF36" i="3"/>
  <c r="DG36" i="3"/>
  <c r="DJ36" i="3" s="1"/>
  <c r="DH36" i="3"/>
  <c r="CY78" i="1"/>
  <c r="X78" i="1" s="1"/>
  <c r="CZ78" i="1"/>
  <c r="Y78" i="1" s="1"/>
  <c r="V112" i="6" s="1"/>
  <c r="AF110" i="1"/>
  <c r="DG138" i="3"/>
  <c r="DJ138" i="3" s="1"/>
  <c r="DF138" i="3"/>
  <c r="DH138" i="3"/>
  <c r="DI138" i="3"/>
  <c r="AE110" i="1"/>
  <c r="BB71" i="1"/>
  <c r="BB140" i="1"/>
  <c r="F123" i="1"/>
  <c r="GM82" i="1"/>
  <c r="GN82" i="1"/>
  <c r="GM75" i="1"/>
  <c r="GM95" i="1"/>
  <c r="DF103" i="3"/>
  <c r="DI103" i="3"/>
  <c r="DH103" i="3"/>
  <c r="DG103" i="3"/>
  <c r="DJ103" i="3" s="1"/>
  <c r="DI151" i="3"/>
  <c r="DF151" i="3"/>
  <c r="DJ151" i="3" s="1"/>
  <c r="DG151" i="3"/>
  <c r="DH151" i="3"/>
  <c r="GM106" i="1"/>
  <c r="GN106" i="1"/>
  <c r="AQ71" i="1"/>
  <c r="F120" i="1"/>
  <c r="DI129" i="3"/>
  <c r="DG129" i="3"/>
  <c r="DF129" i="3"/>
  <c r="DJ129" i="3" s="1"/>
  <c r="DH129" i="3"/>
  <c r="DH33" i="3"/>
  <c r="DI33" i="3"/>
  <c r="DJ33" i="3" s="1"/>
  <c r="DF33" i="3"/>
  <c r="DG33" i="3"/>
  <c r="DF154" i="3"/>
  <c r="DG154" i="3"/>
  <c r="DH154" i="3"/>
  <c r="DI154" i="3"/>
  <c r="DJ154" i="3" s="1"/>
  <c r="DF26" i="3"/>
  <c r="DJ26" i="3" s="1"/>
  <c r="DH26" i="3"/>
  <c r="DI26" i="3"/>
  <c r="DG26" i="3"/>
  <c r="DH100" i="3"/>
  <c r="DF100" i="3"/>
  <c r="DG100" i="3"/>
  <c r="DI100" i="3"/>
  <c r="DJ100" i="3" s="1"/>
  <c r="DI44" i="3"/>
  <c r="DF44" i="3"/>
  <c r="DG44" i="3"/>
  <c r="DJ44" i="3" s="1"/>
  <c r="DH44" i="3"/>
  <c r="DH95" i="3"/>
  <c r="DI95" i="3"/>
  <c r="DF95" i="3"/>
  <c r="DG95" i="3"/>
  <c r="DJ95" i="3" s="1"/>
  <c r="DH108" i="3"/>
  <c r="DG108" i="3"/>
  <c r="DI108" i="3"/>
  <c r="DF108" i="3"/>
  <c r="DJ108" i="3" s="1"/>
  <c r="DI60" i="3"/>
  <c r="DG60" i="3"/>
  <c r="DF60" i="3"/>
  <c r="DJ60" i="3" s="1"/>
  <c r="DH60" i="3"/>
  <c r="DG62" i="3"/>
  <c r="DH62" i="3"/>
  <c r="DF62" i="3"/>
  <c r="DI62" i="3"/>
  <c r="DJ62" i="3" s="1"/>
  <c r="DF74" i="3"/>
  <c r="DI74" i="3"/>
  <c r="DG74" i="3"/>
  <c r="DJ74" i="3" s="1"/>
  <c r="DH74" i="3"/>
  <c r="DF53" i="3"/>
  <c r="DJ53" i="3" s="1"/>
  <c r="DG53" i="3"/>
  <c r="DH53" i="3"/>
  <c r="DI53" i="3"/>
  <c r="DF82" i="3"/>
  <c r="DJ82" i="3" s="1"/>
  <c r="DI82" i="3"/>
  <c r="DG82" i="3"/>
  <c r="DH82" i="3"/>
  <c r="AT26" i="1"/>
  <c r="F57" i="1"/>
  <c r="DF83" i="3"/>
  <c r="DJ83" i="3" s="1"/>
  <c r="DG83" i="3"/>
  <c r="DI83" i="3"/>
  <c r="DH83" i="3"/>
  <c r="GO85" i="1"/>
  <c r="GM85" i="1"/>
  <c r="CJ110" i="1"/>
  <c r="GN91" i="1"/>
  <c r="GM91" i="1"/>
  <c r="DF119" i="3"/>
  <c r="DJ119" i="3" s="1"/>
  <c r="DI119" i="3"/>
  <c r="DG119" i="3"/>
  <c r="DH119" i="3"/>
  <c r="DF112" i="3"/>
  <c r="DJ112" i="3" s="1"/>
  <c r="DG112" i="3"/>
  <c r="DI112" i="3"/>
  <c r="DH112" i="3"/>
  <c r="DF149" i="3"/>
  <c r="DG149" i="3"/>
  <c r="DJ149" i="3" s="1"/>
  <c r="DH149" i="3"/>
  <c r="DI149" i="3"/>
  <c r="GN102" i="1"/>
  <c r="DI121" i="3"/>
  <c r="DJ121" i="3" s="1"/>
  <c r="DG121" i="3"/>
  <c r="DF121" i="3"/>
  <c r="DH121" i="3"/>
  <c r="AU71" i="1"/>
  <c r="F129" i="1"/>
  <c r="DF32" i="3"/>
  <c r="DJ32" i="3" s="1"/>
  <c r="DG32" i="3"/>
  <c r="DH32" i="3"/>
  <c r="DI32" i="3"/>
  <c r="DF96" i="3"/>
  <c r="DG96" i="3"/>
  <c r="DJ96" i="3" s="1"/>
  <c r="DH96" i="3"/>
  <c r="DI96" i="3"/>
  <c r="DH25" i="3"/>
  <c r="DI25" i="3"/>
  <c r="DF25" i="3"/>
  <c r="DJ25" i="3" s="1"/>
  <c r="DG25" i="3"/>
  <c r="DF80" i="3"/>
  <c r="DJ80" i="3" s="1"/>
  <c r="DH80" i="3"/>
  <c r="DI80" i="3"/>
  <c r="DG80" i="3"/>
  <c r="DG14" i="3"/>
  <c r="DH14" i="3"/>
  <c r="DI14" i="3"/>
  <c r="DF14" i="3"/>
  <c r="DJ14" i="3" s="1"/>
  <c r="DF67" i="3"/>
  <c r="DJ67" i="3" s="1"/>
  <c r="DG67" i="3"/>
  <c r="DI67" i="3"/>
  <c r="DH67" i="3"/>
  <c r="DF48" i="3"/>
  <c r="DG48" i="3"/>
  <c r="DJ48" i="3" s="1"/>
  <c r="DH48" i="3"/>
  <c r="DI48" i="3"/>
  <c r="CY28" i="1"/>
  <c r="X28" i="1" s="1"/>
  <c r="CZ28" i="1"/>
  <c r="Y28" i="1" s="1"/>
  <c r="AF39" i="1"/>
  <c r="DF56" i="3"/>
  <c r="DJ56" i="3" s="1"/>
  <c r="DG56" i="3"/>
  <c r="DH56" i="3"/>
  <c r="DI56" i="3"/>
  <c r="DF50" i="3"/>
  <c r="DJ50" i="3" s="1"/>
  <c r="DI50" i="3"/>
  <c r="DG50" i="3"/>
  <c r="DH50" i="3"/>
  <c r="DH1" i="3"/>
  <c r="DI1" i="3"/>
  <c r="DJ1" i="3" s="1"/>
  <c r="DF1" i="3"/>
  <c r="DG1" i="3"/>
  <c r="DI28" i="3"/>
  <c r="DF28" i="3"/>
  <c r="DJ28" i="3" s="1"/>
  <c r="DG28" i="3"/>
  <c r="DH28" i="3"/>
  <c r="DF101" i="3"/>
  <c r="DH101" i="3"/>
  <c r="DG101" i="3"/>
  <c r="DI101" i="3"/>
  <c r="DJ101" i="3" s="1"/>
  <c r="BC26" i="1"/>
  <c r="F55" i="1"/>
  <c r="BC140" i="1"/>
  <c r="DH116" i="3"/>
  <c r="DF116" i="3"/>
  <c r="DJ116" i="3" s="1"/>
  <c r="DG116" i="3"/>
  <c r="DI116" i="3"/>
  <c r="DH142" i="3"/>
  <c r="DF142" i="3"/>
  <c r="DG142" i="3"/>
  <c r="DI142" i="3"/>
  <c r="DJ142" i="3" s="1"/>
  <c r="CP76" i="1"/>
  <c r="O76" i="1" s="1"/>
  <c r="AB110" i="1" s="1"/>
  <c r="AC110" i="1"/>
  <c r="CI26" i="1"/>
  <c r="AZ39" i="1"/>
  <c r="AU26" i="1"/>
  <c r="F58" i="1"/>
  <c r="AU140" i="1"/>
  <c r="AO71" i="1"/>
  <c r="F114" i="1"/>
  <c r="AO140" i="1"/>
  <c r="DH9" i="3"/>
  <c r="DI9" i="3"/>
  <c r="DF9" i="3"/>
  <c r="DJ9" i="3" s="1"/>
  <c r="DG9" i="3"/>
  <c r="DF16" i="3"/>
  <c r="DJ16" i="3" s="1"/>
  <c r="DG16" i="3"/>
  <c r="DH16" i="3"/>
  <c r="DI16" i="3"/>
  <c r="DH63" i="3"/>
  <c r="DF63" i="3"/>
  <c r="DG63" i="3"/>
  <c r="DJ63" i="3" s="1"/>
  <c r="DI63" i="3"/>
  <c r="DF64" i="3"/>
  <c r="DH64" i="3"/>
  <c r="DG64" i="3"/>
  <c r="DJ64" i="3" s="1"/>
  <c r="DI64" i="3"/>
  <c r="DF88" i="3"/>
  <c r="DH88" i="3"/>
  <c r="DG88" i="3"/>
  <c r="DJ88" i="3" s="1"/>
  <c r="DI88" i="3"/>
  <c r="DF97" i="3"/>
  <c r="DJ97" i="3" s="1"/>
  <c r="DI97" i="3"/>
  <c r="DG97" i="3"/>
  <c r="DH97" i="3"/>
  <c r="DI12" i="3"/>
  <c r="DF12" i="3"/>
  <c r="DJ12" i="3" s="1"/>
  <c r="DG12" i="3"/>
  <c r="DH12" i="3"/>
  <c r="DF21" i="3"/>
  <c r="DG21" i="3"/>
  <c r="DJ21" i="3" s="1"/>
  <c r="DI21" i="3"/>
  <c r="DH21" i="3"/>
  <c r="DF35" i="3"/>
  <c r="DG35" i="3"/>
  <c r="DJ35" i="3" s="1"/>
  <c r="DH35" i="3"/>
  <c r="DI35" i="3"/>
  <c r="DG54" i="3"/>
  <c r="DH54" i="3"/>
  <c r="DI54" i="3"/>
  <c r="DF54" i="3"/>
  <c r="DJ54" i="3" s="1"/>
  <c r="DF111" i="3"/>
  <c r="DJ111" i="3" s="1"/>
  <c r="DI111" i="3"/>
  <c r="DG111" i="3"/>
  <c r="DH111" i="3"/>
  <c r="DI140" i="3"/>
  <c r="DF140" i="3"/>
  <c r="DJ140" i="3" s="1"/>
  <c r="DG140" i="3"/>
  <c r="DH140" i="3"/>
  <c r="DF162" i="3"/>
  <c r="DI162" i="3"/>
  <c r="DJ162" i="3" s="1"/>
  <c r="DG162" i="3"/>
  <c r="DH162" i="3"/>
  <c r="CZ29" i="1"/>
  <c r="Y29" i="1" s="1"/>
  <c r="V42" i="6" s="1"/>
  <c r="K48" i="6" s="1"/>
  <c r="J50" i="6" s="1"/>
  <c r="P50" i="6" s="1"/>
  <c r="DF98" i="3"/>
  <c r="DJ98" i="3" s="1"/>
  <c r="DG98" i="3"/>
  <c r="DH98" i="3"/>
  <c r="DI98" i="3"/>
  <c r="DI137" i="3"/>
  <c r="DG137" i="3"/>
  <c r="DJ137" i="3" s="1"/>
  <c r="DH137" i="3"/>
  <c r="DF137" i="3"/>
  <c r="DF10" i="3"/>
  <c r="DJ10" i="3" s="1"/>
  <c r="DH10" i="3"/>
  <c r="DI10" i="3"/>
  <c r="DG10" i="3"/>
  <c r="DH17" i="3"/>
  <c r="DI17" i="3"/>
  <c r="DJ17" i="3" s="1"/>
  <c r="DF17" i="3"/>
  <c r="DG17" i="3"/>
  <c r="DF72" i="3"/>
  <c r="DH72" i="3"/>
  <c r="DG72" i="3"/>
  <c r="DJ72" i="3" s="1"/>
  <c r="DI72" i="3"/>
  <c r="DF40" i="3"/>
  <c r="DG40" i="3"/>
  <c r="DH40" i="3"/>
  <c r="DI40" i="3"/>
  <c r="DJ40" i="3" s="1"/>
  <c r="DF2" i="3"/>
  <c r="DG2" i="3"/>
  <c r="DJ2" i="3" s="1"/>
  <c r="DH2" i="3"/>
  <c r="DI2" i="3"/>
  <c r="DF90" i="3"/>
  <c r="DJ90" i="3" s="1"/>
  <c r="DI90" i="3"/>
  <c r="DH90" i="3"/>
  <c r="DG90" i="3"/>
  <c r="DF109" i="3"/>
  <c r="DJ109" i="3" s="1"/>
  <c r="DH109" i="3"/>
  <c r="DG109" i="3"/>
  <c r="DI109" i="3"/>
  <c r="DH126" i="3"/>
  <c r="DI126" i="3"/>
  <c r="DF126" i="3"/>
  <c r="DG126" i="3"/>
  <c r="DJ126" i="3" s="1"/>
  <c r="DF5" i="3"/>
  <c r="DG5" i="3"/>
  <c r="DJ5" i="3" s="1"/>
  <c r="DH5" i="3"/>
  <c r="DI5" i="3"/>
  <c r="DI20" i="3"/>
  <c r="DF20" i="3"/>
  <c r="DG20" i="3"/>
  <c r="DJ20" i="3" s="1"/>
  <c r="DH20" i="3"/>
  <c r="DG38" i="3"/>
  <c r="DH38" i="3"/>
  <c r="DI38" i="3"/>
  <c r="DF38" i="3"/>
  <c r="DJ38" i="3" s="1"/>
  <c r="DF59" i="3"/>
  <c r="DJ59" i="3" s="1"/>
  <c r="DG59" i="3"/>
  <c r="DI59" i="3"/>
  <c r="DH59" i="3"/>
  <c r="DG46" i="3"/>
  <c r="DJ46" i="3" s="1"/>
  <c r="DH46" i="3"/>
  <c r="DI46" i="3"/>
  <c r="DF46" i="3"/>
  <c r="DF125" i="3"/>
  <c r="DH125" i="3"/>
  <c r="DG125" i="3"/>
  <c r="DJ125" i="3" s="1"/>
  <c r="DI125" i="3"/>
  <c r="DH110" i="3"/>
  <c r="DI110" i="3"/>
  <c r="DF110" i="3"/>
  <c r="DJ110" i="3" s="1"/>
  <c r="DG110" i="3"/>
  <c r="DI167" i="3"/>
  <c r="DG167" i="3"/>
  <c r="DJ167" i="3" s="1"/>
  <c r="DH167" i="3"/>
  <c r="DF167" i="3"/>
  <c r="DG85" i="3"/>
  <c r="DH85" i="3"/>
  <c r="DF85" i="3"/>
  <c r="DI85" i="3"/>
  <c r="DJ85" i="3" s="1"/>
  <c r="DG77" i="3"/>
  <c r="DJ77" i="3" s="1"/>
  <c r="DF77" i="3"/>
  <c r="DH77" i="3"/>
  <c r="DI77" i="3"/>
  <c r="DF135" i="3"/>
  <c r="DI135" i="3"/>
  <c r="DG135" i="3"/>
  <c r="DJ135" i="3" s="1"/>
  <c r="DH135" i="3"/>
  <c r="DG93" i="3"/>
  <c r="DF93" i="3"/>
  <c r="DI93" i="3"/>
  <c r="DJ93" i="3" s="1"/>
  <c r="DH93" i="3"/>
  <c r="CY80" i="1"/>
  <c r="X80" i="1" s="1"/>
  <c r="CZ80" i="1"/>
  <c r="Y80" i="1" s="1"/>
  <c r="V114" i="6" s="1"/>
  <c r="DF136" i="3"/>
  <c r="DG136" i="3"/>
  <c r="DJ136" i="3" s="1"/>
  <c r="DI136" i="3"/>
  <c r="DH136" i="3"/>
  <c r="AJ110" i="1"/>
  <c r="CZ89" i="1"/>
  <c r="Y89" i="1" s="1"/>
  <c r="V146" i="6" s="1"/>
  <c r="CY89" i="1"/>
  <c r="X89" i="1" s="1"/>
  <c r="CZ76" i="1"/>
  <c r="Y76" i="1" s="1"/>
  <c r="DF120" i="3"/>
  <c r="DJ120" i="3" s="1"/>
  <c r="DG120" i="3"/>
  <c r="DI120" i="3"/>
  <c r="DH120" i="3"/>
  <c r="DG115" i="3"/>
  <c r="DH115" i="3"/>
  <c r="DF115" i="3"/>
  <c r="DJ115" i="3" s="1"/>
  <c r="DI115" i="3"/>
  <c r="DG147" i="3"/>
  <c r="DJ147" i="3" s="1"/>
  <c r="DF147" i="3"/>
  <c r="DH147" i="3"/>
  <c r="DI147" i="3"/>
  <c r="GN97" i="1"/>
  <c r="GM97" i="1"/>
  <c r="CI71" i="1"/>
  <c r="AZ110" i="1"/>
  <c r="DF128" i="3"/>
  <c r="DG128" i="3"/>
  <c r="DJ128" i="3" s="1"/>
  <c r="DI128" i="3"/>
  <c r="DH128" i="3"/>
  <c r="J212" i="6" l="1"/>
  <c r="P212" i="6" s="1"/>
  <c r="J203" i="6"/>
  <c r="P203" i="6" s="1"/>
  <c r="K110" i="6"/>
  <c r="G115" i="6"/>
  <c r="O115" i="6" s="1"/>
  <c r="G147" i="6"/>
  <c r="O147" i="6" s="1"/>
  <c r="W147" i="6"/>
  <c r="AH71" i="1"/>
  <c r="U110" i="1"/>
  <c r="V110" i="1"/>
  <c r="F133" i="1" s="1"/>
  <c r="AI71" i="1"/>
  <c r="GN89" i="1"/>
  <c r="T146" i="6"/>
  <c r="GN29" i="1"/>
  <c r="T34" i="6"/>
  <c r="K38" i="6" s="1"/>
  <c r="J180" i="6"/>
  <c r="P180" i="6" s="1"/>
  <c r="E79" i="6"/>
  <c r="U79" i="6"/>
  <c r="R37" i="1"/>
  <c r="AE39" i="1" s="1"/>
  <c r="AE26" i="1" s="1"/>
  <c r="GX37" i="1"/>
  <c r="CJ39" i="1" s="1"/>
  <c r="H79" i="6"/>
  <c r="U37" i="1"/>
  <c r="S79" i="6"/>
  <c r="Q37" i="1"/>
  <c r="AD39" i="1" s="1"/>
  <c r="V37" i="1"/>
  <c r="AI39" i="1" s="1"/>
  <c r="T37" i="1"/>
  <c r="AG39" i="1" s="1"/>
  <c r="W37" i="1"/>
  <c r="AJ39" i="1" s="1"/>
  <c r="GM77" i="1"/>
  <c r="T103" i="6"/>
  <c r="GM80" i="1"/>
  <c r="T114" i="6"/>
  <c r="V100" i="6"/>
  <c r="GM29" i="1"/>
  <c r="GN78" i="1"/>
  <c r="T112" i="6"/>
  <c r="L188" i="6"/>
  <c r="L189" i="6"/>
  <c r="Q189" i="6" s="1"/>
  <c r="L238" i="6" s="1"/>
  <c r="GM87" i="1"/>
  <c r="GN87" i="1"/>
  <c r="GN94" i="1"/>
  <c r="GN81" i="1"/>
  <c r="V116" i="6"/>
  <c r="CP37" i="1"/>
  <c r="O37" i="1" s="1"/>
  <c r="K79" i="6"/>
  <c r="J80" i="6" s="1"/>
  <c r="P80" i="6" s="1"/>
  <c r="V34" i="6"/>
  <c r="K39" i="6" s="1"/>
  <c r="J41" i="6" s="1"/>
  <c r="P41" i="6" s="1"/>
  <c r="GM100" i="1"/>
  <c r="T181" i="6"/>
  <c r="K186" i="6" s="1"/>
  <c r="J189" i="6" s="1"/>
  <c r="P189" i="6" s="1"/>
  <c r="GM74" i="1"/>
  <c r="GM81" i="1"/>
  <c r="CY88" i="1"/>
  <c r="X88" i="1" s="1"/>
  <c r="T145" i="6" s="1"/>
  <c r="CZ88" i="1"/>
  <c r="Y88" i="1" s="1"/>
  <c r="V145" i="6" s="1"/>
  <c r="K143" i="6" s="1"/>
  <c r="HD36" i="1"/>
  <c r="CM39" i="1" s="1"/>
  <c r="K77" i="6"/>
  <c r="J78" i="6" s="1"/>
  <c r="P78" i="6" s="1"/>
  <c r="W115" i="6"/>
  <c r="AB71" i="1"/>
  <c r="O110" i="1"/>
  <c r="AZ71" i="1"/>
  <c r="F121" i="1"/>
  <c r="AZ26" i="1"/>
  <c r="F50" i="1"/>
  <c r="AZ140" i="1"/>
  <c r="AE71" i="1"/>
  <c r="R110" i="1"/>
  <c r="AJ71" i="1"/>
  <c r="W110" i="1"/>
  <c r="AU22" i="1"/>
  <c r="F159" i="1"/>
  <c r="AU170" i="1"/>
  <c r="GN80" i="1"/>
  <c r="CJ71" i="1"/>
  <c r="BA110" i="1"/>
  <c r="AQ22" i="1"/>
  <c r="AQ170" i="1"/>
  <c r="F150" i="1"/>
  <c r="GM78" i="1"/>
  <c r="AF71" i="1"/>
  <c r="S110" i="1"/>
  <c r="AC71" i="1"/>
  <c r="CH110" i="1"/>
  <c r="P110" i="1"/>
  <c r="CE110" i="1"/>
  <c r="CF110" i="1"/>
  <c r="R39" i="1"/>
  <c r="BC22" i="1"/>
  <c r="BC170" i="1"/>
  <c r="F156" i="1"/>
  <c r="AX71" i="1"/>
  <c r="F117" i="1"/>
  <c r="P39" i="1"/>
  <c r="AC26" i="1"/>
  <c r="CH39" i="1"/>
  <c r="CE39" i="1"/>
  <c r="CF39" i="1"/>
  <c r="T71" i="1"/>
  <c r="F131" i="1"/>
  <c r="CC110" i="1"/>
  <c r="GO100" i="1"/>
  <c r="GM86" i="1"/>
  <c r="GN86" i="1"/>
  <c r="BB22" i="1"/>
  <c r="F153" i="1"/>
  <c r="BB170" i="1"/>
  <c r="GN79" i="1"/>
  <c r="GM79" i="1"/>
  <c r="AD71" i="1"/>
  <c r="Q110" i="1"/>
  <c r="AP22" i="1"/>
  <c r="F149" i="1"/>
  <c r="G16" i="2" s="1"/>
  <c r="G18" i="2" s="1"/>
  <c r="AP170" i="1"/>
  <c r="AK110" i="1"/>
  <c r="V71" i="1"/>
  <c r="GM28" i="1"/>
  <c r="GM76" i="1"/>
  <c r="GN76" i="1"/>
  <c r="GM89" i="1"/>
  <c r="GM99" i="1"/>
  <c r="GN99" i="1"/>
  <c r="AF26" i="1"/>
  <c r="S39" i="1"/>
  <c r="AO22" i="1"/>
  <c r="AO170" i="1"/>
  <c r="F144" i="1"/>
  <c r="AX140" i="1"/>
  <c r="U71" i="1"/>
  <c r="F132" i="1"/>
  <c r="GN28" i="1"/>
  <c r="K142" i="6" l="1"/>
  <c r="G238" i="6"/>
  <c r="CM26" i="1"/>
  <c r="BD39" i="1"/>
  <c r="CA110" i="1"/>
  <c r="CA71" i="1" s="1"/>
  <c r="CZ37" i="1"/>
  <c r="Y37" i="1" s="1"/>
  <c r="J82" i="6"/>
  <c r="GM88" i="1"/>
  <c r="AG26" i="1"/>
  <c r="T39" i="1"/>
  <c r="GN88" i="1"/>
  <c r="CB110" i="1" s="1"/>
  <c r="CY37" i="1"/>
  <c r="X37" i="1" s="1"/>
  <c r="AL110" i="1"/>
  <c r="K109" i="6"/>
  <c r="J115" i="6" s="1"/>
  <c r="P115" i="6" s="1"/>
  <c r="J246" i="6" s="1"/>
  <c r="AI26" i="1"/>
  <c r="V39" i="1"/>
  <c r="W80" i="6"/>
  <c r="G80" i="6"/>
  <c r="O80" i="6" s="1"/>
  <c r="AJ26" i="1"/>
  <c r="W39" i="1"/>
  <c r="J147" i="6"/>
  <c r="P147" i="6" s="1"/>
  <c r="L80" i="6"/>
  <c r="Q80" i="6" s="1"/>
  <c r="AH39" i="1"/>
  <c r="AB39" i="1"/>
  <c r="Q39" i="1"/>
  <c r="AD26" i="1"/>
  <c r="CJ26" i="1"/>
  <c r="BA39" i="1"/>
  <c r="CC71" i="1"/>
  <c r="AT110" i="1"/>
  <c r="CH26" i="1"/>
  <c r="AY39" i="1"/>
  <c r="R26" i="1"/>
  <c r="F53" i="1"/>
  <c r="R140" i="1"/>
  <c r="AU18" i="1"/>
  <c r="F189" i="1"/>
  <c r="CB71" i="1"/>
  <c r="AS110" i="1"/>
  <c r="S71" i="1"/>
  <c r="F125" i="1"/>
  <c r="CF71" i="1"/>
  <c r="AW110" i="1"/>
  <c r="BA71" i="1"/>
  <c r="F130" i="1"/>
  <c r="CE71" i="1"/>
  <c r="AV110" i="1"/>
  <c r="P71" i="1"/>
  <c r="F113" i="1"/>
  <c r="BA140" i="1"/>
  <c r="O71" i="1"/>
  <c r="F112" i="1"/>
  <c r="Q71" i="1"/>
  <c r="F122" i="1"/>
  <c r="S26" i="1"/>
  <c r="F54" i="1"/>
  <c r="S140" i="1"/>
  <c r="AX22" i="1"/>
  <c r="AX170" i="1"/>
  <c r="F147" i="1"/>
  <c r="R71" i="1"/>
  <c r="F124" i="1"/>
  <c r="AO18" i="1"/>
  <c r="F174" i="1"/>
  <c r="AK71" i="1"/>
  <c r="X110" i="1"/>
  <c r="AQ18" i="1"/>
  <c r="F180" i="1"/>
  <c r="AP18" i="1"/>
  <c r="F179" i="1"/>
  <c r="CF26" i="1"/>
  <c r="AW39" i="1"/>
  <c r="BC18" i="1"/>
  <c r="F186" i="1"/>
  <c r="P26" i="1"/>
  <c r="F42" i="1"/>
  <c r="P140" i="1"/>
  <c r="W71" i="1"/>
  <c r="F134" i="1"/>
  <c r="CH71" i="1"/>
  <c r="AY110" i="1"/>
  <c r="BB18" i="1"/>
  <c r="F183" i="1"/>
  <c r="CE26" i="1"/>
  <c r="AV39" i="1"/>
  <c r="AZ22" i="1"/>
  <c r="AZ170" i="1"/>
  <c r="F151" i="1"/>
  <c r="J242" i="6" l="1"/>
  <c r="F63" i="1"/>
  <c r="W140" i="1"/>
  <c r="W26" i="1"/>
  <c r="F62" i="1"/>
  <c r="V26" i="1"/>
  <c r="V140" i="1"/>
  <c r="T79" i="6"/>
  <c r="AK39" i="1"/>
  <c r="AR110" i="1"/>
  <c r="AR71" i="1" s="1"/>
  <c r="AH26" i="1"/>
  <c r="U39" i="1"/>
  <c r="BD140" i="1"/>
  <c r="BD26" i="1"/>
  <c r="F64" i="1"/>
  <c r="F51" i="1"/>
  <c r="Q26" i="1"/>
  <c r="AL71" i="1"/>
  <c r="Y110" i="1"/>
  <c r="V79" i="6"/>
  <c r="AL39" i="1"/>
  <c r="F59" i="1"/>
  <c r="BA26" i="1"/>
  <c r="GM37" i="1"/>
  <c r="CA39" i="1" s="1"/>
  <c r="AB26" i="1"/>
  <c r="O39" i="1"/>
  <c r="Q140" i="1"/>
  <c r="GN37" i="1"/>
  <c r="CB39" i="1" s="1"/>
  <c r="L82" i="6"/>
  <c r="L242" i="6"/>
  <c r="L246" i="6"/>
  <c r="G242" i="6"/>
  <c r="G246" i="6"/>
  <c r="G82" i="6"/>
  <c r="J238" i="6"/>
  <c r="T26" i="1"/>
  <c r="F60" i="1"/>
  <c r="T140" i="1"/>
  <c r="F138" i="1"/>
  <c r="AY71" i="1"/>
  <c r="F118" i="1"/>
  <c r="X71" i="1"/>
  <c r="F136" i="1"/>
  <c r="AS71" i="1"/>
  <c r="F127" i="1"/>
  <c r="AY26" i="1"/>
  <c r="F47" i="1"/>
  <c r="AY140" i="1"/>
  <c r="Q22" i="1"/>
  <c r="F152" i="1"/>
  <c r="Q170" i="1"/>
  <c r="F45" i="1"/>
  <c r="AW26" i="1"/>
  <c r="AW140" i="1"/>
  <c r="R22" i="1"/>
  <c r="F154" i="1"/>
  <c r="R170" i="1"/>
  <c r="BA22" i="1"/>
  <c r="BA170" i="1"/>
  <c r="F160" i="1"/>
  <c r="H16" i="2" s="1"/>
  <c r="H18" i="2" s="1"/>
  <c r="AZ18" i="1"/>
  <c r="F181" i="1"/>
  <c r="P22" i="1"/>
  <c r="F143" i="1"/>
  <c r="P170" i="1"/>
  <c r="AW71" i="1"/>
  <c r="F116" i="1"/>
  <c r="AV71" i="1"/>
  <c r="F115" i="1"/>
  <c r="AT71" i="1"/>
  <c r="F128" i="1"/>
  <c r="AT140" i="1"/>
  <c r="AV26" i="1"/>
  <c r="F44" i="1"/>
  <c r="AV140" i="1"/>
  <c r="AX18" i="1"/>
  <c r="F177" i="1"/>
  <c r="S22" i="1"/>
  <c r="S170" i="1"/>
  <c r="F155" i="1"/>
  <c r="AR39" i="1" l="1"/>
  <c r="CA26" i="1"/>
  <c r="F61" i="1"/>
  <c r="U26" i="1"/>
  <c r="U140" i="1"/>
  <c r="T170" i="1"/>
  <c r="T22" i="1"/>
  <c r="F161" i="1"/>
  <c r="F137" i="1"/>
  <c r="Y71" i="1"/>
  <c r="V170" i="1"/>
  <c r="V22" i="1"/>
  <c r="F163" i="1"/>
  <c r="F164" i="1"/>
  <c r="W22" i="1"/>
  <c r="W170" i="1"/>
  <c r="O26" i="1"/>
  <c r="F41" i="1"/>
  <c r="O140" i="1"/>
  <c r="AS39" i="1"/>
  <c r="CB26" i="1"/>
  <c r="Y39" i="1"/>
  <c r="AL26" i="1"/>
  <c r="BD22" i="1"/>
  <c r="BD170" i="1"/>
  <c r="F165" i="1"/>
  <c r="AK26" i="1"/>
  <c r="X39" i="1"/>
  <c r="AW22" i="1"/>
  <c r="AW170" i="1"/>
  <c r="F146" i="1"/>
  <c r="AY22" i="1"/>
  <c r="AY170" i="1"/>
  <c r="F148" i="1"/>
  <c r="AV22" i="1"/>
  <c r="F145" i="1"/>
  <c r="AV170" i="1"/>
  <c r="J16" i="2"/>
  <c r="J18" i="2" s="1"/>
  <c r="S18" i="1"/>
  <c r="F185" i="1"/>
  <c r="P18" i="1"/>
  <c r="F173" i="1"/>
  <c r="J249" i="6" s="1"/>
  <c r="BA18" i="1"/>
  <c r="F190" i="1"/>
  <c r="Q18" i="1"/>
  <c r="F182" i="1"/>
  <c r="J251" i="6" s="1"/>
  <c r="AT22" i="1"/>
  <c r="F158" i="1"/>
  <c r="F16" i="2" s="1"/>
  <c r="F18" i="2" s="1"/>
  <c r="AT170" i="1"/>
  <c r="R18" i="1"/>
  <c r="F184" i="1"/>
  <c r="J252" i="6" s="1"/>
  <c r="F65" i="1" l="1"/>
  <c r="X26" i="1"/>
  <c r="X140" i="1"/>
  <c r="AS26" i="1"/>
  <c r="F56" i="1"/>
  <c r="AS140" i="1"/>
  <c r="F194" i="1"/>
  <c r="W18" i="1"/>
  <c r="O170" i="1"/>
  <c r="F142" i="1"/>
  <c r="O22" i="1"/>
  <c r="F193" i="1"/>
  <c r="J257" i="6" s="1"/>
  <c r="V18" i="1"/>
  <c r="J253" i="6"/>
  <c r="F66" i="1"/>
  <c r="Y140" i="1"/>
  <c r="Y26" i="1"/>
  <c r="T18" i="1"/>
  <c r="F191" i="1"/>
  <c r="BD18" i="1"/>
  <c r="F195" i="1"/>
  <c r="F162" i="1"/>
  <c r="U22" i="1"/>
  <c r="U170" i="1"/>
  <c r="F67" i="1"/>
  <c r="AR140" i="1"/>
  <c r="AR26" i="1"/>
  <c r="AW18" i="1"/>
  <c r="F176" i="1"/>
  <c r="J250" i="6" s="1"/>
  <c r="AV18" i="1"/>
  <c r="F175" i="1"/>
  <c r="AY18" i="1"/>
  <c r="F178" i="1"/>
  <c r="AT18" i="1"/>
  <c r="F188" i="1"/>
  <c r="U18" i="1" l="1"/>
  <c r="F192" i="1"/>
  <c r="Y22" i="1"/>
  <c r="Y170" i="1"/>
  <c r="F167" i="1"/>
  <c r="O18" i="1"/>
  <c r="F172" i="1"/>
  <c r="J248" i="6" s="1"/>
  <c r="J255" i="6"/>
  <c r="F168" i="1"/>
  <c r="AR170" i="1"/>
  <c r="AR22" i="1"/>
  <c r="X22" i="1"/>
  <c r="X170" i="1"/>
  <c r="F166" i="1"/>
  <c r="AS22" i="1"/>
  <c r="F157" i="1"/>
  <c r="E16" i="2" s="1"/>
  <c r="AS170" i="1"/>
  <c r="AR18" i="1" l="1"/>
  <c r="F198" i="1"/>
  <c r="AS18" i="1"/>
  <c r="F187" i="1"/>
  <c r="X18" i="1"/>
  <c r="F196" i="1"/>
  <c r="J258" i="6" s="1"/>
  <c r="J256" i="6"/>
  <c r="Y18" i="1"/>
  <c r="F197" i="1"/>
  <c r="J259" i="6" s="1"/>
  <c r="E18" i="2"/>
  <c r="I16" i="2"/>
  <c r="I18" i="2" s="1"/>
  <c r="J254" i="6" l="1"/>
  <c r="J260" i="6"/>
  <c r="F199" i="1"/>
  <c r="F200" i="1" l="1"/>
  <c r="J262" i="6" s="1"/>
  <c r="I24" i="6" s="1"/>
  <c r="J261" i="6"/>
</calcChain>
</file>

<file path=xl/sharedStrings.xml><?xml version="1.0" encoding="utf-8"?>
<sst xmlns="http://schemas.openxmlformats.org/spreadsheetml/2006/main" count="5939" uniqueCount="651">
  <si>
    <t>Smeta.RU  (495) 974-1589</t>
  </si>
  <si>
    <t>_PS_</t>
  </si>
  <si>
    <t>Smeta.RU</t>
  </si>
  <si>
    <t/>
  </si>
  <si>
    <t>АО "Кавказцемент"</t>
  </si>
  <si>
    <t>02/16/45-7-АС  (изм.1)_(1 кв.24)</t>
  </si>
  <si>
    <t>02/16-45-7-АС изм.1</t>
  </si>
  <si>
    <t>Е.М. Дурнева</t>
  </si>
  <si>
    <t>А.С. Ансимов</t>
  </si>
  <si>
    <t>Сметные нормы списания</t>
  </si>
  <si>
    <t>Коды ценников</t>
  </si>
  <si>
    <t>ФЕР-2020 И9</t>
  </si>
  <si>
    <t>Версия 1.7.0 ГСН (ГЭСН, ФЕР) и ТЕР (Методики НР (812/пр, 636/пр, 611/пр) и СП (774/пр и 317/пр) применять с 08.01.2023 г.)</t>
  </si>
  <si>
    <t>ФЕР-2020 - изменения И9</t>
  </si>
  <si>
    <t>Поправки для ГСН (ФЕР) 2020 от 11.09.2022 г И9 (в ред. 557/пр) Реконструкция</t>
  </si>
  <si>
    <t>ГСН</t>
  </si>
  <si>
    <t>02/16/45-7-АС.СМк1</t>
  </si>
  <si>
    <t>АО "Кавказцемент"  Замена кровли склада добавок.</t>
  </si>
  <si>
    <t>02/16/45-7-АС изм.1</t>
  </si>
  <si>
    <t>Новый раздел</t>
  </si>
  <si>
    <t>Демонтажные работы</t>
  </si>
  <si>
    <t>1</t>
  </si>
  <si>
    <t>46-04-008-01</t>
  </si>
  <si>
    <t>Разборка покрытий кровель: из рулонных материалов</t>
  </si>
  <si>
    <t>100 м2</t>
  </si>
  <si>
    <t>ФЕР-2001, 46-04-008-01, приказ Минстроя России № 876/пр от 26.12.2019</t>
  </si>
  <si>
    <t>Общестроительные работы</t>
  </si>
  <si>
    <t>Работы по реконструкции зданий и сооружений</t>
  </si>
  <si>
    <t>Работы по реконструкции зданий и сооружений: усиление и замена существующих конструкций, возведение отдельных конструктивных элементов</t>
  </si>
  <si>
    <t>ФЕР-46</t>
  </si>
  <si>
    <t>Пр/812-040.1-1</t>
  </si>
  <si>
    <t>Пр/774-040.1</t>
  </si>
  <si>
    <t>2</t>
  </si>
  <si>
    <t>07-01-027-03</t>
  </si>
  <si>
    <t>Демонтаж // Укладка плит покрытий одноэтажных зданий и сооружений длиной до 6 м, площадью: до 10 м2 при массе стропильных и подстропильных конструкций до 15 т и высоте зданий до 35 м</t>
  </si>
  <si>
    <t>100 ШТ</t>
  </si>
  <si>
    <t>ФЕР-2001, 07-01-027-03, приказ Минстроя России № 876/пр от 26.12.2019</t>
  </si>
  <si>
    <t>Поправка: МР 519/пр Табл.2, п.1  Наименование: При демонтаже (разборке) сборных бетонных и железобетонных конструкций</t>
  </si>
  <si>
    <t>)*0</t>
  </si>
  <si>
    <t>)*0,8</t>
  </si>
  <si>
    <t>Бетонные и железобетонные сборные конструкции и работы в строительстве</t>
  </si>
  <si>
    <t>ФЕР-07</t>
  </si>
  <si>
    <t>Поправка: МР 519/пр Табл.2, п.1</t>
  </si>
  <si>
    <t>Пр/812-007.0-1</t>
  </si>
  <si>
    <t>Пр/774-007.0</t>
  </si>
  <si>
    <t>3</t>
  </si>
  <si>
    <t>07-01-027-09</t>
  </si>
  <si>
    <t>Демонтаж // Укладка плит покрытий одноэтажных зданий и сооружений длиной до 6 м, площадью: до 20 м2 при массе стропильных и подстропильных конструкций до 15 т и высоте зданий до 35 м</t>
  </si>
  <si>
    <t>ФЕР-2001, 07-01-027-09, приказ Минстроя России № 876/пр от 26.12.2019</t>
  </si>
  <si>
    <t>4</t>
  </si>
  <si>
    <t>07-01-035-07</t>
  </si>
  <si>
    <t>Демонтаж // Установка карнизных панелей многоэтажных зданий при наибольшей массе монтажных элементов в здании до 5 т</t>
  </si>
  <si>
    <t>ФЕР-2001, 07-01-035-07, приказ Минстроя России № 876/пр от 26.12.2019</t>
  </si>
  <si>
    <t>5</t>
  </si>
  <si>
    <t>т01-01-01-003</t>
  </si>
  <si>
    <t>Погрузка при автомобильных перевозках изделий из сборного железобетона, бетона, керамзитобетона массой до 3 т</t>
  </si>
  <si>
    <t>1 т груза</t>
  </si>
  <si>
    <t>ФССЦпг-2001, т01-01-01-003, приказ Минстроя России №876/пр от 26.12.2019</t>
  </si>
  <si>
    <t>Погрузочно-разгрузочные работы</t>
  </si>
  <si>
    <t>ФССЦпр  пог. а/п (2011,изм. 4-6)</t>
  </si>
  <si>
    <t>6</t>
  </si>
  <si>
    <t>т01-01-02-003</t>
  </si>
  <si>
    <t>Разгрузка при автомобильных перевозках изделий из сборного железобетона, бетона, керамзитобетона массой до 3 т</t>
  </si>
  <si>
    <t>ФССЦпг-2001, т01-01-02-003, приказ Минстроя России №876/пр от 26.12.2019</t>
  </si>
  <si>
    <t>7</t>
  </si>
  <si>
    <t>т01-01-01-043</t>
  </si>
  <si>
    <t>Погрузка при автомобильных перевозках мусора строительного с погрузкой экскаваторами емкостью ковша до 0,5 м3</t>
  </si>
  <si>
    <t>ФССЦпг-2001, т01-01-01-043, приказ Минстроя России №876/пр от 26.12.2019</t>
  </si>
  <si>
    <t>8</t>
  </si>
  <si>
    <t>т03-21-01-003</t>
  </si>
  <si>
    <t>Перевозка грузов I класса автомобилями-самосвалами грузоподъемностью 10 т работающих вне карьера на расстояние до 3 км</t>
  </si>
  <si>
    <t>ФССЦпг-2001, т03-21-01-003, приказ Минстроя России №876/пр от 26.12.2019</t>
  </si>
  <si>
    <t>Автомобили-самосвалы</t>
  </si>
  <si>
    <t>Перевозка строительных грузов автомобильным транспортом</t>
  </si>
  <si>
    <t>Перевозка строительных грузов автомобильным транспортом: Автомобили-самосвалы</t>
  </si>
  <si>
    <t>ФССЦпг 03-21, 03-22</t>
  </si>
  <si>
    <t>9</t>
  </si>
  <si>
    <t>т03-21-01-006</t>
  </si>
  <si>
    <t>Перевозка грузов I класса автомобилями-самосвалами грузоподъемностью 10 т работающих вне карьера на расстояние до 6 км</t>
  </si>
  <si>
    <t>ФССЦпг-2001, т03-21-01-006, приказ Минстроя России №876/пр от 26.12.2019</t>
  </si>
  <si>
    <t>10</t>
  </si>
  <si>
    <t>Договорная цена</t>
  </si>
  <si>
    <t>Утилизация мусора</t>
  </si>
  <si>
    <t>ТН</t>
  </si>
  <si>
    <t>Материалы строительные</t>
  </si>
  <si>
    <t>Материалы, изделия и конструкции</t>
  </si>
  <si>
    <t>материалы (03)</t>
  </si>
  <si>
    <t>[600 /  8.48]</t>
  </si>
  <si>
    <t>0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</si>
  <si>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</si>
  <si>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</si>
  <si>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</si>
  <si>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</si>
  <si>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</si>
  <si>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</si>
  <si>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</si>
  <si>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</si>
  <si>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</si>
  <si>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</si>
  <si>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</si>
  <si>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</si>
  <si>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</si>
  <si>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</si>
  <si>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</si>
  <si>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</si>
  <si>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</si>
  <si>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</si>
  <si>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</si>
  <si>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</si>
  <si>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</si>
  <si>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</si>
  <si>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</si>
  <si>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</si>
  <si>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</si>
  <si>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</si>
  <si>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</si>
  <si>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</si>
  <si>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</si>
  <si>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</si>
  <si>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</si>
  <si>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</si>
  <si>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</si>
  <si>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</si>
  <si>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</si>
  <si>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</si>
  <si>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</si>
  <si>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</si>
  <si>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</si>
  <si>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</si>
  <si>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</si>
  <si>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</si>
  <si>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</si>
  <si>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</si>
  <si>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</si>
  <si>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</si>
  <si>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</si>
  <si>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</si>
  <si>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</si>
  <si>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</si>
  <si>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</si>
  <si>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</si>
  <si>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</si>
  <si>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</si>
  <si>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Кровля</t>
  </si>
  <si>
    <t>11</t>
  </si>
  <si>
    <t>09-04-002-02</t>
  </si>
  <si>
    <t>Монтаж кровельного покрытия: из профилированного листа при высоте здания до 50 м</t>
  </si>
  <si>
    <t>ФЕР-2001, 09-04-002-02, приказ Минстроя России № 876/пр от 26.12.2019</t>
  </si>
  <si>
    <t>)*1,25</t>
  </si>
  <si>
    <t>)*1,15</t>
  </si>
  <si>
    <t>Строительные металлические конструкции</t>
  </si>
  <si>
    <t>ФЕР-09</t>
  </si>
  <si>
    <t>Поправка: М-ка 421/пр 04.08.20 п.58 п.п. б)</t>
  </si>
  <si>
    <t>Пр/812-009.0-1</t>
  </si>
  <si>
    <t>Пр/774-009.0</t>
  </si>
  <si>
    <t>12</t>
  </si>
  <si>
    <t>Цена поставщика</t>
  </si>
  <si>
    <t>Профлист Н60-845-0,7 с полимерным покрытием</t>
  </si>
  <si>
    <t>м2</t>
  </si>
  <si>
    <t>[1 124 / 1.2 /  8.48] +  5% Трансп +  2% Заг.скл</t>
  </si>
  <si>
    <t>13</t>
  </si>
  <si>
    <t>Заклепка комбинированная ЗК 12х4,5</t>
  </si>
  <si>
    <t>ШТ</t>
  </si>
  <si>
    <t>[2.15 / 1.2 /  8.48] +  5% Трансп +  2% Заг.скл</t>
  </si>
  <si>
    <t>14</t>
  </si>
  <si>
    <t>Шуруп самосверлящий S-MD55GZ 5,5x40</t>
  </si>
  <si>
    <t>[24.01 / 1.2 /  8.48] +  5% Трансп +  2% Заг.скл</t>
  </si>
  <si>
    <t>15</t>
  </si>
  <si>
    <t>12-01-036-01</t>
  </si>
  <si>
    <t>Установка водосточной системы из ПВХ: желобов (прим.)</t>
  </si>
  <si>
    <t>100 м</t>
  </si>
  <si>
    <t>ФЕР-2001 доп. 1, 12-01-036-01, приказ Минстроя России № 172/пр от 30.03.2020</t>
  </si>
  <si>
    <t>)*(1+0,005*(30-15)))*1,15</t>
  </si>
  <si>
    <t>Кровли</t>
  </si>
  <si>
    <t>ФЕР-12</t>
  </si>
  <si>
    <t>Поправка: Сб.№12, п.1.12.1  Поправка: М-ка 421/пр 04.08.20 п.58 п.п. б)</t>
  </si>
  <si>
    <t>Пр/812-012.0-1</t>
  </si>
  <si>
    <t>Пр/774-012.0</t>
  </si>
  <si>
    <t>15.1</t>
  </si>
  <si>
    <t>12.1.01.04-0004</t>
  </si>
  <si>
    <t>Желоб из ПВХ для водосточных систем, диаметр 150 мм</t>
  </si>
  <si>
    <t>м</t>
  </si>
  <si>
    <t>ФССЦ-2001 доп.1, 12.1.01.04-0004, приказ Минстроя России № 172/пр от 30.03.2020</t>
  </si>
  <si>
    <t>15.2</t>
  </si>
  <si>
    <t>12.1.01.04-0011</t>
  </si>
  <si>
    <t>Воронка водоприемная из ПВХ для водосточных систем, диаметр желоба 150, диаметр трубы 100 мм</t>
  </si>
  <si>
    <t>ФССЦ-2001 доп.1, 12.1.01.04-0011, приказ Минстроя России № 172/пр от 30.03.2020</t>
  </si>
  <si>
    <t>15.3</t>
  </si>
  <si>
    <t>12.1.01.05-0017</t>
  </si>
  <si>
    <t>Кронштейн желоба металлический для водосточных систем, окрашенный, диаметр 150 мм, длина 310 мм</t>
  </si>
  <si>
    <t>ФССЦ-2001 доп.1, 12.1.01.05-0017, приказ Минстроя России № 172/пр от 30.03.2020</t>
  </si>
  <si>
    <t>16</t>
  </si>
  <si>
    <t>Желоб водосточный D185х3000</t>
  </si>
  <si>
    <t>[1 340 / 1.2 /  8.48] +  5% Трансп +  2% Заг.скл</t>
  </si>
  <si>
    <t>17</t>
  </si>
  <si>
    <t>Держатель желоба МП, диаметр 185х320 мм</t>
  </si>
  <si>
    <t>[340 / 1.2 /  8.48] +  5% Трансп +  2% Заг.скл</t>
  </si>
  <si>
    <t>18</t>
  </si>
  <si>
    <t>Заглушка желоба МП, диаметр 185 мм</t>
  </si>
  <si>
    <t>[100 / 1.2 /  8.48] +  5% Трансп +  2% Заг.скл</t>
  </si>
  <si>
    <t>19</t>
  </si>
  <si>
    <t>Воронка 185/150 круглая</t>
  </si>
  <si>
    <t>[1 445 / 1.2 /  8.48] +  5% Трансп +  2% Заг.скл</t>
  </si>
  <si>
    <t>20</t>
  </si>
  <si>
    <t>м38-01-006-07</t>
  </si>
  <si>
    <t>Сборка с помощью лебедок ручных (с установкой и снятием их в процессе работы) или вручную (мелких деталей): листовые конструкции массой до 0,5 т (бачки, течки, воронки, желоба, лотки и пр.)</t>
  </si>
  <si>
    <t>т</t>
  </si>
  <si>
    <t>ФЕРм-2001, м38-01-006-07, приказ Минстроя России № 876/пр от 26.12.2019</t>
  </si>
  <si>
    <t>Монтажные работы</t>
  </si>
  <si>
    <t>Изготовление технологических металлических конструкций в условиях производственных баз</t>
  </si>
  <si>
    <t>ФЕРм-38</t>
  </si>
  <si>
    <t>Пр/812-080.0-1</t>
  </si>
  <si>
    <t>Пр/774-080.0</t>
  </si>
  <si>
    <t>21</t>
  </si>
  <si>
    <t>Полоса 40х4</t>
  </si>
  <si>
    <t>[78 000 / 1.2 /  8.48] +  5% Трансп +  0.75% Заг.скл</t>
  </si>
  <si>
    <t>0.75</t>
  </si>
  <si>
    <t>22</t>
  </si>
  <si>
    <t>12-01-036-02</t>
  </si>
  <si>
    <t>Установка водосточной системы из ПВХ: труб</t>
  </si>
  <si>
    <t>ФЕР-2001 доп. 1, 12-01-036-02, приказ Минстроя России № 172/пр от 30.03.2020</t>
  </si>
  <si>
    <t>22.1</t>
  </si>
  <si>
    <t>08.1.02.07</t>
  </si>
  <si>
    <t>Материалы водосточной системы (трубы водосточные, диаметр 150 мм)</t>
  </si>
  <si>
    <t>22.2</t>
  </si>
  <si>
    <t>12.1.01.05-0026</t>
  </si>
  <si>
    <t>Хомут для труб металлический для водосточных систем, окрашенный, диаметр 100 мм</t>
  </si>
  <si>
    <t>ФССЦ-2001 доп.1, 12.1.01.05-0026, приказ Минстроя России № 172/пр от 30.03.2020</t>
  </si>
  <si>
    <t>23</t>
  </si>
  <si>
    <t>Труба водосточная D150х3000</t>
  </si>
  <si>
    <t>[1 785 / 1.2 /  8.48] +  5% Трансп +  2% Заг.скл</t>
  </si>
  <si>
    <t>24</t>
  </si>
  <si>
    <t>Колено МП, диаметр 100 (60°)</t>
  </si>
  <si>
    <t>[435 / 1.2 /  8.48] +  5% Трансп +  2% Заг.скл</t>
  </si>
  <si>
    <t>25</t>
  </si>
  <si>
    <t>Держатель трубы 150</t>
  </si>
  <si>
    <t>[275 / 1.2 /  8.48] +  5% Трансп +  2% Заг.скл</t>
  </si>
  <si>
    <t>26</t>
  </si>
  <si>
    <t>12-01-010-01</t>
  </si>
  <si>
    <t>Устройство мелких покрытий (брандмауэры, парапеты, свесы и т.п.) из листовой оцинкованной стали</t>
  </si>
  <si>
    <t>ФЕР-2001, 12-01-010-01, приказ Минстроя России № 876/пр от 26.12.2019</t>
  </si>
  <si>
    <t>*0</t>
  </si>
  <si>
    <t>Поправка: Сб.№12, п.1.12.1  Поправка: Сб.№12, п.1.12.1  Поправка: М-ка 421/пр 04.08.20 п.58 п.п. б)</t>
  </si>
  <si>
    <t>27</t>
  </si>
  <si>
    <t>Лист плоский оц с полимерным покрытием толщ.0,7 мм</t>
  </si>
  <si>
    <t>[1 160 / 1.2 /  8.48] +  5% Трансп +  2% Заг.скл</t>
  </si>
  <si>
    <t>28</t>
  </si>
  <si>
    <t>Шуруп самосверлящий S-MD55GZ 5,5x32</t>
  </si>
  <si>
    <t>[16.39 / 1.2 /  8.48] +  5% Трансп +  2% Заг.скл</t>
  </si>
  <si>
    <t>29</t>
  </si>
  <si>
    <t>Шуруп самосверлящий S-MD55GZ 5,5x38</t>
  </si>
  <si>
    <t>[17.22 / 1.2 /  8.48] +  5% Трансп +  2% Заг.скл</t>
  </si>
  <si>
    <t>30</t>
  </si>
  <si>
    <t>Шуруп самосверлящий S-MD53Z 4,8x19</t>
  </si>
  <si>
    <t>[14.75 / 1.2 /  8.48] +  5% Трансп +  2% Заг.скл</t>
  </si>
  <si>
    <t>Прогоны, ограждение кровли</t>
  </si>
  <si>
    <t>31</t>
  </si>
  <si>
    <t>09-03-015-01</t>
  </si>
  <si>
    <t>Монтаж прогонов при шаге ферм до 12 м при высоте здания: до 25 м</t>
  </si>
  <si>
    <t>ФЕР-2001, 09-03-015-01, приказ Минстроя России № 876/пр от 26.12.2019</t>
  </si>
  <si>
    <t>32</t>
  </si>
  <si>
    <t>м38-01-002-03</t>
  </si>
  <si>
    <t>Монорельсы, балки и другие аналогичные конструкции промышленных зданий, сборка с помощью: лебедок электрических (с установкой и снятием их в процессе работы)</t>
  </si>
  <si>
    <t>ФЕРм-2001, м38-01-002-03, приказ Минстроя России № 876/пр от 26.12.2019</t>
  </si>
  <si>
    <t>33</t>
  </si>
  <si>
    <t>Швеллер стальной 18П</t>
  </si>
  <si>
    <t>[89 000 / 1.2 /  8.48] +  5% Трансп +  0.75% Заг.скл</t>
  </si>
  <si>
    <t>34</t>
  </si>
  <si>
    <t>Уголок 70х5</t>
  </si>
  <si>
    <t>[76 000 / 1.2 /  8.48] +  5% Трансп +  0.75% Заг.скл</t>
  </si>
  <si>
    <t>35</t>
  </si>
  <si>
    <t>12-01-012-01</t>
  </si>
  <si>
    <t>Ограждение кровель перилами</t>
  </si>
  <si>
    <t>ФЕР-2001, 12-01-012-01, приказ Минстроя России № 876/пр от 26.12.2019</t>
  </si>
  <si>
    <t>36</t>
  </si>
  <si>
    <t>м38-01-006-06</t>
  </si>
  <si>
    <t>Сборка с помощью лебедок электрических (с установкой и снятием их в процессе работы): стремянки, связи, кронштейны, тормозные конструкции и пр.</t>
  </si>
  <si>
    <t>ФЕРм-2001, м38-01-006-06, приказ Минстроя России № 876/пр от 26.12.2019</t>
  </si>
  <si>
    <t>37</t>
  </si>
  <si>
    <t>Арматура ф20 А1</t>
  </si>
  <si>
    <t>[68 500 / 1.2 /  8.48] +  5% Трансп +  0.75% Заг.скл</t>
  </si>
  <si>
    <t>38</t>
  </si>
  <si>
    <t>39</t>
  </si>
  <si>
    <t>13-03-002-04</t>
  </si>
  <si>
    <t>Огрунтовка металлических поверхностей за один раз: грунтовкой ГФ-021</t>
  </si>
  <si>
    <t>ФЕР-2001, 13-03-002-04, приказ Минстроя России № 876/пр от 26.12.2019</t>
  </si>
  <si>
    <t>Защита строительных конструкций и оборудования от коррозии</t>
  </si>
  <si>
    <t>Защита строительных конструкций</t>
  </si>
  <si>
    <t>ФЕР-13</t>
  </si>
  <si>
    <t>Пр/812-013.0-1</t>
  </si>
  <si>
    <t>Пр/774-013.0</t>
  </si>
  <si>
    <t>40</t>
  </si>
  <si>
    <t>13-03-004-26</t>
  </si>
  <si>
    <t>Окраска металлических огрунтованных поверхностей: эмалью ПФ-115</t>
  </si>
  <si>
    <t>ФЕР-2001, 13-03-004-26, приказ Минстроя России № 876/пр от 26.12.2019</t>
  </si>
  <si>
    <t>)*2</t>
  </si>
  <si>
    <t>)*2)*1,25</t>
  </si>
  <si>
    <t>)*2)*1,15</t>
  </si>
  <si>
    <t>н</t>
  </si>
  <si>
    <t>НДС 20%</t>
  </si>
  <si>
    <t>в</t>
  </si>
  <si>
    <t>Всего с НДС</t>
  </si>
  <si>
    <t>НДС</t>
  </si>
  <si>
    <t>Новая переменная</t>
  </si>
  <si>
    <t>Переменная</t>
  </si>
  <si>
    <t>Переменная1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</si>
  <si>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</si>
  <si>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</si>
  <si>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</si>
  <si>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</si>
  <si>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</si>
  <si>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</si>
  <si>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</si>
  <si>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</si>
  <si>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</si>
  <si>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</si>
  <si>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</si>
  <si>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</si>
  <si>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</si>
  <si>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</si>
  <si>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</si>
  <si>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</si>
  <si>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</si>
  <si>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</si>
  <si>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Сложные объекты</t>
  </si>
  <si>
    <t>СТНДРТ</t>
  </si>
  <si>
    <t>При определении сметной стоимости строительства объектов капитального строительства (за исключением АЭС).</t>
  </si>
  <si>
    <t>АЭС_ПНР</t>
  </si>
  <si>
    <t>При определении сметной стоимости строительства объектов капитального строительства АЭС. Пусконаладочные работы (за исключением технологического оборудования АЭС).</t>
  </si>
  <si>
    <t>АЭС_ПНР_ТЕХ</t>
  </si>
  <si>
    <t>При определении сметной стоимости строительства объектов капитального строительства АЭС. Пусконаладочные работы технологического оборудования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</si>
  <si>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</si>
  <si>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АЭС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</si>
  <si>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</si>
  <si>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</si>
  <si>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</si>
  <si>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междугородных в/опт. кабелей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</si>
  <si>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</si>
  <si>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</si>
  <si>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</si>
  <si>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</si>
  <si>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</si>
  <si>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</si>
  <si>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</si>
  <si>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(обслуживающие процессы)</t>
  </si>
  <si>
    <t>ГОР</t>
  </si>
  <si>
    <t>(вкл) - ФЕРм-08, выполнение работ на горнорудных объектах  (выкл) - ФЕРм-08, выполнение работ на других объектах</t>
  </si>
  <si>
    <t>Выполнение работ на горнорудных объектах</t>
  </si>
  <si>
    <t>ОБ_ПР</t>
  </si>
  <si>
    <t>Объект производственного назначения</t>
  </si>
  <si>
    <t>ОБ_НПР</t>
  </si>
  <si>
    <t>Объект непроизводственного назначения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</si>
  <si>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</si>
  <si>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</si>
  <si>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</si>
  <si>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п.25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</si>
  <si>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</si>
  <si>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</si>
  <si>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</si>
  <si>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п.16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</si>
  <si>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</si>
  <si>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</si>
  <si>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п.27 СЛОЖН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</si>
  <si>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</si>
  <si>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</si>
  <si>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п.27 АЭС</t>
  </si>
  <si>
    <t>Р_ОКР</t>
  </si>
  <si>
    <t>Разрядность округления результата расчета НР и СП  (с 05.04.2020 - до семи знаков после запятой)</t>
  </si>
  <si>
    <t>Лист_НРиСП</t>
  </si>
  <si>
    <t>Уровень цен</t>
  </si>
  <si>
    <t>Индексы за итогом</t>
  </si>
  <si>
    <t>_OBSM_</t>
  </si>
  <si>
    <t>1-100-20</t>
  </si>
  <si>
    <t>Затраты труда рабочих (Средний разряд - 2)</t>
  </si>
  <si>
    <t>чел.-ч.</t>
  </si>
  <si>
    <t>91.06.03-055</t>
  </si>
  <si>
    <t>ФСЭМ-2001, 91.06.03-055 , приказ Минстроя России № 876/пр от 26.12.2019</t>
  </si>
  <si>
    <t>Лебедки электрические тяговым усилием 19,62 кН (2 т)</t>
  </si>
  <si>
    <t>маш.-ч.</t>
  </si>
  <si>
    <t>1-100-35</t>
  </si>
  <si>
    <t>Затраты труда рабочих (Средний разряд - 3,5)</t>
  </si>
  <si>
    <t>4-100-00</t>
  </si>
  <si>
    <t>Затраты труда машинистов</t>
  </si>
  <si>
    <t>91.05.06-009</t>
  </si>
  <si>
    <t>ФСЭМ-2001, 91.05.06-009 , приказ Минстроя России № 876/пр от 26.12.2019</t>
  </si>
  <si>
    <t>Краны на гусеничном ходу, грузоподъемность 50-63 т</t>
  </si>
  <si>
    <t>91.14.02-001</t>
  </si>
  <si>
    <t>ФСЭМ-2001, 91.14.02-001 , приказ Минстроя России № 876/пр от 26.12.2019</t>
  </si>
  <si>
    <t>Автомобили бортовые, грузоподъемность до 5 т</t>
  </si>
  <si>
    <t>91.17.04-233</t>
  </si>
  <si>
    <t>ФСЭМ-2001, 91.17.04-233 , приказ Минстроя России № 876/пр от 26.12.2019</t>
  </si>
  <si>
    <t>Установки для сварки ручной дуговой (постоянного тока)</t>
  </si>
  <si>
    <t>01.7.07.12-0024</t>
  </si>
  <si>
    <t>ФССЦ-2001, 01.7.07.12-0024, приказ Минстроя России № 876/пр от 26.12.2019</t>
  </si>
  <si>
    <t>Пленка полиэтиленовая, толщина 0,15 мм</t>
  </si>
  <si>
    <t>01.7.11.07-0054</t>
  </si>
  <si>
    <t>ФССЦ-2001, 01.7.11.07-0054, приказ Минстроя России № 876/пр от 26.12.2019</t>
  </si>
  <si>
    <t>Электроды сварочные Э42, диаметр 6 мм</t>
  </si>
  <si>
    <t>01.7.15.06-0111</t>
  </si>
  <si>
    <t>ФССЦ-2001, 01.7.15.06-0111, приказ Минстроя России № 876/пр от 26.12.2019</t>
  </si>
  <si>
    <t>Гвозди строительные</t>
  </si>
  <si>
    <t>04.3.01.12-0111</t>
  </si>
  <si>
    <t>ФССЦ-2001, 04.3.01.12-0111, приказ Минстроя России № 876/пр от 26.12.2019</t>
  </si>
  <si>
    <t>Раствор готовый отделочный тяжелый, цементно-известковый, состав 1:1:6</t>
  </si>
  <si>
    <t>м3</t>
  </si>
  <si>
    <t>07.2.07.12-0006</t>
  </si>
  <si>
    <t>ФССЦ-2001, 07.2.07.12-0006, приказ Минстроя России № 876/пр от 26.12.2019</t>
  </si>
  <si>
    <t>Элементы конструктивные вспомогательного назначения, с преобладанием профильного проката, собираемые из двух и более деталей, с отверстиями и без отверстий, соединяемые на сварке</t>
  </si>
  <si>
    <t>08.3.03.06-0002</t>
  </si>
  <si>
    <t>ФССЦ-2001, 08.3.03.06-0002, приказ Минстроя России № 876/пр от 26.12.2019</t>
  </si>
  <si>
    <t>Проволока горячекатаная в мотках, диаметр 6,3-6,5 мм</t>
  </si>
  <si>
    <t>11.1.03.06-0092</t>
  </si>
  <si>
    <t>ФССЦ-2001, 11.1.03.06-0092, приказ Минстроя России № 876/пр от 26.12.2019</t>
  </si>
  <si>
    <t>Доска обрезная, хвойных пород, ширина 75-150 мм, толщина 32-40 мм, длина 4-6,5 м, сорт IV</t>
  </si>
  <si>
    <t>12.1.02.06-0042</t>
  </si>
  <si>
    <t>ФССЦ-2001, 12.1.02.06-0042, приказ Минстроя России № 876/пр от 26.12.2019</t>
  </si>
  <si>
    <t>Рубероид кровельный РПП-300</t>
  </si>
  <si>
    <t>14.4.02.04-0006</t>
  </si>
  <si>
    <t>ФССЦ-2001, 14.4.02.04-0006, приказ Минстроя России № 876/пр от 26.12.2019</t>
  </si>
  <si>
    <t>Краска для наружных работ, коричневая</t>
  </si>
  <si>
    <t>91.14.04-002</t>
  </si>
  <si>
    <t>ФСЭМ-2001, 91.14.04-002 , приказ Минстроя России № 876/пр от 26.12.2019</t>
  </si>
  <si>
    <t>Тягачи седельные, грузоподъемность 15 т</t>
  </si>
  <si>
    <t>91.14.05-002</t>
  </si>
  <si>
    <t>ФСЭМ-2001, 91.14.05-002 , приказ Минстроя России № 876/пр от 26.12.2019</t>
  </si>
  <si>
    <t>Полуприцепы-тяжеловозы, грузоподъемность 40 т</t>
  </si>
  <si>
    <t>1-100-39</t>
  </si>
  <si>
    <t>Затраты труда рабочих (Средний разряд - 3,9)</t>
  </si>
  <si>
    <t>91.05.01-017</t>
  </si>
  <si>
    <t>ФСЭМ-2001, 91.05.01-017 , приказ Минстроя России № 876/пр от 26.12.2019</t>
  </si>
  <si>
    <t>Краны башенные, грузоподъемность 8 т</t>
  </si>
  <si>
    <t>1-100-32</t>
  </si>
  <si>
    <t>Затраты труда рабочих (Средний разряд - 3,2)</t>
  </si>
  <si>
    <t>91.05.02-005</t>
  </si>
  <si>
    <t>ФСЭМ-2001, 91.05.02-005 , приказ Минстроя России № 876/пр от 26.12.2019</t>
  </si>
  <si>
    <t>Краны козловые, грузоподъемность 32 т</t>
  </si>
  <si>
    <t>91.05.05-015</t>
  </si>
  <si>
    <t>ФСЭМ-2001, 91.05.05-015 , приказ Минстроя России № 876/пр от 26.12.2019</t>
  </si>
  <si>
    <t>Краны на автомобильном ходу, грузоподъемность 16 т</t>
  </si>
  <si>
    <t>91.05.06-008</t>
  </si>
  <si>
    <t>ФСЭМ-2001, 91.05.06-008 , приказ Минстроя России № 876/пр от 26.12.2019</t>
  </si>
  <si>
    <t>Краны на гусеничном ходу, грузоподъемность 40 т</t>
  </si>
  <si>
    <t>91.06.01-003</t>
  </si>
  <si>
    <t>ФСЭМ-2001, 91.06.01-003 , приказ Минстроя России № 876/пр от 26.12.2019</t>
  </si>
  <si>
    <t>Домкраты гидравлические, грузоподъемность 63-100 т</t>
  </si>
  <si>
    <t>91.17.04-042</t>
  </si>
  <si>
    <t>ФСЭМ-2001, 91.17.04-042 , приказ Минстроя России № 876/пр от 26.12.2019</t>
  </si>
  <si>
    <t>Аппараты для газовой сварки и резки</t>
  </si>
  <si>
    <t>91.17.04-171</t>
  </si>
  <si>
    <t>ФСЭМ-2001, 91.17.04-171 , приказ Минстроя России № 876/пр от 26.12.2019</t>
  </si>
  <si>
    <t>Преобразователи сварочные номинальным сварочным током 315-500 А</t>
  </si>
  <si>
    <t>01.3.02.08-0001</t>
  </si>
  <si>
    <t>ФССЦ-2001, 01.3.02.08-0001, приказ Минстроя России № 876/пр от 26.12.2019</t>
  </si>
  <si>
    <t>Кислород газообразный технический</t>
  </si>
  <si>
    <t>01.3.02.09-0022</t>
  </si>
  <si>
    <t>ФССЦ-2001, 01.3.02.09-0022, приказ Минстроя России № 876/пр от 26.12.2019</t>
  </si>
  <si>
    <t>Пропан-бутан смесь техническая</t>
  </si>
  <si>
    <t>кг</t>
  </si>
  <si>
    <t>01.7.11.07-0032</t>
  </si>
  <si>
    <t>ФССЦ-2001, 01.7.11.07-0032, приказ Минстроя России № 876/пр от 26.12.2019</t>
  </si>
  <si>
    <t>Электроды сварочные Э42, диаметр 4 мм</t>
  </si>
  <si>
    <t>01.7.15.03-0042</t>
  </si>
  <si>
    <t>ФССЦ-2001, 01.7.15.03-0042, приказ Минстроя России № 876/пр от 26.12.2019</t>
  </si>
  <si>
    <t>Болты с гайками и шайбами строительные</t>
  </si>
  <si>
    <t>01.7.20.08-0071</t>
  </si>
  <si>
    <t>ФССЦ-2001, 01.7.20.08-0071, приказ Минстроя России № 876/пр от 26.12.2019</t>
  </si>
  <si>
    <t>Канат пеньковый пропитанный</t>
  </si>
  <si>
    <t>07.2.07.12-0020</t>
  </si>
  <si>
    <t>ФССЦ-2001, 07.2.07.12-0020, приказ Минстроя России № 876/пр от 26.12.2019</t>
  </si>
  <si>
    <t>Элементы конструктивные зданий и сооружений с преобладанием горячекатаных профилей, средняя масса сборочной единицы от 0,1 до 0,5 т</t>
  </si>
  <si>
    <t>08.2.02.11-0007</t>
  </si>
  <si>
    <t>ФССЦ-2001, 08.2.02.11-0007, приказ Минстроя России № 876/пр от 26.12.2019</t>
  </si>
  <si>
    <t>Канат двойной свивки ТК, конструкции 6х19(1+6+12)+1 о.с., оцинкованный, из проволок марки В, маркировочная группа 1770 н/мм2, диаметр 5,5 мм</t>
  </si>
  <si>
    <t>10 м</t>
  </si>
  <si>
    <t>08.3.11.01-0091</t>
  </si>
  <si>
    <t>ФССЦ-2001, 08.3.11.01-0091, приказ Минстроя России № 876/пр от 26.12.2019</t>
  </si>
  <si>
    <t>Швеллеры № 40, марка стали Ст0</t>
  </si>
  <si>
    <t>11.1.03.01-0077</t>
  </si>
  <si>
    <t>ФССЦ-2001, 11.1.03.01-0077, приказ Минстроя России № 876/пр от 26.12.2019</t>
  </si>
  <si>
    <t>Бруски обрезные, хвойных пород, длина 4-6,5 м, ширина 75-150 мм, толщина 40-75 мм, сорт I</t>
  </si>
  <si>
    <t>14.4.01.01-0003</t>
  </si>
  <si>
    <t>ФССЦ-2001, 14.4.01.01-0003, приказ Минстроя России № 876/пр от 26.12.2019</t>
  </si>
  <si>
    <t>Грунтовка ГФ-021</t>
  </si>
  <si>
    <t>14.5.09.07-0030</t>
  </si>
  <si>
    <t>ФССЦ-2001, 14.5.09.07-0030, приказ Минстроя России № 876/пр от 26.12.2019</t>
  </si>
  <si>
    <t>Растворитель Р-4</t>
  </si>
  <si>
    <t>91.06.06-045</t>
  </si>
  <si>
    <t>ФСЭМ-2001, 91.06.06-045 , приказ Минстроя России № 876/пр от 26.12.2019</t>
  </si>
  <si>
    <t>Подъемники одномачтовые, грузоподъемность до 500 кг, высота подъема 15 м</t>
  </si>
  <si>
    <t>01.7.15.14-0083</t>
  </si>
  <si>
    <t>ФССЦ-2001, 01.7.15.14-0083, приказ Минстроя России № 876/пр от 26.12.2019</t>
  </si>
  <si>
    <t>Шурупы-саморезы кровельные оцинкованные 4,8x50 мм</t>
  </si>
  <si>
    <t>1-100-38</t>
  </si>
  <si>
    <t>Затраты труда рабочих (Средний разряд - 3,8)</t>
  </si>
  <si>
    <t>91.06.03-062</t>
  </si>
  <si>
    <t>ФСЭМ-2001, 91.06.03-062 , приказ Минстроя России № 876/пр от 26.12.2019</t>
  </si>
  <si>
    <t>Лебедки электрические тяговым усилием до 31,39 кН (3,2 т)</t>
  </si>
  <si>
    <t>91.14.02-002</t>
  </si>
  <si>
    <t>ФСЭМ-2001, 91.14.02-002 , приказ Минстроя России № 876/пр от 26.12.2019</t>
  </si>
  <si>
    <t>Автомобили бортовые, грузоподъемность до 8 т</t>
  </si>
  <si>
    <t>91.17.04-011</t>
  </si>
  <si>
    <t>ФСЭМ-2001, 91.17.04-011 , приказ Минстроя России № 876/пр от 26.12.2019</t>
  </si>
  <si>
    <t>Автоматы сварочные номинальным сварочным током 450-1250 А</t>
  </si>
  <si>
    <t>91.21.12-002</t>
  </si>
  <si>
    <t>ФСЭМ-2001, 91.21.12-002 , приказ Минстроя России № 876/пр от 26.12.2019</t>
  </si>
  <si>
    <t>Ножницы листовые кривошипные гильотинные</t>
  </si>
  <si>
    <t>91.21.16-014</t>
  </si>
  <si>
    <t>ФСЭМ-2001, 91.21.16-014 , приказ Минстроя России № 876/пр от 26.12.2019</t>
  </si>
  <si>
    <t>Прессы листогибочные кривошипные 1000 кН (100 тс)</t>
  </si>
  <si>
    <t>91.21.22-194</t>
  </si>
  <si>
    <t>ФСЭМ-2001, 91.21.22-194 , приказ Минстроя России № 876/пр от 26.12.2019</t>
  </si>
  <si>
    <t>Машины листогибочные специальные (вальцы)</t>
  </si>
  <si>
    <t>01.7.11.07-0044</t>
  </si>
  <si>
    <t>ФССЦ-2001, 01.7.11.07-0044, приказ Минстроя России № 876/пр от 26.12.2019</t>
  </si>
  <si>
    <t>Электроды сварочные Э42, диаметр 5 мм</t>
  </si>
  <si>
    <t>999-9950</t>
  </si>
  <si>
    <t>Вспомогательные ненормируемые материалы (2% от ОЗП)</t>
  </si>
  <si>
    <t>РУБ</t>
  </si>
  <si>
    <t>01.7.15.14-0062</t>
  </si>
  <si>
    <t>ФССЦ-2001, 01.7.15.14-0062, приказ Минстроя России № 876/пр от 26.12.2019</t>
  </si>
  <si>
    <t>Шурупы-саморезы 4,2x16 мм</t>
  </si>
  <si>
    <t>01.7.15.14-0181</t>
  </si>
  <si>
    <t>ФССЦ-2001, 01.7.15.14-0181, приказ Минстроя России № 876/пр от 26.12.2019</t>
  </si>
  <si>
    <t>Шурупы с потайной головкой черные размером 2,5x25 мм</t>
  </si>
  <si>
    <t>1-100-30</t>
  </si>
  <si>
    <t>Затраты труда рабочих (Средний разряд - 3)</t>
  </si>
  <si>
    <t>01.7.15.06-0146</t>
  </si>
  <si>
    <t>ФССЦ-2001, 01.7.15.06-0146, приказ Минстроя России № 876/пр от 26.12.2019</t>
  </si>
  <si>
    <t>Гвозди толевые круглые, размер 3,0x40 мм</t>
  </si>
  <si>
    <t>08.3.03.05-0002</t>
  </si>
  <si>
    <t>ФССЦ-2001, 08.3.03.05-0002, приказ Минстроя России № 876/пр от 26.12.2019</t>
  </si>
  <si>
    <t>Проволока канатная оцинкованная, диаметр 3 мм</t>
  </si>
  <si>
    <t>08.3.05.05-0051</t>
  </si>
  <si>
    <t>ФССЦ-2001, 08.3.05.05-0051, приказ Минстроя России № 876/пр от 26.12.2019</t>
  </si>
  <si>
    <t>Сталь листовая оцинкованная, толщина 0,5 мм</t>
  </si>
  <si>
    <t>1-100-40</t>
  </si>
  <si>
    <t>Затраты труда рабочих (Средний разряд - 4)</t>
  </si>
  <si>
    <t>91.06.03-056</t>
  </si>
  <si>
    <t>ФСЭМ-2001, 91.06.03-056 , приказ Минстроя России № 876/пр от 26.12.2019</t>
  </si>
  <si>
    <t>Лебедки электрические тяговым усилием 78,48 кН (8 т)</t>
  </si>
  <si>
    <t>91.21.19-031</t>
  </si>
  <si>
    <t>ФСЭМ-2001, 91.21.19-031 , приказ Минстроя России № 876/пр от 26.12.2019</t>
  </si>
  <si>
    <t>Станки сверлильные</t>
  </si>
  <si>
    <t>1-100-33</t>
  </si>
  <si>
    <t>Затраты труда рабочих (Средний разряд - 3,3)</t>
  </si>
  <si>
    <t>01.7.19.07-0003</t>
  </si>
  <si>
    <t>ФССЦ-2001, 01.7.19.07-0003, приказ Минстроя России № 876/пр от 26.12.2019</t>
  </si>
  <si>
    <t>Резина прессованная</t>
  </si>
  <si>
    <t>91.21.16-001</t>
  </si>
  <si>
    <t>ФСЭМ-2001, 91.21.16-001 , приказ Минстроя России № 876/пр от 26.12.2019</t>
  </si>
  <si>
    <t>Пресс-ножницы комбинированные</t>
  </si>
  <si>
    <t>1-100-47</t>
  </si>
  <si>
    <t>Затраты труда рабочих (Средний разряд - 4,7)</t>
  </si>
  <si>
    <t>91.06.03-060</t>
  </si>
  <si>
    <t>ФСЭМ-2001, 91.06.03-060 , приказ Минстроя России № 876/пр от 26.12.2019</t>
  </si>
  <si>
    <t>Лебедки электрические тяговым усилием до 5,79 кН (0,59 т)</t>
  </si>
  <si>
    <t>91.06.05-011</t>
  </si>
  <si>
    <t>ФСЭМ-2001, 91.06.05-011 , приказ Минстроя России № 876/пр от 26.12.2019</t>
  </si>
  <si>
    <t>Погрузчики, грузоподъемность 5 т</t>
  </si>
  <si>
    <t>91.21.01-012</t>
  </si>
  <si>
    <t>ФСЭМ-2001, 91.21.01-012 , приказ Минстроя России № 876/пр от 26.12.2019</t>
  </si>
  <si>
    <t>Агрегаты окрасочные высокого давления для окраски поверхностей конструкций, мощность 1 кВт</t>
  </si>
  <si>
    <t>14.5.09.02-0002</t>
  </si>
  <si>
    <t>ФССЦ-2001, 14.5.09.02-0002, приказ Минстроя России № 876/пр от 26.12.2019</t>
  </si>
  <si>
    <t>Ксилол нефтяной, марка А</t>
  </si>
  <si>
    <t>14.4.04.08-0003</t>
  </si>
  <si>
    <t>ФССЦ-2001, 14.4.04.08-0003, приказ Минстроя России № 876/пр от 26.12.2019</t>
  </si>
  <si>
    <t>Эмаль ПФ-115, серая</t>
  </si>
  <si>
    <t>14.5.09.11-0102</t>
  </si>
  <si>
    <t>ФССЦ-2001, 14.5.09.11-0102, приказ Минстроя России № 876/пр от 26.12.2019</t>
  </si>
  <si>
    <t>Уайт-спирит</t>
  </si>
  <si>
    <t>04.1.02.05</t>
  </si>
  <si>
    <t>Смеси бетонные тяжелого бетона</t>
  </si>
  <si>
    <t>05.1.08.14</t>
  </si>
  <si>
    <t>Конструкции сборные железобетонные</t>
  </si>
  <si>
    <t>05.1.07.16</t>
  </si>
  <si>
    <t>08.1.02.25</t>
  </si>
  <si>
    <t>Крепежные детали для крепления профилированного настила к несущим конструкциям</t>
  </si>
  <si>
    <t>08.3.09.05</t>
  </si>
  <si>
    <t>Стальной гнутый профиль (профилированный настил)</t>
  </si>
  <si>
    <t>12.1.01.04-0010</t>
  </si>
  <si>
    <t>ФССЦ-2001 доп.1, 12.1.01.04-0010, приказ Минстроя России № 172/пр от 30.03.2020</t>
  </si>
  <si>
    <t>Наконечник универсальный из ПВХ для водосточных систем, диаметр 100 мм</t>
  </si>
  <si>
    <t>12.1.01.04-0012</t>
  </si>
  <si>
    <t>ФССЦ-2001 доп.1, 12.1.01.04-0012, приказ Минстроя России № 172/пр от 30.03.2020</t>
  </si>
  <si>
    <t>Угол желоба 90° наружный/внутренний из ПВХ для водосточных систем, диаметр 150 мм</t>
  </si>
  <si>
    <t>12.1.01.04-0013</t>
  </si>
  <si>
    <t>ФССЦ-2001 доп.1, 12.1.01.04-0013, приказ Минстроя России № 172/пр от 30.03.2020</t>
  </si>
  <si>
    <t>Соединители желоба из ПВХ для водосточных систем, диаметр 150 мм</t>
  </si>
  <si>
    <t>12.1.01.04-0007</t>
  </si>
  <si>
    <t>ФССЦ-2001 доп.1, 12.1.01.04-0007, приказ Минстроя России № 172/пр от 30.03.2020</t>
  </si>
  <si>
    <t>Колено трубы 67° из ПВХ для водосточных систем, диаметр 100 мм</t>
  </si>
  <si>
    <t>07.2.07.12</t>
  </si>
  <si>
    <t>Конструкции стальные</t>
  </si>
  <si>
    <t>07.2.07.13</t>
  </si>
  <si>
    <t>Конструкции стальные перил</t>
  </si>
  <si>
    <t>ГОСУДАРСТВЕННЫЕ СМЕТНЫЕ НОРМАТИВЫ (ФЕР-2020), утвержденные приказами Минстроя России от 26 декабря 2019 г.   № 876/пр (в редакции приказов Минстроя РФ от 30 марта 2020 г. № 172/пр, от 1 июня 2020 г. № 294/пр, от 30 июня 2020 г. № 352/пр,   от 20 октября 2020 г. № 636/пр, от 9 февраля 2021 г. № 51/пр, от 24 мая 2021 г. № 321/пр, от 24 июня 2021 г. № 408/пр,  от 14 октября 2021 № 746/пр, от 20 декабря 2021 № 962/пр)</t>
  </si>
  <si>
    <t>Поправка: М-ка 421/пр 04.08.20 п.58 п.п. б)  Наименование: При отсутствии необходимых норм (единичных расценок), включенных в сборники ГЭСНр (ФЕРр, ТЕРр), сметные затраты на работы по капитальному ремонту и реконструкции объектов капитального строительства могут быть определены по сметным нормам, включенным в ГЭСН (ФЕР, ТЕР), аналогичным технологическим процессам в новом строительстве, в том числе по возведению новых конструктивных элементов</t>
  </si>
  <si>
    <t>Поправка: Сб.№12, п.1.12.1  Наименование: При производстве работ на высоте более 15 м на каждый последующий метр высоты нормы затрат и оплату труда рабочих-строителей следует увелививать на 0,5%  Поправка: М-ка 421/пр 04.08.20 п.58 п.п. б)  Наименование: При отсутствии необходимых норм (единичных расценок), включенных в сборники ГЭСНр (ФЕРр, ТЕРр), сметные затраты на работы по капитальному ремонту и реконструкции объектов капитального строительства могут быть определены по сметным нормам, включенным в ГЭСН (ФЕР, ТЕР), аналогичным технологическим процессам в новом строительстве, в том числе по возведению новых конструктивных элементов</t>
  </si>
  <si>
    <t>Поправка: Сб.№12, п.1.12.1  Наименование:  При производстве работ на высоте более 15 м на каждый последующий метр высоты нормы затрат и оплату труда рабочих-строителей следует увелививать на 0,5%  Поправка: Сб.№12, п.1.12.1  Наименование: При производстве работ на высоте более 15 м на каждый последующий метр высоты нормы затрат и оплату труда рабочих-строителей следует увелививать на 0,5%  Поправка: М-ка 421/пр 04.08.20 п.58 п.п. б)  Наименование: При отсутствии необходимых норм (единичных расценок), включенных в сборники ГЭСНр (ФЕРр, ТЕРр), сметные затраты на работы по капитальному ремонту и реконструкции объектов капитального строительства могут быть определены по сметным нормам, включенным в ГЭСН (ФЕР, ТЕР), аналогичным технологическим процессам в новом строительстве, в том числе по возведению новых конструктивных элементов</t>
  </si>
  <si>
    <t>"СОГЛАСОВАНО"</t>
  </si>
  <si>
    <t>"УТВЕРЖДАЮ"</t>
  </si>
  <si>
    <t>"_____"________________ 2024 г.</t>
  </si>
  <si>
    <t>(наименование стройки)</t>
  </si>
  <si>
    <t>(наименование работ и затрат, наименование объекта)</t>
  </si>
  <si>
    <t>текущая цена</t>
  </si>
  <si>
    <t>Сметная стоимость</t>
  </si>
  <si>
    <t>тыс. руб.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</si>
  <si>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</si>
  <si>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</si>
  <si>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</si>
  <si>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</si>
  <si>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</si>
  <si>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</si>
  <si>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</si>
  <si>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</si>
  <si>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</si>
  <si>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</si>
  <si>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</si>
  <si>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</si>
  <si>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</si>
  <si>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</si>
  <si>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I квартал 2024 года</t>
  </si>
  <si>
    <t>Зарплата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</si>
  <si>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</si>
  <si>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</si>
  <si>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</si>
  <si>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</si>
  <si>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</si>
  <si>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</si>
  <si>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r>
      <t>Утилизация мусора</t>
    </r>
    <r>
      <rPr>
        <i/>
        <sz val="10"/>
        <rFont val="Arial"/>
        <family val="2"/>
        <charset val="204"/>
      </rPr>
      <t xml:space="preserve">
70.75 = [600 /  8.48]</t>
    </r>
  </si>
  <si>
    <t>Материальные ресурсы</t>
  </si>
  <si>
    <r>
      <t>Профлист Н60-845-0,7 с полимерным покрытием</t>
    </r>
    <r>
      <rPr>
        <i/>
        <sz val="10"/>
        <rFont val="Arial"/>
        <family val="2"/>
        <charset val="204"/>
      </rPr>
      <t xml:space="preserve">
118.30 = [1 124 / 1.2 /  8.48] +  5% Трансп +  2% Заг.скл</t>
    </r>
  </si>
  <si>
    <r>
      <t>Заклепка комбинированная ЗК 12х4,5</t>
    </r>
    <r>
      <rPr>
        <i/>
        <sz val="10"/>
        <rFont val="Arial"/>
        <family val="2"/>
        <charset val="204"/>
      </rPr>
      <t xml:space="preserve">
0.22 = [2.15 / 1.2 /  8.48] +  5% Трансп +  2% Заг.скл</t>
    </r>
  </si>
  <si>
    <r>
      <t>Шуруп самосверлящий S-MD55GZ 5,5x40</t>
    </r>
    <r>
      <rPr>
        <i/>
        <sz val="10"/>
        <rFont val="Arial"/>
        <family val="2"/>
        <charset val="204"/>
      </rPr>
      <t xml:space="preserve">
2.53 = [24.01 / 1.2 /  8.48] +  5% Трансп +  2% Заг.скл</t>
    </r>
  </si>
  <si>
    <r>
      <t>Желоб водосточный D185х3000</t>
    </r>
    <r>
      <rPr>
        <i/>
        <sz val="10"/>
        <rFont val="Arial"/>
        <family val="2"/>
        <charset val="204"/>
      </rPr>
      <t xml:space="preserve">
141.03 = [1 340 / 1.2 /  8.48] +  5% Трансп +  2% Заг.скл</t>
    </r>
  </si>
  <si>
    <r>
      <t>Держатель желоба МП, диаметр 185х320 мм</t>
    </r>
    <r>
      <rPr>
        <i/>
        <sz val="10"/>
        <rFont val="Arial"/>
        <family val="2"/>
        <charset val="204"/>
      </rPr>
      <t xml:space="preserve">
35.78 = [340 / 1.2 /  8.48] +  5% Трансп +  2% Заг.скл</t>
    </r>
  </si>
  <si>
    <r>
      <t>Заглушка желоба МП, диаметр 185 мм</t>
    </r>
    <r>
      <rPr>
        <i/>
        <sz val="10"/>
        <rFont val="Arial"/>
        <family val="2"/>
        <charset val="204"/>
      </rPr>
      <t xml:space="preserve">
10.53 = [100 / 1.2 /  8.48] +  5% Трансп +  2% Заг.скл</t>
    </r>
  </si>
  <si>
    <r>
      <t>Воронка 185/150 круглая</t>
    </r>
    <r>
      <rPr>
        <i/>
        <sz val="10"/>
        <rFont val="Arial"/>
        <family val="2"/>
        <charset val="204"/>
      </rPr>
      <t xml:space="preserve">
152.08 = [1 445 / 1.2 /  8.48] +  5% Трансп +  2% Заг.скл</t>
    </r>
  </si>
  <si>
    <r>
      <t>Полоса 40х4</t>
    </r>
    <r>
      <rPr>
        <i/>
        <sz val="10"/>
        <rFont val="Arial"/>
        <family val="2"/>
        <charset val="204"/>
      </rPr>
      <t xml:space="preserve">
8 108.70 = [78 000 / 1.2 /  8.48] +  5% Трансп +  0.75% Заг.скл</t>
    </r>
  </si>
  <si>
    <r>
      <t>Труба водосточная D150х3000</t>
    </r>
    <r>
      <rPr>
        <i/>
        <sz val="10"/>
        <rFont val="Arial"/>
        <family val="2"/>
        <charset val="204"/>
      </rPr>
      <t xml:space="preserve">
187.86 = [1 785 / 1.2 /  8.48] +  5% Трансп +  2% Заг.скл</t>
    </r>
  </si>
  <si>
    <r>
      <t>Колено МП, диаметр 100 (60°)</t>
    </r>
    <r>
      <rPr>
        <i/>
        <sz val="10"/>
        <rFont val="Arial"/>
        <family val="2"/>
        <charset val="204"/>
      </rPr>
      <t xml:space="preserve">
45.79 = [435 / 1.2 /  8.48] +  5% Трансп +  2% Заг.скл</t>
    </r>
  </si>
  <si>
    <r>
      <t>Держатель трубы 150</t>
    </r>
    <r>
      <rPr>
        <i/>
        <sz val="10"/>
        <rFont val="Arial"/>
        <family val="2"/>
        <charset val="204"/>
      </rPr>
      <t xml:space="preserve">
28.94 = [275 / 1.2 /  8.48] +  5% Трансп +  2% Заг.скл</t>
    </r>
  </si>
  <si>
    <r>
      <t>Лист плоский оц с полимерным покрытием толщ.0,7 мм</t>
    </r>
    <r>
      <rPr>
        <i/>
        <sz val="10"/>
        <rFont val="Arial"/>
        <family val="2"/>
        <charset val="204"/>
      </rPr>
      <t xml:space="preserve">
122.08 = [1 160 / 1.2 /  8.48] +  5% Трансп +  2% Заг.скл</t>
    </r>
  </si>
  <si>
    <r>
      <t>Шуруп самосверлящий S-MD55GZ 5,5x32</t>
    </r>
    <r>
      <rPr>
        <i/>
        <sz val="10"/>
        <rFont val="Arial"/>
        <family val="2"/>
        <charset val="204"/>
      </rPr>
      <t xml:space="preserve">
1.72 = [16.39 / 1.2 /  8.48] +  5% Трансп +  2% Заг.скл</t>
    </r>
  </si>
  <si>
    <r>
      <t>Шуруп самосверлящий S-MD55GZ 5,5x38</t>
    </r>
    <r>
      <rPr>
        <i/>
        <sz val="10"/>
        <rFont val="Arial"/>
        <family val="2"/>
        <charset val="204"/>
      </rPr>
      <t xml:space="preserve">
1.81 = [17.22 / 1.2 /  8.48] +  5% Трансп +  2% Заг.скл</t>
    </r>
  </si>
  <si>
    <r>
      <t>Шуруп самосверлящий S-MD53Z 4,8x19</t>
    </r>
    <r>
      <rPr>
        <i/>
        <sz val="10"/>
        <rFont val="Arial"/>
        <family val="2"/>
        <charset val="204"/>
      </rPr>
      <t xml:space="preserve">
1.55 = [14.75 / 1.2 /  8.48] +  5% Трансп +  2% Заг.скл</t>
    </r>
  </si>
  <si>
    <r>
      <t>Швеллер стальной 18П</t>
    </r>
    <r>
      <rPr>
        <i/>
        <sz val="10"/>
        <rFont val="Arial"/>
        <family val="2"/>
        <charset val="204"/>
      </rPr>
      <t xml:space="preserve">
9 252.25 = [89 000 / 1.2 /  8.48] +  5% Трансп +  0.75% Заг.скл</t>
    </r>
  </si>
  <si>
    <r>
      <t>Уголок 70х5</t>
    </r>
    <r>
      <rPr>
        <i/>
        <sz val="10"/>
        <rFont val="Arial"/>
        <family val="2"/>
        <charset val="204"/>
      </rPr>
      <t xml:space="preserve">
7 900.79 = [76 000 / 1.2 /  8.48] +  5% Трансп +  0.75% Заг.скл</t>
    </r>
  </si>
  <si>
    <r>
      <t>Арматура ф20 А1</t>
    </r>
    <r>
      <rPr>
        <i/>
        <sz val="10"/>
        <rFont val="Arial"/>
        <family val="2"/>
        <charset val="204"/>
      </rPr>
      <t xml:space="preserve">
7 121.12 = [68 500 / 1.2 /  8.48] +  5% Трансп +  0.75% Заг.скл</t>
    </r>
  </si>
  <si>
    <t>Замена кровли склада добавок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</si>
</sst>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\ #,##0.00"/>
    <numFmt numFmtId="165" formatCode="#,##0.00############;[Red]\-\ #,##0.00############"/>
  </numFmts>
  <fonts count="21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b/>
      <sz val="10"/>
      <color indexed="14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  <font>
      <b/>
      <u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164" fontId="0" fillId="0" borderId="0" xfId="0" applyNumberFormat="1"/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0" fillId="0" borderId="2" xfId="0" applyNumberFormat="1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1" fillId="0" borderId="2" xfId="0" quotePrefix="1" applyFont="1" applyBorder="1" applyAlignment="1">
      <alignment horizontal="right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164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20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62"/>
  <sheetViews>
    <sheetView tabSelected="1" topLeftCell="A230" zoomScaleNormal="100" workbookViewId="0">
      <selection activeCell="A85" sqref="A85:XFD85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 x14ac:dyDescent="0.2">
      <c r="A1" s="9" t="str">
        <f>Source!B1</f>
        <v>Smeta.RU  (495) 974-1589</v>
      </c>
    </row>
    <row r="2" spans="1:12" ht="14.25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 x14ac:dyDescent="0.25">
      <c r="A3" s="12"/>
      <c r="B3" s="75" t="s">
        <v>600</v>
      </c>
      <c r="C3" s="75"/>
      <c r="D3" s="75"/>
      <c r="E3" s="75"/>
      <c r="F3" s="11"/>
      <c r="G3" s="11"/>
      <c r="H3" s="75" t="s">
        <v>601</v>
      </c>
      <c r="I3" s="75"/>
      <c r="J3" s="75"/>
      <c r="K3" s="75"/>
      <c r="L3" s="75"/>
    </row>
    <row r="4" spans="1:12" ht="14.25" x14ac:dyDescent="0.2">
      <c r="A4" s="11"/>
      <c r="B4" s="76"/>
      <c r="C4" s="76"/>
      <c r="D4" s="76"/>
      <c r="E4" s="76"/>
      <c r="F4" s="11"/>
      <c r="G4" s="11"/>
      <c r="H4" s="76"/>
      <c r="I4" s="76"/>
      <c r="J4" s="76"/>
      <c r="K4" s="76"/>
      <c r="L4" s="76"/>
    </row>
    <row r="5" spans="1:12" ht="14.25" x14ac:dyDescent="0.2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 x14ac:dyDescent="0.2">
      <c r="A6" s="15"/>
      <c r="B6" s="76" t="str">
        <f>CONCATENATE("______________________ ", IF(Source!AL12&lt;&gt;"", Source!AL12, ""))</f>
        <v xml:space="preserve">______________________ </v>
      </c>
      <c r="C6" s="76"/>
      <c r="D6" s="76"/>
      <c r="E6" s="76"/>
      <c r="F6" s="11"/>
      <c r="G6" s="11"/>
      <c r="H6" s="76" t="str">
        <f>CONCATENATE("______________________ ", IF(Source!AH12&lt;&gt;"", Source!AH12, ""))</f>
        <v xml:space="preserve">______________________ </v>
      </c>
      <c r="I6" s="76"/>
      <c r="J6" s="76"/>
      <c r="K6" s="76"/>
      <c r="L6" s="76"/>
    </row>
    <row r="7" spans="1:12" ht="14.25" x14ac:dyDescent="0.2">
      <c r="A7" s="16"/>
      <c r="B7" s="73" t="s">
        <v>602</v>
      </c>
      <c r="C7" s="73"/>
      <c r="D7" s="73"/>
      <c r="E7" s="73"/>
      <c r="F7" s="11"/>
      <c r="G7" s="11"/>
      <c r="H7" s="73" t="s">
        <v>602</v>
      </c>
      <c r="I7" s="73"/>
      <c r="J7" s="73"/>
      <c r="K7" s="73"/>
      <c r="L7" s="73"/>
    </row>
    <row r="10" spans="1:12" ht="15.75" x14ac:dyDescent="0.25">
      <c r="A10" s="16"/>
      <c r="B10" s="68" t="s">
        <v>4</v>
      </c>
      <c r="C10" s="68"/>
      <c r="D10" s="68"/>
      <c r="E10" s="68"/>
      <c r="F10" s="68"/>
      <c r="G10" s="68"/>
      <c r="H10" s="68"/>
      <c r="I10" s="68"/>
      <c r="J10" s="68"/>
      <c r="K10" s="68"/>
      <c r="L10" s="16"/>
    </row>
    <row r="11" spans="1:12" ht="14.25" x14ac:dyDescent="0.2">
      <c r="A11" s="17"/>
      <c r="B11" s="74" t="s">
        <v>603</v>
      </c>
      <c r="C11" s="74"/>
      <c r="D11" s="74"/>
      <c r="E11" s="74"/>
      <c r="F11" s="74"/>
      <c r="G11" s="74"/>
      <c r="H11" s="74"/>
      <c r="I11" s="74"/>
      <c r="J11" s="74"/>
      <c r="K11" s="74"/>
      <c r="L11" s="16"/>
    </row>
    <row r="12" spans="1:12" ht="14.25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5.75" x14ac:dyDescent="0.25">
      <c r="A13" s="18"/>
      <c r="B13" s="68" t="str">
        <f>CONCATENATE( "ЛОКАЛЬНАЯ СМЕТА № 1",IF(Source!F12&lt;&gt;"Новый объект", Source!F12, ""))</f>
        <v>ЛОКАЛЬНАЯ СМЕТА № 1</v>
      </c>
      <c r="C13" s="68"/>
      <c r="D13" s="68"/>
      <c r="E13" s="68"/>
      <c r="F13" s="68"/>
      <c r="G13" s="68"/>
      <c r="H13" s="68"/>
      <c r="I13" s="68"/>
      <c r="J13" s="68"/>
      <c r="K13" s="68"/>
      <c r="L13" s="18"/>
    </row>
    <row r="14" spans="1:12" ht="15.75" x14ac:dyDescent="0.2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8"/>
    </row>
    <row r="15" spans="1:12" ht="18" hidden="1" x14ac:dyDescent="0.25">
      <c r="A15" s="1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18"/>
    </row>
    <row r="16" spans="1:12" ht="14.25" hidden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8" customHeight="1" x14ac:dyDescent="0.25">
      <c r="A17" s="11"/>
      <c r="B17" s="70" t="s">
        <v>650</v>
      </c>
      <c r="C17" s="70"/>
      <c r="D17" s="70"/>
      <c r="E17" s="70"/>
      <c r="F17" s="70"/>
      <c r="G17" s="70"/>
      <c r="H17" s="70"/>
      <c r="I17" s="70"/>
      <c r="J17" s="70"/>
      <c r="K17" s="70"/>
      <c r="L17" s="20"/>
    </row>
    <row r="18" spans="1:12" ht="14.25" x14ac:dyDescent="0.2">
      <c r="A18" s="11"/>
      <c r="B18" s="71" t="s">
        <v>604</v>
      </c>
      <c r="C18" s="71"/>
      <c r="D18" s="71"/>
      <c r="E18" s="71"/>
      <c r="F18" s="71"/>
      <c r="G18" s="71"/>
      <c r="H18" s="71"/>
      <c r="I18" s="71"/>
      <c r="J18" s="71"/>
      <c r="K18" s="71"/>
      <c r="L18" s="16"/>
    </row>
    <row r="19" spans="1:12" ht="14.2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4.25" x14ac:dyDescent="0.2">
      <c r="A20" s="61" t="str">
        <f>CONCATENATE("Основание: ", Source!J12)</f>
        <v>Основание: 02/16-45-7-АС изм.1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4.2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4.25" x14ac:dyDescent="0.2">
      <c r="A23" s="11"/>
      <c r="B23" s="11"/>
      <c r="C23" s="11"/>
      <c r="D23" s="11"/>
      <c r="E23" s="21"/>
      <c r="F23" s="21"/>
      <c r="G23" s="72"/>
      <c r="H23" s="72"/>
      <c r="I23" s="72" t="s">
        <v>605</v>
      </c>
      <c r="J23" s="72"/>
      <c r="K23" s="11"/>
      <c r="L23" s="11"/>
    </row>
    <row r="24" spans="1:12" ht="15" x14ac:dyDescent="0.25">
      <c r="A24" s="11"/>
      <c r="B24" s="11"/>
      <c r="C24" s="65" t="s">
        <v>606</v>
      </c>
      <c r="D24" s="65"/>
      <c r="E24" s="65"/>
      <c r="F24" s="65"/>
      <c r="G24" s="62"/>
      <c r="H24" s="62"/>
      <c r="I24" s="62">
        <f>J262/1000</f>
        <v>22352.10413</v>
      </c>
      <c r="J24" s="62"/>
      <c r="K24" s="66" t="s">
        <v>607</v>
      </c>
      <c r="L24" s="66"/>
    </row>
    <row r="25" spans="1:12" ht="14.25" hidden="1" x14ac:dyDescent="0.2">
      <c r="A25" s="11"/>
      <c r="B25" s="11"/>
      <c r="C25" s="67" t="s">
        <v>128</v>
      </c>
      <c r="D25" s="67"/>
      <c r="E25" s="67"/>
      <c r="F25" s="67"/>
      <c r="G25" s="62"/>
      <c r="H25" s="62"/>
      <c r="I25" s="62"/>
      <c r="J25" s="62"/>
      <c r="K25" s="22" t="s">
        <v>607</v>
      </c>
      <c r="L25" s="11"/>
    </row>
    <row r="26" spans="1:12" ht="15" x14ac:dyDescent="0.25">
      <c r="A26" s="11"/>
      <c r="B26" s="11"/>
      <c r="C26" s="23"/>
      <c r="D26" s="23"/>
      <c r="E26" s="23"/>
      <c r="F26" s="15"/>
      <c r="G26" s="24"/>
      <c r="H26" s="24"/>
      <c r="I26" s="24"/>
      <c r="J26" s="24"/>
      <c r="K26" s="24"/>
      <c r="L26" s="24"/>
    </row>
    <row r="27" spans="1:12" ht="15" hidden="1" x14ac:dyDescent="0.2">
      <c r="A27" s="15" t="s">
        <v>608</v>
      </c>
      <c r="B27" s="11"/>
      <c r="C27" s="11"/>
      <c r="D27" s="13"/>
      <c r="E27" s="11"/>
      <c r="F27" s="11"/>
      <c r="G27" s="25"/>
      <c r="H27" s="25"/>
      <c r="I27" s="26"/>
      <c r="J27" s="25"/>
      <c r="K27" s="25"/>
      <c r="L27" s="25"/>
    </row>
    <row r="28" spans="1:12" ht="15" hidden="1" x14ac:dyDescent="0.2">
      <c r="A28" s="15" t="s">
        <v>609</v>
      </c>
      <c r="B28" s="11"/>
      <c r="C28" s="11"/>
      <c r="D28" s="13"/>
      <c r="E28" s="11"/>
      <c r="F28" s="11"/>
      <c r="G28" s="25"/>
      <c r="H28" s="25"/>
      <c r="I28" s="26"/>
      <c r="J28" s="25"/>
      <c r="K28" s="25"/>
      <c r="L28" s="25"/>
    </row>
    <row r="29" spans="1:12" ht="15" hidden="1" x14ac:dyDescent="0.2">
      <c r="A29" s="11"/>
      <c r="B29" s="11"/>
      <c r="C29" s="10"/>
      <c r="D29" s="10"/>
      <c r="E29" s="10"/>
      <c r="F29" s="10"/>
      <c r="G29" s="25"/>
      <c r="H29" s="25"/>
      <c r="I29" s="26"/>
      <c r="J29" s="25"/>
      <c r="K29" s="25"/>
      <c r="L29" s="25"/>
    </row>
    <row r="30" spans="1:12" ht="14.25" x14ac:dyDescent="0.2">
      <c r="A30" s="64" t="s">
        <v>622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2" ht="57" x14ac:dyDescent="0.2">
      <c r="A31" s="27" t="s">
        <v>610</v>
      </c>
      <c r="B31" s="27" t="s">
        <v>611</v>
      </c>
      <c r="C31" s="27" t="s">
        <v>612</v>
      </c>
      <c r="D31" s="27" t="s">
        <v>613</v>
      </c>
      <c r="E31" s="27" t="s">
        <v>614</v>
      </c>
      <c r="F31" s="27" t="s">
        <v>615</v>
      </c>
      <c r="G31" s="27" t="s">
        <v>616</v>
      </c>
      <c r="H31" s="27" t="s">
        <v>617</v>
      </c>
      <c r="I31" s="27" t="s">
        <v>618</v>
      </c>
      <c r="J31" s="27" t="s">
        <v>619</v>
      </c>
      <c r="K31" s="27" t="s">
        <v>620</v>
      </c>
      <c r="L31" s="27" t="s">
        <v>621</v>
      </c>
    </row>
    <row r="32" spans="1:12" ht="14.25" x14ac:dyDescent="0.2">
      <c r="A32" s="28">
        <v>1</v>
      </c>
      <c r="B32" s="28">
        <v>2</v>
      </c>
      <c r="C32" s="28">
        <v>3</v>
      </c>
      <c r="D32" s="28">
        <v>4</v>
      </c>
      <c r="E32" s="28">
        <v>5</v>
      </c>
      <c r="F32" s="28">
        <v>6</v>
      </c>
      <c r="G32" s="28">
        <v>7</v>
      </c>
      <c r="H32" s="28">
        <v>8</v>
      </c>
      <c r="I32" s="28">
        <v>9</v>
      </c>
      <c r="J32" s="28">
        <v>10</v>
      </c>
      <c r="K32" s="28">
        <v>11</v>
      </c>
      <c r="L32" s="29">
        <v>12</v>
      </c>
    </row>
    <row r="33" spans="1:26" ht="16.5" x14ac:dyDescent="0.25">
      <c r="A33" s="60" t="str">
        <f>CONCATENATE("Раздел: ",IF(Source!G24&lt;&gt;"Новый раздел", Source!G24, ""))</f>
        <v>Раздел: Демонтажные работы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  <row r="34" spans="1:26" ht="28.5" x14ac:dyDescent="0.2">
      <c r="A34" s="52">
        <v>1</v>
      </c>
      <c r="B34" s="52" t="str">
        <f>Source!F28</f>
        <v>46-04-008-01</v>
      </c>
      <c r="C34" s="52" t="str">
        <f>Source!G28</f>
        <v>Разборка покрытий кровель: из рулонных материалов</v>
      </c>
      <c r="D34" s="36" t="str">
        <f>Source!H28</f>
        <v>100 м2</v>
      </c>
      <c r="E34" s="10">
        <f>Source!I28</f>
        <v>44.48</v>
      </c>
      <c r="F34" s="37">
        <f>Source!AL28+Source!AM28+Source!AO28</f>
        <v>153.59</v>
      </c>
      <c r="G34" s="38"/>
      <c r="H34" s="37"/>
      <c r="I34" s="38" t="str">
        <f>Source!BO28</f>
        <v/>
      </c>
      <c r="J34" s="38"/>
      <c r="K34" s="37"/>
      <c r="L34" s="39"/>
      <c r="S34">
        <f>ROUND((Source!FX28/100)*((ROUND(Source!AF28*Source!I28, 2)+ROUND(Source!AE28*Source!I28, 2))), 2)</f>
        <v>5138.55</v>
      </c>
      <c r="T34">
        <f>Source!X28</f>
        <v>150713.47</v>
      </c>
      <c r="U34">
        <f>ROUND((Source!FY28/100)*((ROUND(Source!AF28*Source!I28, 2)+ROUND(Source!AE28*Source!I28, 2))), 2)</f>
        <v>2943.44</v>
      </c>
      <c r="V34">
        <f>Source!Y28</f>
        <v>86331.02</v>
      </c>
    </row>
    <row r="35" spans="1:26" x14ac:dyDescent="0.2">
      <c r="C35" s="30" t="str">
        <f>"Объем: "&amp;Source!I28&amp;"=4448/"&amp;"100"</f>
        <v>Объем: 44,48=4448/100</v>
      </c>
    </row>
    <row r="36" spans="1:26" ht="14.25" x14ac:dyDescent="0.2">
      <c r="A36" s="52"/>
      <c r="B36" s="52"/>
      <c r="C36" s="52" t="s">
        <v>623</v>
      </c>
      <c r="D36" s="36"/>
      <c r="E36" s="10"/>
      <c r="F36" s="37">
        <f>Source!AO28</f>
        <v>112.16</v>
      </c>
      <c r="G36" s="38" t="str">
        <f>Source!DG28</f>
        <v/>
      </c>
      <c r="H36" s="37">
        <f>ROUND(Source!AF28*Source!I28, 2)</f>
        <v>4988.88</v>
      </c>
      <c r="I36" s="38"/>
      <c r="J36" s="38">
        <f>IF(Source!BA28&lt;&gt; 0, Source!BA28, 1)</f>
        <v>29.33</v>
      </c>
      <c r="K36" s="37">
        <f>Source!S28</f>
        <v>146323.76</v>
      </c>
      <c r="L36" s="39"/>
      <c r="R36">
        <f>H36</f>
        <v>4988.88</v>
      </c>
    </row>
    <row r="37" spans="1:26" ht="14.25" x14ac:dyDescent="0.2">
      <c r="A37" s="52"/>
      <c r="B37" s="52"/>
      <c r="C37" s="52" t="s">
        <v>110</v>
      </c>
      <c r="D37" s="36"/>
      <c r="E37" s="10"/>
      <c r="F37" s="37">
        <f>Source!AM28</f>
        <v>41.43</v>
      </c>
      <c r="G37" s="38" t="str">
        <f>Source!DE28</f>
        <v/>
      </c>
      <c r="H37" s="37">
        <f>ROUND((((Source!ET28)-(Source!EU28))+Source!AE28)*Source!I28, 2)</f>
        <v>1842.81</v>
      </c>
      <c r="I37" s="38"/>
      <c r="J37" s="38">
        <f>IF(Source!BB28&lt;&gt; 0, Source!BB28, 1)</f>
        <v>11.52</v>
      </c>
      <c r="K37" s="37">
        <f>Source!Q28</f>
        <v>21229.13</v>
      </c>
      <c r="L37" s="39"/>
    </row>
    <row r="38" spans="1:26" ht="14.25" x14ac:dyDescent="0.2">
      <c r="A38" s="52"/>
      <c r="B38" s="52"/>
      <c r="C38" s="52" t="s">
        <v>624</v>
      </c>
      <c r="D38" s="36" t="s">
        <v>625</v>
      </c>
      <c r="E38" s="10">
        <f>Source!BZ28</f>
        <v>103</v>
      </c>
      <c r="F38" s="54"/>
      <c r="G38" s="38"/>
      <c r="H38" s="37">
        <f>SUM(S34:S40)</f>
        <v>5138.55</v>
      </c>
      <c r="I38" s="40"/>
      <c r="J38" s="35">
        <f>Source!AT28</f>
        <v>103</v>
      </c>
      <c r="K38" s="37">
        <f>SUM(T34:T40)</f>
        <v>150713.47</v>
      </c>
      <c r="L38" s="39"/>
    </row>
    <row r="39" spans="1:26" ht="14.25" x14ac:dyDescent="0.2">
      <c r="A39" s="52"/>
      <c r="B39" s="52"/>
      <c r="C39" s="52" t="s">
        <v>626</v>
      </c>
      <c r="D39" s="36" t="s">
        <v>625</v>
      </c>
      <c r="E39" s="10">
        <f>Source!CA28</f>
        <v>59</v>
      </c>
      <c r="F39" s="54"/>
      <c r="G39" s="38"/>
      <c r="H39" s="37">
        <f>SUM(U34:U40)</f>
        <v>2943.44</v>
      </c>
      <c r="I39" s="40"/>
      <c r="J39" s="35">
        <f>Source!AU28</f>
        <v>59</v>
      </c>
      <c r="K39" s="37">
        <f>SUM(V34:V40)</f>
        <v>86331.02</v>
      </c>
      <c r="L39" s="39"/>
    </row>
    <row r="40" spans="1:26" ht="14.25" x14ac:dyDescent="0.2">
      <c r="A40" s="53"/>
      <c r="B40" s="53"/>
      <c r="C40" s="53" t="s">
        <v>627</v>
      </c>
      <c r="D40" s="41" t="s">
        <v>628</v>
      </c>
      <c r="E40" s="42">
        <f>Source!AQ28</f>
        <v>14.38</v>
      </c>
      <c r="F40" s="43"/>
      <c r="G40" s="44" t="str">
        <f>Source!DI28</f>
        <v/>
      </c>
      <c r="H40" s="43"/>
      <c r="I40" s="44"/>
      <c r="J40" s="44"/>
      <c r="K40" s="43"/>
      <c r="L40" s="45">
        <f>Source!U28</f>
        <v>639.62239999999997</v>
      </c>
    </row>
    <row r="41" spans="1:26" ht="15" x14ac:dyDescent="0.25">
      <c r="G41" s="58">
        <f>H36+H37+H38+H39</f>
        <v>14913.680000000002</v>
      </c>
      <c r="H41" s="58"/>
      <c r="J41" s="58">
        <f>K36+K37+K38+K39</f>
        <v>404597.38</v>
      </c>
      <c r="K41" s="58"/>
      <c r="L41" s="46">
        <f>Source!U28</f>
        <v>639.62239999999997</v>
      </c>
      <c r="O41" s="31">
        <f>G41</f>
        <v>14913.680000000002</v>
      </c>
      <c r="P41" s="31">
        <f>J41</f>
        <v>404597.38</v>
      </c>
      <c r="Q41" s="31">
        <f>L41</f>
        <v>639.62239999999997</v>
      </c>
      <c r="W41">
        <f>IF(Source!BI28&lt;=1,H36+H37+H38+H39, 0)</f>
        <v>14913.680000000002</v>
      </c>
      <c r="X41">
        <f>IF(Source!BI28=2,H36+H37+H38+H39, 0)</f>
        <v>0</v>
      </c>
      <c r="Y41">
        <f>IF(Source!BI28=3,H36+H37+H38+H39, 0)</f>
        <v>0</v>
      </c>
      <c r="Z41">
        <f>IF(Source!BI28=4,H36+H37+H38+H39, 0)</f>
        <v>0</v>
      </c>
    </row>
    <row r="42" spans="1:26" ht="85.5" x14ac:dyDescent="0.2">
      <c r="A42" s="52">
        <v>2</v>
      </c>
      <c r="B42" s="52" t="str">
        <f>Source!F29</f>
        <v>07-01-027-03</v>
      </c>
      <c r="C42" s="52" t="str">
        <f>Source!G29</f>
        <v>Демонтаж // Укладка плит покрытий одноэтажных зданий и сооружений длиной до 6 м, площадью: до 10 м2 при массе стропильных и подстропильных конструкций до 15 т и высоте зданий до 35 м</v>
      </c>
      <c r="D42" s="36" t="str">
        <f>Source!H29</f>
        <v>100 ШТ</v>
      </c>
      <c r="E42" s="10">
        <f>Source!I29</f>
        <v>3.6</v>
      </c>
      <c r="F42" s="37">
        <f>Source!AL29+Source!AM29+Source!AO29</f>
        <v>14962.6</v>
      </c>
      <c r="G42" s="38"/>
      <c r="H42" s="37"/>
      <c r="I42" s="38" t="str">
        <f>Source!BO29</f>
        <v/>
      </c>
      <c r="J42" s="38"/>
      <c r="K42" s="37"/>
      <c r="L42" s="39"/>
      <c r="S42">
        <f>ROUND((Source!FX29/100)*((ROUND(Source!AF29*Source!I29, 2)+ROUND(Source!AE29*Source!I29, 2))), 2)</f>
        <v>8917.2800000000007</v>
      </c>
      <c r="T42">
        <f>Source!X29</f>
        <v>261544.01</v>
      </c>
      <c r="U42">
        <f>ROUND((Source!FY29/100)*((ROUND(Source!AF29*Source!I29, 2)+ROUND(Source!AE29*Source!I29, 2))), 2)</f>
        <v>5917.83</v>
      </c>
      <c r="V42">
        <f>Source!Y29</f>
        <v>173570.11</v>
      </c>
    </row>
    <row r="43" spans="1:26" x14ac:dyDescent="0.2">
      <c r="C43" s="30" t="str">
        <f>"Объем: "&amp;Source!I29&amp;"=360/"&amp;"100"</f>
        <v>Объем: 3,6=360/100</v>
      </c>
    </row>
    <row r="44" spans="1:26" ht="14.25" x14ac:dyDescent="0.2">
      <c r="A44" s="52"/>
      <c r="B44" s="52"/>
      <c r="C44" s="52" t="s">
        <v>623</v>
      </c>
      <c r="D44" s="36"/>
      <c r="E44" s="10"/>
      <c r="F44" s="37">
        <f>Source!AO29</f>
        <v>1868.42</v>
      </c>
      <c r="G44" s="38" t="str">
        <f>Source!DG29</f>
        <v>)*0,8</v>
      </c>
      <c r="H44" s="37">
        <f>ROUND(Source!AF29*Source!I29, 2)</f>
        <v>5381.06</v>
      </c>
      <c r="I44" s="38"/>
      <c r="J44" s="38">
        <f>IF(Source!BA29&lt;&gt; 0, Source!BA29, 1)</f>
        <v>29.33</v>
      </c>
      <c r="K44" s="37">
        <f>Source!S29</f>
        <v>157826.60999999999</v>
      </c>
      <c r="L44" s="39"/>
      <c r="R44">
        <f>H44</f>
        <v>5381.06</v>
      </c>
    </row>
    <row r="45" spans="1:26" ht="14.25" x14ac:dyDescent="0.2">
      <c r="A45" s="52"/>
      <c r="B45" s="52"/>
      <c r="C45" s="52" t="s">
        <v>110</v>
      </c>
      <c r="D45" s="36"/>
      <c r="E45" s="10"/>
      <c r="F45" s="37">
        <f>Source!AM29</f>
        <v>10946.95</v>
      </c>
      <c r="G45" s="38" t="str">
        <f>Source!DE29</f>
        <v>)*0,8</v>
      </c>
      <c r="H45" s="37">
        <f>ROUND(((((Source!ET29*0.8))-((Source!EU29*0.8)))+Source!AE29)*Source!I29, 2)</f>
        <v>31527.200000000001</v>
      </c>
      <c r="I45" s="38"/>
      <c r="J45" s="38">
        <f>IF(Source!BB29&lt;&gt; 0, Source!BB29, 1)</f>
        <v>11.52</v>
      </c>
      <c r="K45" s="37">
        <f>Source!Q29</f>
        <v>363193.11</v>
      </c>
      <c r="L45" s="39"/>
    </row>
    <row r="46" spans="1:26" ht="14.25" x14ac:dyDescent="0.2">
      <c r="A46" s="52"/>
      <c r="B46" s="52"/>
      <c r="C46" s="52" t="s">
        <v>629</v>
      </c>
      <c r="D46" s="36"/>
      <c r="E46" s="10"/>
      <c r="F46" s="37">
        <f>Source!AN29</f>
        <v>946.38</v>
      </c>
      <c r="G46" s="38" t="str">
        <f>Source!DF29</f>
        <v>)*0,8</v>
      </c>
      <c r="H46" s="47">
        <f>ROUND(Source!AE29*Source!I29, 2)</f>
        <v>2725.56</v>
      </c>
      <c r="I46" s="38"/>
      <c r="J46" s="38">
        <f>IF(Source!BS29&lt;&gt; 0, Source!BS29, 1)</f>
        <v>29.33</v>
      </c>
      <c r="K46" s="47">
        <f>Source!R29</f>
        <v>79940.67</v>
      </c>
      <c r="L46" s="39"/>
      <c r="R46">
        <f>H46</f>
        <v>2725.56</v>
      </c>
    </row>
    <row r="47" spans="1:26" ht="14.25" x14ac:dyDescent="0.2">
      <c r="A47" s="52"/>
      <c r="B47" s="52"/>
      <c r="C47" s="52" t="s">
        <v>624</v>
      </c>
      <c r="D47" s="36" t="s">
        <v>625</v>
      </c>
      <c r="E47" s="10">
        <f>Source!BZ29</f>
        <v>110</v>
      </c>
      <c r="F47" s="54"/>
      <c r="G47" s="38"/>
      <c r="H47" s="37">
        <f>SUM(S42:S49)</f>
        <v>8917.2800000000007</v>
      </c>
      <c r="I47" s="40"/>
      <c r="J47" s="35">
        <f>Source!AT29</f>
        <v>110</v>
      </c>
      <c r="K47" s="37">
        <f>SUM(T42:T49)</f>
        <v>261544.01</v>
      </c>
      <c r="L47" s="39"/>
    </row>
    <row r="48" spans="1:26" ht="14.25" x14ac:dyDescent="0.2">
      <c r="A48" s="52"/>
      <c r="B48" s="52"/>
      <c r="C48" s="52" t="s">
        <v>626</v>
      </c>
      <c r="D48" s="36" t="s">
        <v>625</v>
      </c>
      <c r="E48" s="10">
        <f>Source!CA29</f>
        <v>73</v>
      </c>
      <c r="F48" s="54"/>
      <c r="G48" s="38"/>
      <c r="H48" s="37">
        <f>SUM(U42:U49)</f>
        <v>5917.83</v>
      </c>
      <c r="I48" s="40"/>
      <c r="J48" s="35">
        <f>Source!AU29</f>
        <v>73</v>
      </c>
      <c r="K48" s="37">
        <f>SUM(V42:V49)</f>
        <v>173570.11</v>
      </c>
      <c r="L48" s="39"/>
    </row>
    <row r="49" spans="1:26" ht="14.25" x14ac:dyDescent="0.2">
      <c r="A49" s="53"/>
      <c r="B49" s="53"/>
      <c r="C49" s="53" t="s">
        <v>627</v>
      </c>
      <c r="D49" s="41" t="s">
        <v>628</v>
      </c>
      <c r="E49" s="42">
        <f>Source!AQ29</f>
        <v>206</v>
      </c>
      <c r="F49" s="43"/>
      <c r="G49" s="44" t="str">
        <f>Source!DI29</f>
        <v>)*0,8</v>
      </c>
      <c r="H49" s="43"/>
      <c r="I49" s="44"/>
      <c r="J49" s="44"/>
      <c r="K49" s="43"/>
      <c r="L49" s="45">
        <f>Source!U29</f>
        <v>593.28000000000009</v>
      </c>
    </row>
    <row r="50" spans="1:26" ht="15" x14ac:dyDescent="0.25">
      <c r="G50" s="58">
        <f>H44+H45+H47+H48</f>
        <v>51743.37</v>
      </c>
      <c r="H50" s="58"/>
      <c r="J50" s="58">
        <f>K44+K45+K47+K48</f>
        <v>956133.84</v>
      </c>
      <c r="K50" s="58"/>
      <c r="L50" s="46">
        <f>Source!U29</f>
        <v>593.28000000000009</v>
      </c>
      <c r="O50" s="31">
        <f>G50</f>
        <v>51743.37</v>
      </c>
      <c r="P50" s="31">
        <f>J50</f>
        <v>956133.84</v>
      </c>
      <c r="Q50" s="31">
        <f>L50</f>
        <v>593.28000000000009</v>
      </c>
      <c r="W50">
        <f>IF(Source!BI29&lt;=1,H44+H45+H47+H48, 0)</f>
        <v>51743.37</v>
      </c>
      <c r="X50">
        <f>IF(Source!BI29=2,H44+H45+H47+H48, 0)</f>
        <v>0</v>
      </c>
      <c r="Y50">
        <f>IF(Source!BI29=3,H44+H45+H47+H48, 0)</f>
        <v>0</v>
      </c>
      <c r="Z50">
        <f>IF(Source!BI29=4,H44+H45+H47+H48, 0)</f>
        <v>0</v>
      </c>
    </row>
    <row r="51" spans="1:26" ht="85.5" x14ac:dyDescent="0.2">
      <c r="A51" s="52">
        <v>3</v>
      </c>
      <c r="B51" s="52" t="str">
        <f>Source!F30</f>
        <v>07-01-027-09</v>
      </c>
      <c r="C51" s="52" t="str">
        <f>Source!G30</f>
        <v>Демонтаж // Укладка плит покрытий одноэтажных зданий и сооружений длиной до 6 м, площадью: до 20 м2 при массе стропильных и подстропильных конструкций до 15 т и высоте зданий до 35 м</v>
      </c>
      <c r="D51" s="36" t="str">
        <f>Source!H30</f>
        <v>100 ШТ</v>
      </c>
      <c r="E51" s="10">
        <f>Source!I30</f>
        <v>0.5</v>
      </c>
      <c r="F51" s="37">
        <f>Source!AL30+Source!AM30+Source!AO30</f>
        <v>19122.37</v>
      </c>
      <c r="G51" s="38"/>
      <c r="H51" s="37"/>
      <c r="I51" s="38" t="str">
        <f>Source!BO30</f>
        <v/>
      </c>
      <c r="J51" s="38"/>
      <c r="K51" s="37"/>
      <c r="L51" s="39"/>
      <c r="S51">
        <f>ROUND((Source!FX30/100)*((ROUND(Source!AF30*Source!I30, 2)+ROUND(Source!AE30*Source!I30, 2))), 2)</f>
        <v>1637.65</v>
      </c>
      <c r="T51">
        <f>Source!X30</f>
        <v>48032.19</v>
      </c>
      <c r="U51">
        <f>ROUND((Source!FY30/100)*((ROUND(Source!AF30*Source!I30, 2)+ROUND(Source!AE30*Source!I30, 2))), 2)</f>
        <v>1086.8</v>
      </c>
      <c r="V51">
        <f>Source!Y30</f>
        <v>31875.91</v>
      </c>
    </row>
    <row r="52" spans="1:26" x14ac:dyDescent="0.2">
      <c r="C52" s="30" t="str">
        <f>"Объем: "&amp;Source!I30&amp;"=50/"&amp;"100"</f>
        <v>Объем: 0,5=50/100</v>
      </c>
    </row>
    <row r="53" spans="1:26" ht="14.25" x14ac:dyDescent="0.2">
      <c r="A53" s="52"/>
      <c r="B53" s="52"/>
      <c r="C53" s="52" t="s">
        <v>623</v>
      </c>
      <c r="D53" s="36"/>
      <c r="E53" s="10"/>
      <c r="F53" s="37">
        <f>Source!AO30</f>
        <v>2503.3200000000002</v>
      </c>
      <c r="G53" s="38" t="str">
        <f>Source!DG30</f>
        <v>)*0,8</v>
      </c>
      <c r="H53" s="37">
        <f>ROUND(Source!AF30*Source!I30, 2)</f>
        <v>1001.33</v>
      </c>
      <c r="I53" s="38"/>
      <c r="J53" s="38">
        <f>IF(Source!BA30&lt;&gt; 0, Source!BA30, 1)</f>
        <v>29.33</v>
      </c>
      <c r="K53" s="37">
        <f>Source!S30</f>
        <v>29369.01</v>
      </c>
      <c r="L53" s="39"/>
      <c r="R53">
        <f>H53</f>
        <v>1001.33</v>
      </c>
    </row>
    <row r="54" spans="1:26" ht="14.25" x14ac:dyDescent="0.2">
      <c r="A54" s="52"/>
      <c r="B54" s="52"/>
      <c r="C54" s="52" t="s">
        <v>110</v>
      </c>
      <c r="D54" s="36"/>
      <c r="E54" s="10"/>
      <c r="F54" s="37">
        <f>Source!AM30</f>
        <v>13792.31</v>
      </c>
      <c r="G54" s="38" t="str">
        <f>Source!DE30</f>
        <v>)*0,8</v>
      </c>
      <c r="H54" s="37">
        <f>ROUND(((((Source!ET30*0.8))-((Source!EU30*0.8)))+Source!AE30)*Source!I30, 2)</f>
        <v>5516.92</v>
      </c>
      <c r="I54" s="38"/>
      <c r="J54" s="38">
        <f>IF(Source!BB30&lt;&gt; 0, Source!BB30, 1)</f>
        <v>11.52</v>
      </c>
      <c r="K54" s="37">
        <f>Source!Q30</f>
        <v>63554.96</v>
      </c>
      <c r="L54" s="39"/>
    </row>
    <row r="55" spans="1:26" ht="14.25" x14ac:dyDescent="0.2">
      <c r="A55" s="52"/>
      <c r="B55" s="52"/>
      <c r="C55" s="52" t="s">
        <v>629</v>
      </c>
      <c r="D55" s="36"/>
      <c r="E55" s="10"/>
      <c r="F55" s="37">
        <f>Source!AN30</f>
        <v>1218.5999999999999</v>
      </c>
      <c r="G55" s="38" t="str">
        <f>Source!DF30</f>
        <v>)*0,8</v>
      </c>
      <c r="H55" s="47">
        <f>ROUND(Source!AE30*Source!I30, 2)</f>
        <v>487.44</v>
      </c>
      <c r="I55" s="38"/>
      <c r="J55" s="38">
        <f>IF(Source!BS30&lt;&gt; 0, Source!BS30, 1)</f>
        <v>29.33</v>
      </c>
      <c r="K55" s="47">
        <f>Source!R30</f>
        <v>14296.62</v>
      </c>
      <c r="L55" s="39"/>
      <c r="R55">
        <f>H55</f>
        <v>487.44</v>
      </c>
    </row>
    <row r="56" spans="1:26" ht="14.25" x14ac:dyDescent="0.2">
      <c r="A56" s="52"/>
      <c r="B56" s="52"/>
      <c r="C56" s="52" t="s">
        <v>624</v>
      </c>
      <c r="D56" s="36" t="s">
        <v>625</v>
      </c>
      <c r="E56" s="10">
        <f>Source!BZ30</f>
        <v>110</v>
      </c>
      <c r="F56" s="54"/>
      <c r="G56" s="38"/>
      <c r="H56" s="37">
        <f>SUM(S51:S58)</f>
        <v>1637.65</v>
      </c>
      <c r="I56" s="40"/>
      <c r="J56" s="35">
        <f>Source!AT30</f>
        <v>110</v>
      </c>
      <c r="K56" s="37">
        <f>SUM(T51:T58)</f>
        <v>48032.19</v>
      </c>
      <c r="L56" s="39"/>
    </row>
    <row r="57" spans="1:26" ht="14.25" x14ac:dyDescent="0.2">
      <c r="A57" s="52"/>
      <c r="B57" s="52"/>
      <c r="C57" s="52" t="s">
        <v>626</v>
      </c>
      <c r="D57" s="36" t="s">
        <v>625</v>
      </c>
      <c r="E57" s="10">
        <f>Source!CA30</f>
        <v>73</v>
      </c>
      <c r="F57" s="54"/>
      <c r="G57" s="38"/>
      <c r="H57" s="37">
        <f>SUM(U51:U58)</f>
        <v>1086.8</v>
      </c>
      <c r="I57" s="40"/>
      <c r="J57" s="35">
        <f>Source!AU30</f>
        <v>73</v>
      </c>
      <c r="K57" s="37">
        <f>SUM(V51:V58)</f>
        <v>31875.91</v>
      </c>
      <c r="L57" s="39"/>
    </row>
    <row r="58" spans="1:26" ht="14.25" x14ac:dyDescent="0.2">
      <c r="A58" s="53"/>
      <c r="B58" s="53"/>
      <c r="C58" s="53" t="s">
        <v>627</v>
      </c>
      <c r="D58" s="41" t="s">
        <v>628</v>
      </c>
      <c r="E58" s="42">
        <f>Source!AQ30</f>
        <v>276</v>
      </c>
      <c r="F58" s="43"/>
      <c r="G58" s="44" t="str">
        <f>Source!DI30</f>
        <v>)*0,8</v>
      </c>
      <c r="H58" s="43"/>
      <c r="I58" s="44"/>
      <c r="J58" s="44"/>
      <c r="K58" s="43"/>
      <c r="L58" s="45">
        <f>Source!U30</f>
        <v>110.4</v>
      </c>
    </row>
    <row r="59" spans="1:26" ht="15" x14ac:dyDescent="0.25">
      <c r="G59" s="58">
        <f>H53+H54+H56+H57</f>
        <v>9242.6999999999989</v>
      </c>
      <c r="H59" s="58"/>
      <c r="J59" s="58">
        <f>K53+K54+K56+K57</f>
        <v>172832.07</v>
      </c>
      <c r="K59" s="58"/>
      <c r="L59" s="46">
        <f>Source!U30</f>
        <v>110.4</v>
      </c>
      <c r="O59" s="31">
        <f>G59</f>
        <v>9242.6999999999989</v>
      </c>
      <c r="P59" s="31">
        <f>J59</f>
        <v>172832.07</v>
      </c>
      <c r="Q59" s="31">
        <f>L59</f>
        <v>110.4</v>
      </c>
      <c r="W59">
        <f>IF(Source!BI30&lt;=1,H53+H54+H56+H57, 0)</f>
        <v>9242.6999999999989</v>
      </c>
      <c r="X59">
        <f>IF(Source!BI30=2,H53+H54+H56+H57, 0)</f>
        <v>0</v>
      </c>
      <c r="Y59">
        <f>IF(Source!BI30=3,H53+H54+H56+H57, 0)</f>
        <v>0</v>
      </c>
      <c r="Z59">
        <f>IF(Source!BI30=4,H53+H54+H56+H57, 0)</f>
        <v>0</v>
      </c>
    </row>
    <row r="60" spans="1:26" ht="57" x14ac:dyDescent="0.2">
      <c r="A60" s="52">
        <v>4</v>
      </c>
      <c r="B60" s="52" t="str">
        <f>Source!F31</f>
        <v>07-01-035-07</v>
      </c>
      <c r="C60" s="52" t="str">
        <f>Source!G31</f>
        <v>Демонтаж // Установка карнизных панелей многоэтажных зданий при наибольшей массе монтажных элементов в здании до 5 т</v>
      </c>
      <c r="D60" s="36" t="str">
        <f>Source!H31</f>
        <v>100 ШТ</v>
      </c>
      <c r="E60" s="10">
        <f>Source!I31</f>
        <v>0.46</v>
      </c>
      <c r="F60" s="37">
        <f>Source!AL31+Source!AM31+Source!AO31</f>
        <v>7482.5500000000011</v>
      </c>
      <c r="G60" s="38"/>
      <c r="H60" s="37"/>
      <c r="I60" s="38" t="str">
        <f>Source!BO31</f>
        <v/>
      </c>
      <c r="J60" s="38"/>
      <c r="K60" s="37"/>
      <c r="L60" s="39"/>
      <c r="S60">
        <f>ROUND((Source!FX31/100)*((ROUND(Source!AF31*Source!I31, 2)+ROUND(Source!AE31*Source!I31, 2))), 2)</f>
        <v>920.29</v>
      </c>
      <c r="T60">
        <f>Source!X31</f>
        <v>26992.03</v>
      </c>
      <c r="U60">
        <f>ROUND((Source!FY31/100)*((ROUND(Source!AF31*Source!I31, 2)+ROUND(Source!AE31*Source!I31, 2))), 2)</f>
        <v>610.74</v>
      </c>
      <c r="V60">
        <f>Source!Y31</f>
        <v>17912.89</v>
      </c>
    </row>
    <row r="61" spans="1:26" x14ac:dyDescent="0.2">
      <c r="C61" s="30" t="str">
        <f>"Объем: "&amp;Source!I31&amp;"=46/"&amp;"100"</f>
        <v>Объем: 0,46=46/100</v>
      </c>
    </row>
    <row r="62" spans="1:26" ht="14.25" x14ac:dyDescent="0.2">
      <c r="A62" s="52"/>
      <c r="B62" s="52"/>
      <c r="C62" s="52" t="s">
        <v>623</v>
      </c>
      <c r="D62" s="36"/>
      <c r="E62" s="10"/>
      <c r="F62" s="37">
        <f>Source!AO31</f>
        <v>1683.27</v>
      </c>
      <c r="G62" s="38" t="str">
        <f>Source!DG31</f>
        <v>)*0,8</v>
      </c>
      <c r="H62" s="37">
        <f>ROUND(Source!AF31*Source!I31, 2)</f>
        <v>619.45000000000005</v>
      </c>
      <c r="I62" s="38"/>
      <c r="J62" s="38">
        <f>IF(Source!BA31&lt;&gt; 0, Source!BA31, 1)</f>
        <v>29.33</v>
      </c>
      <c r="K62" s="37">
        <f>Source!S31</f>
        <v>18168.330000000002</v>
      </c>
      <c r="L62" s="39"/>
      <c r="R62">
        <f>H62</f>
        <v>619.45000000000005</v>
      </c>
    </row>
    <row r="63" spans="1:26" ht="14.25" x14ac:dyDescent="0.2">
      <c r="A63" s="52"/>
      <c r="B63" s="52"/>
      <c r="C63" s="52" t="s">
        <v>110</v>
      </c>
      <c r="D63" s="36"/>
      <c r="E63" s="10"/>
      <c r="F63" s="37">
        <f>Source!AM31</f>
        <v>3909.36</v>
      </c>
      <c r="G63" s="38" t="str">
        <f>Source!DE31</f>
        <v>)*0,8</v>
      </c>
      <c r="H63" s="37">
        <f>ROUND(((((Source!ET31*0.8))-((Source!EU31*0.8)))+Source!AE31)*Source!I31, 2)</f>
        <v>1438.65</v>
      </c>
      <c r="I63" s="38"/>
      <c r="J63" s="38">
        <f>IF(Source!BB31&lt;&gt; 0, Source!BB31, 1)</f>
        <v>11.52</v>
      </c>
      <c r="K63" s="37">
        <f>Source!Q31</f>
        <v>16573.21</v>
      </c>
      <c r="L63" s="39"/>
    </row>
    <row r="64" spans="1:26" ht="14.25" x14ac:dyDescent="0.2">
      <c r="A64" s="52"/>
      <c r="B64" s="52"/>
      <c r="C64" s="52" t="s">
        <v>629</v>
      </c>
      <c r="D64" s="36"/>
      <c r="E64" s="10"/>
      <c r="F64" s="37">
        <f>Source!AN31</f>
        <v>590.16</v>
      </c>
      <c r="G64" s="38" t="str">
        <f>Source!DF31</f>
        <v>)*0,8</v>
      </c>
      <c r="H64" s="47">
        <f>ROUND(Source!AE31*Source!I31, 2)</f>
        <v>217.18</v>
      </c>
      <c r="I64" s="38"/>
      <c r="J64" s="38">
        <f>IF(Source!BS31&lt;&gt; 0, Source!BS31, 1)</f>
        <v>29.33</v>
      </c>
      <c r="K64" s="47">
        <f>Source!R31</f>
        <v>6369.88</v>
      </c>
      <c r="L64" s="39"/>
      <c r="R64">
        <f>H64</f>
        <v>217.18</v>
      </c>
    </row>
    <row r="65" spans="1:26" ht="14.25" x14ac:dyDescent="0.2">
      <c r="A65" s="52"/>
      <c r="B65" s="52"/>
      <c r="C65" s="52" t="s">
        <v>624</v>
      </c>
      <c r="D65" s="36" t="s">
        <v>625</v>
      </c>
      <c r="E65" s="10">
        <f>Source!BZ31</f>
        <v>110</v>
      </c>
      <c r="F65" s="54"/>
      <c r="G65" s="38"/>
      <c r="H65" s="37">
        <f>SUM(S60:S67)</f>
        <v>920.29</v>
      </c>
      <c r="I65" s="40"/>
      <c r="J65" s="35">
        <f>Source!AT31</f>
        <v>110</v>
      </c>
      <c r="K65" s="37">
        <f>SUM(T60:T67)</f>
        <v>26992.03</v>
      </c>
      <c r="L65" s="39"/>
    </row>
    <row r="66" spans="1:26" ht="14.25" x14ac:dyDescent="0.2">
      <c r="A66" s="52"/>
      <c r="B66" s="52"/>
      <c r="C66" s="52" t="s">
        <v>626</v>
      </c>
      <c r="D66" s="36" t="s">
        <v>625</v>
      </c>
      <c r="E66" s="10">
        <f>Source!CA31</f>
        <v>73</v>
      </c>
      <c r="F66" s="54"/>
      <c r="G66" s="38"/>
      <c r="H66" s="37">
        <f>SUM(U60:U67)</f>
        <v>610.74</v>
      </c>
      <c r="I66" s="40"/>
      <c r="J66" s="35">
        <f>Source!AU31</f>
        <v>73</v>
      </c>
      <c r="K66" s="37">
        <f>SUM(V60:V67)</f>
        <v>17912.89</v>
      </c>
      <c r="L66" s="39"/>
    </row>
    <row r="67" spans="1:26" ht="14.25" x14ac:dyDescent="0.2">
      <c r="A67" s="53"/>
      <c r="B67" s="53"/>
      <c r="C67" s="53" t="s">
        <v>627</v>
      </c>
      <c r="D67" s="41" t="s">
        <v>628</v>
      </c>
      <c r="E67" s="42">
        <f>Source!AQ31</f>
        <v>177</v>
      </c>
      <c r="F67" s="43"/>
      <c r="G67" s="44" t="str">
        <f>Source!DI31</f>
        <v>)*0,8</v>
      </c>
      <c r="H67" s="43"/>
      <c r="I67" s="44"/>
      <c r="J67" s="44"/>
      <c r="K67" s="43"/>
      <c r="L67" s="45">
        <f>Source!U31</f>
        <v>65.135999999999996</v>
      </c>
    </row>
    <row r="68" spans="1:26" ht="15" x14ac:dyDescent="0.25">
      <c r="G68" s="58">
        <f>H62+H63+H65+H66</f>
        <v>3589.13</v>
      </c>
      <c r="H68" s="58"/>
      <c r="J68" s="58">
        <f>K62+K63+K65+K66</f>
        <v>79646.459999999992</v>
      </c>
      <c r="K68" s="58"/>
      <c r="L68" s="46">
        <f>Source!U31</f>
        <v>65.135999999999996</v>
      </c>
      <c r="O68" s="31">
        <f>G68</f>
        <v>3589.13</v>
      </c>
      <c r="P68" s="31">
        <f>J68</f>
        <v>79646.459999999992</v>
      </c>
      <c r="Q68" s="31">
        <f>L68</f>
        <v>65.135999999999996</v>
      </c>
      <c r="W68">
        <f>IF(Source!BI31&lt;=1,H62+H63+H65+H66, 0)</f>
        <v>3589.13</v>
      </c>
      <c r="X68">
        <f>IF(Source!BI31=2,H62+H63+H65+H66, 0)</f>
        <v>0</v>
      </c>
      <c r="Y68">
        <f>IF(Source!BI31=3,H62+H63+H65+H66, 0)</f>
        <v>0</v>
      </c>
      <c r="Z68">
        <f>IF(Source!BI31=4,H62+H63+H65+H66, 0)</f>
        <v>0</v>
      </c>
    </row>
    <row r="69" spans="1:26" ht="57" x14ac:dyDescent="0.2">
      <c r="A69" s="53">
        <v>5</v>
      </c>
      <c r="B69" s="53" t="str">
        <f>Source!F32</f>
        <v>т01-01-01-003</v>
      </c>
      <c r="C69" s="53" t="str">
        <f>Source!G32</f>
        <v>Погрузка при автомобильных перевозках изделий из сборного железобетона, бетона, керамзитобетона массой до 3 т</v>
      </c>
      <c r="D69" s="41" t="str">
        <f>Source!H32</f>
        <v>1 т груза</v>
      </c>
      <c r="E69" s="42">
        <f>Source!I32</f>
        <v>582.9</v>
      </c>
      <c r="F69" s="43">
        <f>Source!AK32</f>
        <v>10.71</v>
      </c>
      <c r="G69" s="44" t="str">
        <f>Source!DC32</f>
        <v/>
      </c>
      <c r="H69" s="43">
        <f>ROUND(Source!AB32*Source!I32, 2)</f>
        <v>6242.86</v>
      </c>
      <c r="I69" s="44" t="str">
        <f>Source!BO32</f>
        <v/>
      </c>
      <c r="J69" s="44">
        <f>Source!AZ32</f>
        <v>11.52</v>
      </c>
      <c r="K69" s="43">
        <f>Source!GM32</f>
        <v>71917.740000000005</v>
      </c>
      <c r="L69" s="48"/>
      <c r="S69">
        <f>ROUND((Source!FX32/100)*((ROUND(0*Source!I32, 2)+ROUND(0*Source!I32, 2))), 2)</f>
        <v>0</v>
      </c>
      <c r="T69">
        <f>Source!X32</f>
        <v>0</v>
      </c>
      <c r="U69">
        <f>ROUND((Source!FY32/100)*((ROUND(0*Source!I32, 2)+ROUND(0*Source!I32, 2))), 2)</f>
        <v>0</v>
      </c>
      <c r="V69">
        <f>Source!Y32</f>
        <v>0</v>
      </c>
    </row>
    <row r="70" spans="1:26" ht="15" x14ac:dyDescent="0.25">
      <c r="G70" s="58">
        <f>H69</f>
        <v>6242.86</v>
      </c>
      <c r="H70" s="58"/>
      <c r="J70" s="58">
        <f>K69</f>
        <v>71917.740000000005</v>
      </c>
      <c r="K70" s="58"/>
      <c r="L70" s="46">
        <f>Source!U32</f>
        <v>0</v>
      </c>
      <c r="O70" s="31">
        <f>G70</f>
        <v>6242.86</v>
      </c>
      <c r="P70" s="31">
        <f>J70</f>
        <v>71917.740000000005</v>
      </c>
      <c r="Q70" s="31">
        <f>L70</f>
        <v>0</v>
      </c>
      <c r="W70">
        <f>IF(Source!BI32&lt;=1,H69, 0)</f>
        <v>6242.86</v>
      </c>
      <c r="X70">
        <f>IF(Source!BI32=2,H69, 0)</f>
        <v>0</v>
      </c>
      <c r="Y70">
        <f>IF(Source!BI32=3,H69, 0)</f>
        <v>0</v>
      </c>
      <c r="Z70">
        <f>IF(Source!BI32=4,H69, 0)</f>
        <v>0</v>
      </c>
    </row>
    <row r="71" spans="1:26" ht="57" x14ac:dyDescent="0.2">
      <c r="A71" s="53">
        <v>6</v>
      </c>
      <c r="B71" s="53" t="str">
        <f>Source!F33</f>
        <v>т01-01-02-003</v>
      </c>
      <c r="C71" s="53" t="str">
        <f>Source!G33</f>
        <v>Разгрузка при автомобильных перевозках изделий из сборного железобетона, бетона, керамзитобетона массой до 3 т</v>
      </c>
      <c r="D71" s="41" t="str">
        <f>Source!H33</f>
        <v>1 т груза</v>
      </c>
      <c r="E71" s="42">
        <f>Source!I33</f>
        <v>582.9</v>
      </c>
      <c r="F71" s="43">
        <f>Source!AK33</f>
        <v>10.71</v>
      </c>
      <c r="G71" s="44" t="str">
        <f>Source!DC33</f>
        <v/>
      </c>
      <c r="H71" s="43">
        <f>ROUND(Source!AB33*Source!I33, 2)</f>
        <v>6242.86</v>
      </c>
      <c r="I71" s="44" t="str">
        <f>Source!BO33</f>
        <v/>
      </c>
      <c r="J71" s="44">
        <f>Source!AZ33</f>
        <v>11.52</v>
      </c>
      <c r="K71" s="43">
        <f>Source!GM33</f>
        <v>71917.740000000005</v>
      </c>
      <c r="L71" s="48"/>
      <c r="S71">
        <f>ROUND((Source!FX33/100)*((ROUND(0*Source!I33, 2)+ROUND(0*Source!I33, 2))), 2)</f>
        <v>0</v>
      </c>
      <c r="T71">
        <f>Source!X33</f>
        <v>0</v>
      </c>
      <c r="U71">
        <f>ROUND((Source!FY33/100)*((ROUND(0*Source!I33, 2)+ROUND(0*Source!I33, 2))), 2)</f>
        <v>0</v>
      </c>
      <c r="V71">
        <f>Source!Y33</f>
        <v>0</v>
      </c>
    </row>
    <row r="72" spans="1:26" ht="15" x14ac:dyDescent="0.25">
      <c r="G72" s="58">
        <f>H71</f>
        <v>6242.86</v>
      </c>
      <c r="H72" s="58"/>
      <c r="J72" s="58">
        <f>K71</f>
        <v>71917.740000000005</v>
      </c>
      <c r="K72" s="58"/>
      <c r="L72" s="46">
        <f>Source!U33</f>
        <v>0</v>
      </c>
      <c r="O72" s="31">
        <f>G72</f>
        <v>6242.86</v>
      </c>
      <c r="P72" s="31">
        <f>J72</f>
        <v>71917.740000000005</v>
      </c>
      <c r="Q72" s="31">
        <f>L72</f>
        <v>0</v>
      </c>
      <c r="W72">
        <f>IF(Source!BI33&lt;=1,H71, 0)</f>
        <v>6242.86</v>
      </c>
      <c r="X72">
        <f>IF(Source!BI33=2,H71, 0)</f>
        <v>0</v>
      </c>
      <c r="Y72">
        <f>IF(Source!BI33=3,H71, 0)</f>
        <v>0</v>
      </c>
      <c r="Z72">
        <f>IF(Source!BI33=4,H71, 0)</f>
        <v>0</v>
      </c>
    </row>
    <row r="73" spans="1:26" ht="57" x14ac:dyDescent="0.2">
      <c r="A73" s="53">
        <v>7</v>
      </c>
      <c r="B73" s="53" t="str">
        <f>Source!F34</f>
        <v>т01-01-01-043</v>
      </c>
      <c r="C73" s="53" t="str">
        <f>Source!G34</f>
        <v>Погрузка при автомобильных перевозках мусора строительного с погрузкой экскаваторами емкостью ковша до 0,5 м3</v>
      </c>
      <c r="D73" s="41" t="str">
        <f>Source!H34</f>
        <v>1 т груза</v>
      </c>
      <c r="E73" s="42">
        <f>Source!I34</f>
        <v>21.4</v>
      </c>
      <c r="F73" s="43">
        <f>Source!AK34</f>
        <v>3.28</v>
      </c>
      <c r="G73" s="44" t="str">
        <f>Source!DC34</f>
        <v/>
      </c>
      <c r="H73" s="43">
        <f>ROUND(Source!AB34*Source!I34, 2)</f>
        <v>70.19</v>
      </c>
      <c r="I73" s="44" t="str">
        <f>Source!BO34</f>
        <v/>
      </c>
      <c r="J73" s="44">
        <f>Source!AZ34</f>
        <v>11.52</v>
      </c>
      <c r="K73" s="43">
        <f>Source!GM34</f>
        <v>808.61</v>
      </c>
      <c r="L73" s="48"/>
      <c r="S73">
        <f>ROUND((Source!FX34/100)*((ROUND(0*Source!I34, 2)+ROUND(0*Source!I34, 2))), 2)</f>
        <v>0</v>
      </c>
      <c r="T73">
        <f>Source!X34</f>
        <v>0</v>
      </c>
      <c r="U73">
        <f>ROUND((Source!FY34/100)*((ROUND(0*Source!I34, 2)+ROUND(0*Source!I34, 2))), 2)</f>
        <v>0</v>
      </c>
      <c r="V73">
        <f>Source!Y34</f>
        <v>0</v>
      </c>
    </row>
    <row r="74" spans="1:26" ht="15" x14ac:dyDescent="0.25">
      <c r="G74" s="58">
        <f>H73</f>
        <v>70.19</v>
      </c>
      <c r="H74" s="58"/>
      <c r="J74" s="58">
        <f>K73</f>
        <v>808.61</v>
      </c>
      <c r="K74" s="58"/>
      <c r="L74" s="46">
        <f>Source!U34</f>
        <v>0</v>
      </c>
      <c r="O74" s="31">
        <f>G74</f>
        <v>70.19</v>
      </c>
      <c r="P74" s="31">
        <f>J74</f>
        <v>808.61</v>
      </c>
      <c r="Q74" s="31">
        <f>L74</f>
        <v>0</v>
      </c>
      <c r="W74">
        <f>IF(Source!BI34&lt;=1,H73, 0)</f>
        <v>70.19</v>
      </c>
      <c r="X74">
        <f>IF(Source!BI34=2,H73, 0)</f>
        <v>0</v>
      </c>
      <c r="Y74">
        <f>IF(Source!BI34=3,H73, 0)</f>
        <v>0</v>
      </c>
      <c r="Z74">
        <f>IF(Source!BI34=4,H73, 0)</f>
        <v>0</v>
      </c>
    </row>
    <row r="75" spans="1:26" ht="57" x14ac:dyDescent="0.2">
      <c r="A75" s="53">
        <v>8</v>
      </c>
      <c r="B75" s="53" t="str">
        <f>Source!F35</f>
        <v>т03-21-01-003</v>
      </c>
      <c r="C75" s="53" t="str">
        <f>Source!G35</f>
        <v>Перевозка грузов I класса автомобилями-самосвалами грузоподъемностью 10 т работающих вне карьера на расстояние до 3 км</v>
      </c>
      <c r="D75" s="41" t="str">
        <f>Source!H35</f>
        <v>1 т груза</v>
      </c>
      <c r="E75" s="42">
        <f>Source!I35</f>
        <v>582.9</v>
      </c>
      <c r="F75" s="43">
        <f>Source!AK35</f>
        <v>4.8</v>
      </c>
      <c r="G75" s="44" t="str">
        <f>Source!DC35</f>
        <v/>
      </c>
      <c r="H75" s="43">
        <f>ROUND(Source!AB35*Source!I35, 2)</f>
        <v>2797.92</v>
      </c>
      <c r="I75" s="44" t="str">
        <f>Source!BO35</f>
        <v/>
      </c>
      <c r="J75" s="44">
        <f>Source!AZ35</f>
        <v>11.52</v>
      </c>
      <c r="K75" s="43">
        <f>Source!GM35</f>
        <v>32232.04</v>
      </c>
      <c r="L75" s="48"/>
      <c r="S75">
        <f>ROUND((Source!FX35/100)*((ROUND(0*Source!I35, 2)+ROUND(0*Source!I35, 2))), 2)</f>
        <v>0</v>
      </c>
      <c r="T75">
        <f>Source!X35</f>
        <v>0</v>
      </c>
      <c r="U75">
        <f>ROUND((Source!FY35/100)*((ROUND(0*Source!I35, 2)+ROUND(0*Source!I35, 2))), 2)</f>
        <v>0</v>
      </c>
      <c r="V75">
        <f>Source!Y35</f>
        <v>0</v>
      </c>
    </row>
    <row r="76" spans="1:26" ht="15" x14ac:dyDescent="0.25">
      <c r="G76" s="58">
        <f>H75</f>
        <v>2797.92</v>
      </c>
      <c r="H76" s="58"/>
      <c r="J76" s="58">
        <f>K75</f>
        <v>32232.04</v>
      </c>
      <c r="K76" s="58"/>
      <c r="L76" s="46">
        <f>Source!U35</f>
        <v>0</v>
      </c>
      <c r="O76" s="31">
        <f>G76</f>
        <v>2797.92</v>
      </c>
      <c r="P76" s="31">
        <f>J76</f>
        <v>32232.04</v>
      </c>
      <c r="Q76" s="31">
        <f>L76</f>
        <v>0</v>
      </c>
      <c r="W76">
        <f>IF(Source!BI35&lt;=1,H75, 0)</f>
        <v>2797.92</v>
      </c>
      <c r="X76">
        <f>IF(Source!BI35=2,H75, 0)</f>
        <v>0</v>
      </c>
      <c r="Y76">
        <f>IF(Source!BI35=3,H75, 0)</f>
        <v>0</v>
      </c>
      <c r="Z76">
        <f>IF(Source!BI35=4,H75, 0)</f>
        <v>0</v>
      </c>
    </row>
    <row r="77" spans="1:26" ht="57" x14ac:dyDescent="0.2">
      <c r="A77" s="53">
        <v>9</v>
      </c>
      <c r="B77" s="53" t="str">
        <f>Source!F36</f>
        <v>т03-21-01-006</v>
      </c>
      <c r="C77" s="53" t="str">
        <f>Source!G36</f>
        <v>Перевозка грузов I класса автомобилями-самосвалами грузоподъемностью 10 т работающих вне карьера на расстояние до 6 км</v>
      </c>
      <c r="D77" s="41" t="str">
        <f>Source!H36</f>
        <v>1 т груза</v>
      </c>
      <c r="E77" s="42">
        <f>Source!I36</f>
        <v>21.4</v>
      </c>
      <c r="F77" s="43">
        <f>Source!AK36</f>
        <v>7.64</v>
      </c>
      <c r="G77" s="44" t="str">
        <f>Source!DC36</f>
        <v/>
      </c>
      <c r="H77" s="43">
        <f>ROUND(Source!AB36*Source!I36, 2)</f>
        <v>163.5</v>
      </c>
      <c r="I77" s="44" t="str">
        <f>Source!BO36</f>
        <v/>
      </c>
      <c r="J77" s="44">
        <f>Source!AZ36</f>
        <v>11.52</v>
      </c>
      <c r="K77" s="43">
        <f>Source!GM36</f>
        <v>1883.47</v>
      </c>
      <c r="L77" s="48"/>
      <c r="S77">
        <f>ROUND((Source!FX36/100)*((ROUND(0*Source!I36, 2)+ROUND(0*Source!I36, 2))), 2)</f>
        <v>0</v>
      </c>
      <c r="T77">
        <f>Source!X36</f>
        <v>0</v>
      </c>
      <c r="U77">
        <f>ROUND((Source!FY36/100)*((ROUND(0*Source!I36, 2)+ROUND(0*Source!I36, 2))), 2)</f>
        <v>0</v>
      </c>
      <c r="V77">
        <f>Source!Y36</f>
        <v>0</v>
      </c>
    </row>
    <row r="78" spans="1:26" ht="15" x14ac:dyDescent="0.25">
      <c r="G78" s="58">
        <f>H77</f>
        <v>163.5</v>
      </c>
      <c r="H78" s="58"/>
      <c r="J78" s="58">
        <f>K77</f>
        <v>1883.47</v>
      </c>
      <c r="K78" s="58"/>
      <c r="L78" s="46">
        <f>Source!U36</f>
        <v>0</v>
      </c>
      <c r="O78" s="31">
        <f>G78</f>
        <v>163.5</v>
      </c>
      <c r="P78" s="31">
        <f>J78</f>
        <v>1883.47</v>
      </c>
      <c r="Q78" s="31">
        <f>L78</f>
        <v>0</v>
      </c>
      <c r="W78">
        <f>IF(Source!BI36&lt;=1,H77, 0)</f>
        <v>163.5</v>
      </c>
      <c r="X78">
        <f>IF(Source!BI36=2,H77, 0)</f>
        <v>0</v>
      </c>
      <c r="Y78">
        <f>IF(Source!BI36=3,H77, 0)</f>
        <v>0</v>
      </c>
      <c r="Z78">
        <f>IF(Source!BI36=4,H77, 0)</f>
        <v>0</v>
      </c>
    </row>
    <row r="79" spans="1:26" ht="28.5" x14ac:dyDescent="0.2">
      <c r="A79" s="53">
        <v>10</v>
      </c>
      <c r="B79" s="53" t="str">
        <f>Source!F37</f>
        <v>Договорная цена</v>
      </c>
      <c r="C79" s="53" t="s">
        <v>630</v>
      </c>
      <c r="D79" s="41" t="str">
        <f>Source!H37</f>
        <v>ТН</v>
      </c>
      <c r="E79" s="42">
        <f>Source!I37</f>
        <v>21.4</v>
      </c>
      <c r="F79" s="43">
        <f>Source!AL37</f>
        <v>70.75</v>
      </c>
      <c r="G79" s="44" t="str">
        <f>Source!DD37</f>
        <v/>
      </c>
      <c r="H79" s="43">
        <f>ROUND(Source!AC37*Source!I37, 2)</f>
        <v>1514.05</v>
      </c>
      <c r="I79" s="44" t="str">
        <f>Source!BO37</f>
        <v/>
      </c>
      <c r="J79" s="44">
        <f>IF(Source!BC37&lt;&gt; 0, Source!BC37, 1)</f>
        <v>8.48</v>
      </c>
      <c r="K79" s="43">
        <f>Source!P37</f>
        <v>12839.14</v>
      </c>
      <c r="L79" s="48"/>
      <c r="S79">
        <f>ROUND((Source!FX37/100)*((ROUND(Source!AF37*Source!I37, 2)+ROUND(Source!AE37*Source!I37, 2))), 2)</f>
        <v>0</v>
      </c>
      <c r="T79">
        <f>Source!X37</f>
        <v>0</v>
      </c>
      <c r="U79">
        <f>ROUND((Source!FY37/100)*((ROUND(Source!AF37*Source!I37, 2)+ROUND(Source!AE37*Source!I37, 2))), 2)</f>
        <v>0</v>
      </c>
      <c r="V79">
        <f>Source!Y37</f>
        <v>0</v>
      </c>
    </row>
    <row r="80" spans="1:26" ht="15" x14ac:dyDescent="0.25">
      <c r="G80" s="58">
        <f>H79</f>
        <v>1514.05</v>
      </c>
      <c r="H80" s="58"/>
      <c r="J80" s="58">
        <f>K79</f>
        <v>12839.14</v>
      </c>
      <c r="K80" s="58"/>
      <c r="L80" s="46">
        <f>Source!U37</f>
        <v>0</v>
      </c>
      <c r="O80" s="31">
        <f>G80</f>
        <v>1514.05</v>
      </c>
      <c r="P80" s="31">
        <f>J80</f>
        <v>12839.14</v>
      </c>
      <c r="Q80" s="31">
        <f>L80</f>
        <v>0</v>
      </c>
      <c r="W80">
        <f>IF(Source!BI37&lt;=1,H79, 0)</f>
        <v>1514.05</v>
      </c>
      <c r="X80">
        <f>IF(Source!BI37=2,H79, 0)</f>
        <v>0</v>
      </c>
      <c r="Y80">
        <f>IF(Source!BI37=3,H79, 0)</f>
        <v>0</v>
      </c>
      <c r="Z80">
        <f>IF(Source!BI37=4,H79, 0)</f>
        <v>0</v>
      </c>
    </row>
    <row r="82" spans="1:26" ht="15" x14ac:dyDescent="0.25">
      <c r="A82" s="57" t="str">
        <f>CONCATENATE("Итого по разделу: ",IF(Source!G39&lt;&gt;"Новый раздел", Source!G39, ""))</f>
        <v>Итого по разделу: Демонтажные работы</v>
      </c>
      <c r="B82" s="57"/>
      <c r="C82" s="57"/>
      <c r="D82" s="57"/>
      <c r="E82" s="57"/>
      <c r="F82" s="57"/>
      <c r="G82" s="56">
        <f>SUM(O33:O81)</f>
        <v>96520.260000000009</v>
      </c>
      <c r="H82" s="56"/>
      <c r="I82" s="34"/>
      <c r="J82" s="56">
        <f>SUM(P33:P81)</f>
        <v>1804808.49</v>
      </c>
      <c r="K82" s="56"/>
      <c r="L82" s="46">
        <f>SUM(Q33:Q81)</f>
        <v>1408.4384</v>
      </c>
    </row>
    <row r="85" spans="1:26" ht="16.5" x14ac:dyDescent="0.25">
      <c r="A85" s="60" t="str">
        <f>CONCATENATE("Раздел: ",IF(Source!G69&lt;&gt;"Новый раздел", Source!G69, ""))</f>
        <v>Раздел: Кровля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</row>
    <row r="86" spans="1:26" ht="42.75" x14ac:dyDescent="0.2">
      <c r="A86" s="52">
        <v>11</v>
      </c>
      <c r="B86" s="52" t="str">
        <f>Source!F73</f>
        <v>09-04-002-02</v>
      </c>
      <c r="C86" s="52" t="str">
        <f>Source!G73</f>
        <v>Монтаж кровельного покрытия: из профилированного листа при высоте здания до 50 м</v>
      </c>
      <c r="D86" s="36" t="str">
        <f>Source!H73</f>
        <v>100 м2</v>
      </c>
      <c r="E86" s="10">
        <f>Source!I73</f>
        <v>45.93</v>
      </c>
      <c r="F86" s="37">
        <f>Source!AL73+Source!AM73+Source!AO73</f>
        <v>1063.8400000000001</v>
      </c>
      <c r="G86" s="38"/>
      <c r="H86" s="37"/>
      <c r="I86" s="38" t="str">
        <f>Source!BO73</f>
        <v/>
      </c>
      <c r="J86" s="38"/>
      <c r="K86" s="37"/>
      <c r="L86" s="39"/>
      <c r="S86">
        <f>ROUND((Source!FX73/100)*((ROUND(Source!AF73*Source!I73, 2)+ROUND(Source!AE73*Source!I73, 2))), 2)</f>
        <v>17611.349999999999</v>
      </c>
      <c r="T86">
        <f>Source!X73</f>
        <v>516540.99</v>
      </c>
      <c r="U86">
        <f>ROUND((Source!FY73/100)*((ROUND(Source!AF73*Source!I73, 2)+ROUND(Source!AE73*Source!I73, 2))), 2)</f>
        <v>11740.9</v>
      </c>
      <c r="V86">
        <f>Source!Y73</f>
        <v>344360.66</v>
      </c>
    </row>
    <row r="87" spans="1:26" ht="14.25" x14ac:dyDescent="0.2">
      <c r="A87" s="52"/>
      <c r="B87" s="52"/>
      <c r="C87" s="52" t="s">
        <v>623</v>
      </c>
      <c r="D87" s="36"/>
      <c r="E87" s="10"/>
      <c r="F87" s="37">
        <f>Source!AO73</f>
        <v>301.52999999999997</v>
      </c>
      <c r="G87" s="38" t="str">
        <f>Source!DG73</f>
        <v>)*1,15</v>
      </c>
      <c r="H87" s="37">
        <f>ROUND(Source!AF73*Source!I73, 2)</f>
        <v>15926.69</v>
      </c>
      <c r="I87" s="38"/>
      <c r="J87" s="38">
        <f>IF(Source!BA73&lt;&gt; 0, Source!BA73, 1)</f>
        <v>29.33</v>
      </c>
      <c r="K87" s="37">
        <f>Source!S73</f>
        <v>467129.72</v>
      </c>
      <c r="L87" s="39"/>
      <c r="R87">
        <f>H87</f>
        <v>15926.69</v>
      </c>
    </row>
    <row r="88" spans="1:26" ht="14.25" x14ac:dyDescent="0.2">
      <c r="A88" s="52"/>
      <c r="B88" s="52"/>
      <c r="C88" s="52" t="s">
        <v>110</v>
      </c>
      <c r="D88" s="36"/>
      <c r="E88" s="10"/>
      <c r="F88" s="37">
        <f>Source!AM73</f>
        <v>606.70000000000005</v>
      </c>
      <c r="G88" s="38" t="str">
        <f>Source!DE73</f>
        <v>)*1,25</v>
      </c>
      <c r="H88" s="37">
        <f>ROUND(((((Source!ET73*1.25))-((Source!EU73*1.25)))+Source!AE73)*Source!I73, 2)</f>
        <v>34832.28</v>
      </c>
      <c r="I88" s="38"/>
      <c r="J88" s="38">
        <f>IF(Source!BB73&lt;&gt; 0, Source!BB73, 1)</f>
        <v>11.52</v>
      </c>
      <c r="K88" s="37">
        <f>Source!Q73</f>
        <v>401269.89</v>
      </c>
      <c r="L88" s="39"/>
    </row>
    <row r="89" spans="1:26" ht="14.25" x14ac:dyDescent="0.2">
      <c r="A89" s="52"/>
      <c r="B89" s="52"/>
      <c r="C89" s="52" t="s">
        <v>629</v>
      </c>
      <c r="D89" s="36"/>
      <c r="E89" s="10"/>
      <c r="F89" s="37">
        <f>Source!AN73</f>
        <v>52.43</v>
      </c>
      <c r="G89" s="38" t="str">
        <f>Source!DF73</f>
        <v>)*1,25</v>
      </c>
      <c r="H89" s="47">
        <f>ROUND(Source!AE73*Source!I73, 2)</f>
        <v>3010.25</v>
      </c>
      <c r="I89" s="38"/>
      <c r="J89" s="38">
        <f>IF(Source!BS73&lt;&gt; 0, Source!BS73, 1)</f>
        <v>29.33</v>
      </c>
      <c r="K89" s="47">
        <f>Source!R73</f>
        <v>88290.7</v>
      </c>
      <c r="L89" s="39"/>
      <c r="R89">
        <f>H89</f>
        <v>3010.25</v>
      </c>
    </row>
    <row r="90" spans="1:26" ht="14.25" x14ac:dyDescent="0.2">
      <c r="A90" s="52"/>
      <c r="B90" s="52"/>
      <c r="C90" s="52" t="s">
        <v>631</v>
      </c>
      <c r="D90" s="36"/>
      <c r="E90" s="10"/>
      <c r="F90" s="37">
        <f>Source!AL73</f>
        <v>155.61000000000001</v>
      </c>
      <c r="G90" s="38" t="str">
        <f>Source!DD73</f>
        <v/>
      </c>
      <c r="H90" s="37">
        <f>ROUND(Source!AC73*Source!I73, 2)</f>
        <v>7147.17</v>
      </c>
      <c r="I90" s="38"/>
      <c r="J90" s="38">
        <f>IF(Source!BC73&lt;&gt; 0, Source!BC73, 1)</f>
        <v>8.48</v>
      </c>
      <c r="K90" s="37">
        <f>Source!P73</f>
        <v>60607.98</v>
      </c>
      <c r="L90" s="39"/>
    </row>
    <row r="91" spans="1:26" ht="14.25" x14ac:dyDescent="0.2">
      <c r="A91" s="52"/>
      <c r="B91" s="52"/>
      <c r="C91" s="52" t="s">
        <v>624</v>
      </c>
      <c r="D91" s="36" t="s">
        <v>625</v>
      </c>
      <c r="E91" s="10">
        <f>Source!BZ73</f>
        <v>93</v>
      </c>
      <c r="F91" s="54"/>
      <c r="G91" s="38"/>
      <c r="H91" s="37">
        <f>SUM(S86:S93)</f>
        <v>17611.349999999999</v>
      </c>
      <c r="I91" s="40"/>
      <c r="J91" s="35">
        <f>Source!AT73</f>
        <v>93</v>
      </c>
      <c r="K91" s="37">
        <f>SUM(T86:T93)</f>
        <v>516540.99</v>
      </c>
      <c r="L91" s="39"/>
    </row>
    <row r="92" spans="1:26" ht="14.25" x14ac:dyDescent="0.2">
      <c r="A92" s="52"/>
      <c r="B92" s="52"/>
      <c r="C92" s="52" t="s">
        <v>626</v>
      </c>
      <c r="D92" s="36" t="s">
        <v>625</v>
      </c>
      <c r="E92" s="10">
        <f>Source!CA73</f>
        <v>62</v>
      </c>
      <c r="F92" s="54"/>
      <c r="G92" s="38"/>
      <c r="H92" s="37">
        <f>SUM(U86:U93)</f>
        <v>11740.9</v>
      </c>
      <c r="I92" s="40"/>
      <c r="J92" s="35">
        <f>Source!AU73</f>
        <v>62</v>
      </c>
      <c r="K92" s="37">
        <f>SUM(V86:V93)</f>
        <v>344360.66</v>
      </c>
      <c r="L92" s="39"/>
    </row>
    <row r="93" spans="1:26" ht="14.25" x14ac:dyDescent="0.2">
      <c r="A93" s="53"/>
      <c r="B93" s="53"/>
      <c r="C93" s="53" t="s">
        <v>627</v>
      </c>
      <c r="D93" s="41" t="s">
        <v>628</v>
      </c>
      <c r="E93" s="42">
        <f>Source!AQ73</f>
        <v>34.5</v>
      </c>
      <c r="F93" s="43"/>
      <c r="G93" s="44" t="str">
        <f>Source!DI73</f>
        <v>)*1,15</v>
      </c>
      <c r="H93" s="43"/>
      <c r="I93" s="44"/>
      <c r="J93" s="44"/>
      <c r="K93" s="43"/>
      <c r="L93" s="45">
        <f>Source!U73</f>
        <v>1822.2727499999999</v>
      </c>
    </row>
    <row r="94" spans="1:26" ht="15" x14ac:dyDescent="0.25">
      <c r="G94" s="58">
        <f>H87+H88+H90+H91+H92</f>
        <v>87258.389999999985</v>
      </c>
      <c r="H94" s="58"/>
      <c r="J94" s="58">
        <f>K87+K88+K90+K91+K92</f>
        <v>1789909.24</v>
      </c>
      <c r="K94" s="58"/>
      <c r="L94" s="46">
        <f>Source!U73</f>
        <v>1822.2727499999999</v>
      </c>
      <c r="O94" s="31">
        <f>G94</f>
        <v>87258.389999999985</v>
      </c>
      <c r="P94" s="31">
        <f>J94</f>
        <v>1789909.24</v>
      </c>
      <c r="Q94" s="31">
        <f>L94</f>
        <v>1822.2727499999999</v>
      </c>
      <c r="W94">
        <f>IF(Source!BI73&lt;=1,H87+H88+H90+H91+H92, 0)</f>
        <v>87258.389999999985</v>
      </c>
      <c r="X94">
        <f>IF(Source!BI73=2,H87+H88+H90+H91+H92, 0)</f>
        <v>0</v>
      </c>
      <c r="Y94">
        <f>IF(Source!BI73=3,H87+H88+H90+H91+H92, 0)</f>
        <v>0</v>
      </c>
      <c r="Z94">
        <f>IF(Source!BI73=4,H87+H88+H90+H91+H92, 0)</f>
        <v>0</v>
      </c>
    </row>
    <row r="95" spans="1:26" ht="54" x14ac:dyDescent="0.2">
      <c r="A95" s="53">
        <v>12</v>
      </c>
      <c r="B95" s="53" t="str">
        <f>Source!F74</f>
        <v>Цена поставщика</v>
      </c>
      <c r="C95" s="53" t="s">
        <v>632</v>
      </c>
      <c r="D95" s="41" t="str">
        <f>Source!H74</f>
        <v>м2</v>
      </c>
      <c r="E95" s="42">
        <f>Source!I74</f>
        <v>5052</v>
      </c>
      <c r="F95" s="43">
        <f>Source!AL74</f>
        <v>118.29999999999998</v>
      </c>
      <c r="G95" s="44" t="str">
        <f>Source!DD74</f>
        <v/>
      </c>
      <c r="H95" s="43">
        <f>ROUND(Source!AC74*Source!I74, 2)</f>
        <v>597651.6</v>
      </c>
      <c r="I95" s="44" t="str">
        <f>Source!BO74</f>
        <v/>
      </c>
      <c r="J95" s="44">
        <f>IF(Source!BC74&lt;&gt; 0, Source!BC74, 1)</f>
        <v>8.48</v>
      </c>
      <c r="K95" s="43">
        <f>Source!P74</f>
        <v>5068085.57</v>
      </c>
      <c r="L95" s="48"/>
      <c r="S95">
        <f>ROUND((Source!FX74/100)*((ROUND(Source!AF74*Source!I74, 2)+ROUND(Source!AE74*Source!I74, 2))), 2)</f>
        <v>0</v>
      </c>
      <c r="T95">
        <f>Source!X74</f>
        <v>0</v>
      </c>
      <c r="U95">
        <f>ROUND((Source!FY74/100)*((ROUND(Source!AF74*Source!I74, 2)+ROUND(Source!AE74*Source!I74, 2))), 2)</f>
        <v>0</v>
      </c>
      <c r="V95">
        <f>Source!Y74</f>
        <v>0</v>
      </c>
    </row>
    <row r="96" spans="1:26" ht="15" x14ac:dyDescent="0.25">
      <c r="G96" s="58">
        <f>H95</f>
        <v>597651.6</v>
      </c>
      <c r="H96" s="58"/>
      <c r="J96" s="58">
        <f>K95</f>
        <v>5068085.57</v>
      </c>
      <c r="K96" s="58"/>
      <c r="L96" s="46">
        <f>Source!U74</f>
        <v>0</v>
      </c>
      <c r="O96" s="31">
        <f>G96</f>
        <v>597651.6</v>
      </c>
      <c r="P96" s="31">
        <f>J96</f>
        <v>5068085.57</v>
      </c>
      <c r="Q96" s="31">
        <f>L96</f>
        <v>0</v>
      </c>
      <c r="W96">
        <f>IF(Source!BI74&lt;=1,H95, 0)</f>
        <v>597651.6</v>
      </c>
      <c r="X96">
        <f>IF(Source!BI74=2,H95, 0)</f>
        <v>0</v>
      </c>
      <c r="Y96">
        <f>IF(Source!BI74=3,H95, 0)</f>
        <v>0</v>
      </c>
      <c r="Z96">
        <f>IF(Source!BI74=4,H95, 0)</f>
        <v>0</v>
      </c>
    </row>
    <row r="97" spans="1:26" ht="42.75" x14ac:dyDescent="0.2">
      <c r="A97" s="52">
        <v>13</v>
      </c>
      <c r="B97" s="52" t="str">
        <f>Source!F75</f>
        <v>Цена поставщика</v>
      </c>
      <c r="C97" s="52" t="s">
        <v>633</v>
      </c>
      <c r="D97" s="36" t="str">
        <f>Source!H75</f>
        <v>ШТ</v>
      </c>
      <c r="E97" s="10">
        <f>Source!I75</f>
        <v>32151</v>
      </c>
      <c r="F97" s="37">
        <f>Source!AL75</f>
        <v>0.22</v>
      </c>
      <c r="G97" s="38" t="str">
        <f>Source!DD75</f>
        <v/>
      </c>
      <c r="H97" s="37">
        <f>ROUND(Source!AC75*Source!I75, 2)</f>
        <v>7073.22</v>
      </c>
      <c r="I97" s="38" t="str">
        <f>Source!BO75</f>
        <v/>
      </c>
      <c r="J97" s="38">
        <f>IF(Source!BC75&lt;&gt; 0, Source!BC75, 1)</f>
        <v>8.48</v>
      </c>
      <c r="K97" s="37">
        <f>Source!P75</f>
        <v>59980.91</v>
      </c>
      <c r="L97" s="39"/>
      <c r="S97">
        <f>ROUND((Source!FX75/100)*((ROUND(Source!AF75*Source!I75, 2)+ROUND(Source!AE75*Source!I75, 2))), 2)</f>
        <v>0</v>
      </c>
      <c r="T97">
        <f>Source!X75</f>
        <v>0</v>
      </c>
      <c r="U97">
        <f>ROUND((Source!FY75/100)*((ROUND(Source!AF75*Source!I75, 2)+ROUND(Source!AE75*Source!I75, 2))), 2)</f>
        <v>0</v>
      </c>
      <c r="V97">
        <f>Source!Y75</f>
        <v>0</v>
      </c>
    </row>
    <row r="98" spans="1:26" x14ac:dyDescent="0.2">
      <c r="A98" s="32"/>
      <c r="B98" s="32"/>
      <c r="C98" s="33" t="str">
        <f>"Объем: "&amp;Source!I75&amp;"=4593*"&amp;"7"</f>
        <v>Объем: 32151=4593*7</v>
      </c>
      <c r="D98" s="32"/>
      <c r="E98" s="32"/>
      <c r="F98" s="32"/>
      <c r="G98" s="32"/>
      <c r="H98" s="32"/>
      <c r="I98" s="32"/>
      <c r="J98" s="32"/>
      <c r="K98" s="32"/>
      <c r="L98" s="32"/>
    </row>
    <row r="99" spans="1:26" ht="15" x14ac:dyDescent="0.25">
      <c r="G99" s="58">
        <f>H97</f>
        <v>7073.22</v>
      </c>
      <c r="H99" s="58"/>
      <c r="J99" s="58">
        <f>K97</f>
        <v>59980.91</v>
      </c>
      <c r="K99" s="58"/>
      <c r="L99" s="46">
        <f>Source!U75</f>
        <v>0</v>
      </c>
      <c r="O99" s="31">
        <f>G99</f>
        <v>7073.22</v>
      </c>
      <c r="P99" s="31">
        <f>J99</f>
        <v>59980.91</v>
      </c>
      <c r="Q99" s="31">
        <f>L99</f>
        <v>0</v>
      </c>
      <c r="W99">
        <f>IF(Source!BI75&lt;=1,H97, 0)</f>
        <v>7073.22</v>
      </c>
      <c r="X99">
        <f>IF(Source!BI75=2,H97, 0)</f>
        <v>0</v>
      </c>
      <c r="Y99">
        <f>IF(Source!BI75=3,H97, 0)</f>
        <v>0</v>
      </c>
      <c r="Z99">
        <f>IF(Source!BI75=4,H97, 0)</f>
        <v>0</v>
      </c>
    </row>
    <row r="100" spans="1:26" ht="54" x14ac:dyDescent="0.2">
      <c r="A100" s="52">
        <v>14</v>
      </c>
      <c r="B100" s="52" t="str">
        <f>Source!F76</f>
        <v>Цена поставщика</v>
      </c>
      <c r="C100" s="52" t="s">
        <v>634</v>
      </c>
      <c r="D100" s="36" t="str">
        <f>Source!H76</f>
        <v>ШТ</v>
      </c>
      <c r="E100" s="10">
        <f>Source!I76</f>
        <v>3374</v>
      </c>
      <c r="F100" s="37">
        <f>Source!AL76</f>
        <v>2.5299999999999998</v>
      </c>
      <c r="G100" s="38" t="str">
        <f>Source!DD76</f>
        <v/>
      </c>
      <c r="H100" s="37">
        <f>ROUND(Source!AC76*Source!I76, 2)</f>
        <v>8536.2199999999993</v>
      </c>
      <c r="I100" s="38" t="str">
        <f>Source!BO76</f>
        <v/>
      </c>
      <c r="J100" s="38">
        <f>IF(Source!BC76&lt;&gt; 0, Source!BC76, 1)</f>
        <v>8.48</v>
      </c>
      <c r="K100" s="37">
        <f>Source!P76</f>
        <v>72387.149999999994</v>
      </c>
      <c r="L100" s="39"/>
      <c r="S100">
        <f>ROUND((Source!FX76/100)*((ROUND(Source!AF76*Source!I76, 2)+ROUND(Source!AE76*Source!I76, 2))), 2)</f>
        <v>0</v>
      </c>
      <c r="T100">
        <f>Source!X76</f>
        <v>0</v>
      </c>
      <c r="U100">
        <f>ROUND((Source!FY76/100)*((ROUND(Source!AF76*Source!I76, 2)+ROUND(Source!AE76*Source!I76, 2))), 2)</f>
        <v>0</v>
      </c>
      <c r="V100">
        <f>Source!Y76</f>
        <v>0</v>
      </c>
    </row>
    <row r="101" spans="1:26" x14ac:dyDescent="0.2">
      <c r="A101" s="32"/>
      <c r="B101" s="32"/>
      <c r="C101" s="33" t="str">
        <f>"Объем: "&amp;Source!I76&amp;"=614+"&amp;"2760"</f>
        <v>Объем: 3374=614+2760</v>
      </c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26" ht="15" x14ac:dyDescent="0.25">
      <c r="G102" s="58">
        <f>H100</f>
        <v>8536.2199999999993</v>
      </c>
      <c r="H102" s="58"/>
      <c r="J102" s="58">
        <f>K100</f>
        <v>72387.149999999994</v>
      </c>
      <c r="K102" s="58"/>
      <c r="L102" s="46">
        <f>Source!U76</f>
        <v>0</v>
      </c>
      <c r="O102" s="31">
        <f>G102</f>
        <v>8536.2199999999993</v>
      </c>
      <c r="P102" s="31">
        <f>J102</f>
        <v>72387.149999999994</v>
      </c>
      <c r="Q102" s="31">
        <f>L102</f>
        <v>0</v>
      </c>
      <c r="W102">
        <f>IF(Source!BI76&lt;=1,H100, 0)</f>
        <v>8536.2199999999993</v>
      </c>
      <c r="X102">
        <f>IF(Source!BI76=2,H100, 0)</f>
        <v>0</v>
      </c>
      <c r="Y102">
        <f>IF(Source!BI76=3,H100, 0)</f>
        <v>0</v>
      </c>
      <c r="Z102">
        <f>IF(Source!BI76=4,H100, 0)</f>
        <v>0</v>
      </c>
    </row>
    <row r="103" spans="1:26" ht="28.5" x14ac:dyDescent="0.2">
      <c r="A103" s="52">
        <v>15</v>
      </c>
      <c r="B103" s="52" t="str">
        <f>Source!F77</f>
        <v>12-01-036-01</v>
      </c>
      <c r="C103" s="52" t="str">
        <f>Source!G77</f>
        <v>Установка водосточной системы из ПВХ: желобов (прим.)</v>
      </c>
      <c r="D103" s="36" t="str">
        <f>Source!H77</f>
        <v>100 м</v>
      </c>
      <c r="E103" s="10">
        <f>Source!I77</f>
        <v>1.81</v>
      </c>
      <c r="F103" s="37">
        <f>Source!AL77+Source!AM77+Source!AO77</f>
        <v>24343.000000000004</v>
      </c>
      <c r="G103" s="38"/>
      <c r="H103" s="37"/>
      <c r="I103" s="38" t="str">
        <f>Source!BO77</f>
        <v/>
      </c>
      <c r="J103" s="38"/>
      <c r="K103" s="37"/>
      <c r="L103" s="39"/>
      <c r="S103">
        <f>ROUND((Source!FX77/100)*((ROUND(Source!AF77*Source!I77, 2)+ROUND(Source!AE77*Source!I77, 2))), 2)</f>
        <v>3189.81</v>
      </c>
      <c r="T103">
        <f>Source!X77</f>
        <v>93556.97</v>
      </c>
      <c r="U103">
        <f>ROUND((Source!FY77/100)*((ROUND(Source!AF77*Source!I77, 2)+ROUND(Source!AE77*Source!I77, 2))), 2)</f>
        <v>1668.07</v>
      </c>
      <c r="V103">
        <f>Source!Y77</f>
        <v>48924.29</v>
      </c>
    </row>
    <row r="104" spans="1:26" x14ac:dyDescent="0.2">
      <c r="C104" s="30" t="str">
        <f>"Объем: "&amp;Source!I77&amp;"=181/"&amp;"100"</f>
        <v>Объем: 1,81=181/100</v>
      </c>
    </row>
    <row r="105" spans="1:26" ht="42.75" x14ac:dyDescent="0.2">
      <c r="A105" s="52"/>
      <c r="B105" s="52"/>
      <c r="C105" s="52" t="s">
        <v>623</v>
      </c>
      <c r="D105" s="36"/>
      <c r="E105" s="10"/>
      <c r="F105" s="37">
        <f>Source!AO77</f>
        <v>1305.54</v>
      </c>
      <c r="G105" s="38" t="str">
        <f>Source!DG77</f>
        <v>)*(1+0,005*(30-15)))*1,15</v>
      </c>
      <c r="H105" s="37">
        <f>ROUND(Source!AF77*Source!I77, 2)</f>
        <v>2921.29</v>
      </c>
      <c r="I105" s="38"/>
      <c r="J105" s="38">
        <f>IF(Source!BA77&lt;&gt; 0, Source!BA77, 1)</f>
        <v>29.33</v>
      </c>
      <c r="K105" s="37">
        <f>Source!S77</f>
        <v>85681.31</v>
      </c>
      <c r="L105" s="39"/>
      <c r="R105">
        <f>H105</f>
        <v>2921.29</v>
      </c>
    </row>
    <row r="106" spans="1:26" ht="14.25" x14ac:dyDescent="0.2">
      <c r="A106" s="52"/>
      <c r="B106" s="52"/>
      <c r="C106" s="52" t="s">
        <v>110</v>
      </c>
      <c r="D106" s="36"/>
      <c r="E106" s="10"/>
      <c r="F106" s="37">
        <f>Source!AM77</f>
        <v>14.49</v>
      </c>
      <c r="G106" s="38" t="str">
        <f>Source!DE77</f>
        <v>)*1,25</v>
      </c>
      <c r="H106" s="37">
        <f>ROUND(((((Source!ET77*1.25))-((Source!EU77*1.25)))+Source!AE77)*Source!I77, 2)</f>
        <v>32.79</v>
      </c>
      <c r="I106" s="38"/>
      <c r="J106" s="38">
        <f>IF(Source!BB77&lt;&gt; 0, Source!BB77, 1)</f>
        <v>11.52</v>
      </c>
      <c r="K106" s="37">
        <f>Source!Q77</f>
        <v>377.8</v>
      </c>
      <c r="L106" s="39"/>
    </row>
    <row r="107" spans="1:26" ht="14.25" x14ac:dyDescent="0.2">
      <c r="A107" s="52"/>
      <c r="B107" s="52"/>
      <c r="C107" s="52" t="s">
        <v>629</v>
      </c>
      <c r="D107" s="36"/>
      <c r="E107" s="10"/>
      <c r="F107" s="37">
        <f>Source!AN77</f>
        <v>2.27</v>
      </c>
      <c r="G107" s="38" t="str">
        <f>Source!DF77</f>
        <v>)*1,25</v>
      </c>
      <c r="H107" s="47">
        <f>ROUND(Source!AE77*Source!I77, 2)</f>
        <v>5.14</v>
      </c>
      <c r="I107" s="38"/>
      <c r="J107" s="38">
        <f>IF(Source!BS77&lt;&gt; 0, Source!BS77, 1)</f>
        <v>29.33</v>
      </c>
      <c r="K107" s="47">
        <f>Source!R77</f>
        <v>150.77000000000001</v>
      </c>
      <c r="L107" s="39"/>
      <c r="R107">
        <f>H107</f>
        <v>5.14</v>
      </c>
    </row>
    <row r="108" spans="1:26" ht="14.25" x14ac:dyDescent="0.2">
      <c r="A108" s="52"/>
      <c r="B108" s="52"/>
      <c r="C108" s="52" t="s">
        <v>631</v>
      </c>
      <c r="D108" s="36"/>
      <c r="E108" s="10"/>
      <c r="F108" s="37">
        <f>Source!AL77</f>
        <v>23022.97</v>
      </c>
      <c r="G108" s="38" t="str">
        <f>Source!DD77</f>
        <v/>
      </c>
      <c r="H108" s="37">
        <f>ROUND(Source!AC77*Source!I77, 2)</f>
        <v>41671.58</v>
      </c>
      <c r="I108" s="38"/>
      <c r="J108" s="38">
        <f>IF(Source!BC77&lt;&gt; 0, Source!BC77, 1)</f>
        <v>8.48</v>
      </c>
      <c r="K108" s="37">
        <f>Source!P77</f>
        <v>353374.96</v>
      </c>
      <c r="L108" s="39"/>
    </row>
    <row r="109" spans="1:26" ht="14.25" x14ac:dyDescent="0.2">
      <c r="A109" s="52"/>
      <c r="B109" s="52"/>
      <c r="C109" s="52" t="s">
        <v>624</v>
      </c>
      <c r="D109" s="36" t="s">
        <v>625</v>
      </c>
      <c r="E109" s="10">
        <f>Source!BZ77</f>
        <v>109</v>
      </c>
      <c r="F109" s="54"/>
      <c r="G109" s="38"/>
      <c r="H109" s="37">
        <f>SUM(S103:S114)</f>
        <v>3189.81</v>
      </c>
      <c r="I109" s="40"/>
      <c r="J109" s="35">
        <f>Source!AT77</f>
        <v>109</v>
      </c>
      <c r="K109" s="37">
        <f>SUM(T103:T114)</f>
        <v>93556.97</v>
      </c>
      <c r="L109" s="39"/>
    </row>
    <row r="110" spans="1:26" ht="14.25" x14ac:dyDescent="0.2">
      <c r="A110" s="52"/>
      <c r="B110" s="52"/>
      <c r="C110" s="52" t="s">
        <v>626</v>
      </c>
      <c r="D110" s="36" t="s">
        <v>625</v>
      </c>
      <c r="E110" s="10">
        <f>Source!CA77</f>
        <v>57</v>
      </c>
      <c r="F110" s="54"/>
      <c r="G110" s="38"/>
      <c r="H110" s="37">
        <f>SUM(U103:U114)</f>
        <v>1668.07</v>
      </c>
      <c r="I110" s="40"/>
      <c r="J110" s="35">
        <f>Source!AU77</f>
        <v>57</v>
      </c>
      <c r="K110" s="37">
        <f>SUM(V103:V114)</f>
        <v>48924.29</v>
      </c>
      <c r="L110" s="39"/>
    </row>
    <row r="111" spans="1:26" ht="42.75" x14ac:dyDescent="0.2">
      <c r="A111" s="52"/>
      <c r="B111" s="52"/>
      <c r="C111" s="52" t="s">
        <v>627</v>
      </c>
      <c r="D111" s="36" t="s">
        <v>628</v>
      </c>
      <c r="E111" s="10">
        <f>Source!AQ77</f>
        <v>143.94</v>
      </c>
      <c r="F111" s="37"/>
      <c r="G111" s="38" t="str">
        <f>Source!DI77</f>
        <v>)*(1+0,005*(30-15)))*1,15</v>
      </c>
      <c r="H111" s="37"/>
      <c r="I111" s="38"/>
      <c r="J111" s="38"/>
      <c r="K111" s="37"/>
      <c r="L111" s="49">
        <f>Source!U77</f>
        <v>322.08194324999999</v>
      </c>
    </row>
    <row r="112" spans="1:26" ht="28.5" x14ac:dyDescent="0.2">
      <c r="A112" s="52">
        <v>15.1</v>
      </c>
      <c r="B112" s="52" t="str">
        <f>Source!F78</f>
        <v>12.1.01.04-0004</v>
      </c>
      <c r="C112" s="52" t="str">
        <f>Source!G78</f>
        <v>Желоб из ПВХ для водосточных систем, диаметр 150 мм</v>
      </c>
      <c r="D112" s="36" t="str">
        <f>Source!H78</f>
        <v>м</v>
      </c>
      <c r="E112" s="10">
        <f>Source!I78</f>
        <v>-161.09</v>
      </c>
      <c r="F112" s="37">
        <f>Source!AL78+Source!AM78+Source!AO78</f>
        <v>16.04</v>
      </c>
      <c r="G112" s="50" t="s">
        <v>3</v>
      </c>
      <c r="H112" s="37">
        <f>ROUND(Source!AC78*Source!I78, 2)+ROUND((((Source!ET78)-(Source!EU78))+Source!AE78)*Source!I78, 2)+ROUND(Source!AF78*Source!I78, 2)</f>
        <v>-2583.88</v>
      </c>
      <c r="I112" s="38"/>
      <c r="J112" s="38">
        <f>IF(Source!BC78&lt;&gt; 0, Source!BC78, 1)</f>
        <v>8.48</v>
      </c>
      <c r="K112" s="37">
        <f>Source!O78</f>
        <v>-21911.33</v>
      </c>
      <c r="L112" s="39"/>
      <c r="S112">
        <f>ROUND((Source!FX78/100)*((ROUND(Source!AF78*Source!I78, 2)+ROUND(Source!AE78*Source!I78, 2))), 2)</f>
        <v>0</v>
      </c>
      <c r="T112">
        <f>Source!X78</f>
        <v>0</v>
      </c>
      <c r="U112">
        <f>ROUND((Source!FY78/100)*((ROUND(Source!AF78*Source!I78, 2)+ROUND(Source!AE78*Source!I78, 2))), 2)</f>
        <v>0</v>
      </c>
      <c r="V112">
        <f>Source!Y78</f>
        <v>0</v>
      </c>
      <c r="W112">
        <f>IF(Source!BI78&lt;=1,H112, 0)</f>
        <v>-2583.88</v>
      </c>
      <c r="X112">
        <f>IF(Source!BI78=2,H112, 0)</f>
        <v>0</v>
      </c>
      <c r="Y112">
        <f>IF(Source!BI78=3,H112, 0)</f>
        <v>0</v>
      </c>
      <c r="Z112">
        <f>IF(Source!BI78=4,H112, 0)</f>
        <v>0</v>
      </c>
    </row>
    <row r="113" spans="1:26" ht="42.75" x14ac:dyDescent="0.2">
      <c r="A113" s="52">
        <v>15.2</v>
      </c>
      <c r="B113" s="52" t="str">
        <f>Source!F79</f>
        <v>12.1.01.04-0011</v>
      </c>
      <c r="C113" s="52" t="str">
        <f>Source!G79</f>
        <v>Воронка водоприемная из ПВХ для водосточных систем, диаметр желоба 150, диаметр трубы 100 мм</v>
      </c>
      <c r="D113" s="36" t="str">
        <f>Source!H79</f>
        <v>ШТ</v>
      </c>
      <c r="E113" s="10">
        <f>Source!I79</f>
        <v>-23.53</v>
      </c>
      <c r="F113" s="37">
        <f>Source!AL79+Source!AM79+Source!AO79</f>
        <v>31.64</v>
      </c>
      <c r="G113" s="50" t="s">
        <v>3</v>
      </c>
      <c r="H113" s="37">
        <f>ROUND(Source!AC79*Source!I79, 2)+ROUND((((Source!ET79)-(Source!EU79))+Source!AE79)*Source!I79, 2)+ROUND(Source!AF79*Source!I79, 2)</f>
        <v>-744.49</v>
      </c>
      <c r="I113" s="38"/>
      <c r="J113" s="38">
        <f>IF(Source!BC79&lt;&gt; 0, Source!BC79, 1)</f>
        <v>8.48</v>
      </c>
      <c r="K113" s="37">
        <f>Source!O79</f>
        <v>-6313.27</v>
      </c>
      <c r="L113" s="39"/>
      <c r="S113">
        <f>ROUND((Source!FX79/100)*((ROUND(Source!AF79*Source!I79, 2)+ROUND(Source!AE79*Source!I79, 2))), 2)</f>
        <v>0</v>
      </c>
      <c r="T113">
        <f>Source!X79</f>
        <v>0</v>
      </c>
      <c r="U113">
        <f>ROUND((Source!FY79/100)*((ROUND(Source!AF79*Source!I79, 2)+ROUND(Source!AE79*Source!I79, 2))), 2)</f>
        <v>0</v>
      </c>
      <c r="V113">
        <f>Source!Y79</f>
        <v>0</v>
      </c>
      <c r="W113">
        <f>IF(Source!BI79&lt;=1,H113, 0)</f>
        <v>-744.49</v>
      </c>
      <c r="X113">
        <f>IF(Source!BI79=2,H113, 0)</f>
        <v>0</v>
      </c>
      <c r="Y113">
        <f>IF(Source!BI79=3,H113, 0)</f>
        <v>0</v>
      </c>
      <c r="Z113">
        <f>IF(Source!BI79=4,H113, 0)</f>
        <v>0</v>
      </c>
    </row>
    <row r="114" spans="1:26" ht="42.75" x14ac:dyDescent="0.2">
      <c r="A114" s="53">
        <v>15.3</v>
      </c>
      <c r="B114" s="53" t="str">
        <f>Source!F80</f>
        <v>12.1.01.05-0017</v>
      </c>
      <c r="C114" s="53" t="str">
        <f>Source!G80</f>
        <v>Кронштейн желоба металлический для водосточных систем, окрашенный, диаметр 150 мм, длина 310 мм</v>
      </c>
      <c r="D114" s="41" t="str">
        <f>Source!H80</f>
        <v>ШТ</v>
      </c>
      <c r="E114" s="42">
        <f>Source!I80</f>
        <v>-295.02999999999997</v>
      </c>
      <c r="F114" s="43">
        <f>Source!AL80+Source!AM80+Source!AO80</f>
        <v>128.85</v>
      </c>
      <c r="G114" s="51" t="s">
        <v>3</v>
      </c>
      <c r="H114" s="43">
        <f>ROUND(Source!AC80*Source!I80, 2)+ROUND((((Source!ET80)-(Source!EU80))+Source!AE80)*Source!I80, 2)+ROUND(Source!AF80*Source!I80, 2)</f>
        <v>-38014.620000000003</v>
      </c>
      <c r="I114" s="44"/>
      <c r="J114" s="44">
        <f>IF(Source!BC80&lt;&gt; 0, Source!BC80, 1)</f>
        <v>8.48</v>
      </c>
      <c r="K114" s="43">
        <f>Source!O80</f>
        <v>-322363.94</v>
      </c>
      <c r="L114" s="48"/>
      <c r="S114">
        <f>ROUND((Source!FX80/100)*((ROUND(Source!AF80*Source!I80, 2)+ROUND(Source!AE80*Source!I80, 2))), 2)</f>
        <v>0</v>
      </c>
      <c r="T114">
        <f>Source!X80</f>
        <v>0</v>
      </c>
      <c r="U114">
        <f>ROUND((Source!FY80/100)*((ROUND(Source!AF80*Source!I80, 2)+ROUND(Source!AE80*Source!I80, 2))), 2)</f>
        <v>0</v>
      </c>
      <c r="V114">
        <f>Source!Y80</f>
        <v>0</v>
      </c>
      <c r="W114">
        <f>IF(Source!BI80&lt;=1,H114, 0)</f>
        <v>-38014.620000000003</v>
      </c>
      <c r="X114">
        <f>IF(Source!BI80=2,H114, 0)</f>
        <v>0</v>
      </c>
      <c r="Y114">
        <f>IF(Source!BI80=3,H114, 0)</f>
        <v>0</v>
      </c>
      <c r="Z114">
        <f>IF(Source!BI80=4,H114, 0)</f>
        <v>0</v>
      </c>
    </row>
    <row r="115" spans="1:26" ht="15" x14ac:dyDescent="0.25">
      <c r="G115" s="58">
        <f>H105+H106+H108+H109+H110+SUM(H112:H114)</f>
        <v>8140.5499999999956</v>
      </c>
      <c r="H115" s="58"/>
      <c r="J115" s="58">
        <f>K105+K106+K108+K109+K110+SUM(K112:K114)</f>
        <v>231326.7900000001</v>
      </c>
      <c r="K115" s="58"/>
      <c r="L115" s="46">
        <f>Source!U77</f>
        <v>322.08194324999999</v>
      </c>
      <c r="O115" s="31">
        <f>G115</f>
        <v>8140.5499999999956</v>
      </c>
      <c r="P115" s="31">
        <f>J115</f>
        <v>231326.7900000001</v>
      </c>
      <c r="Q115" s="31">
        <f>L115</f>
        <v>322.08194324999999</v>
      </c>
      <c r="W115">
        <f>IF(Source!BI77&lt;=1,H105+H106+H108+H109+H110, 0)</f>
        <v>49483.54</v>
      </c>
      <c r="X115">
        <f>IF(Source!BI77=2,H105+H106+H108+H109+H110, 0)</f>
        <v>0</v>
      </c>
      <c r="Y115">
        <f>IF(Source!BI77=3,H105+H106+H108+H109+H110, 0)</f>
        <v>0</v>
      </c>
      <c r="Z115">
        <f>IF(Source!BI77=4,H105+H106+H108+H109+H110, 0)</f>
        <v>0</v>
      </c>
    </row>
    <row r="116" spans="1:26" ht="42.75" x14ac:dyDescent="0.2">
      <c r="A116" s="52">
        <v>16</v>
      </c>
      <c r="B116" s="52" t="str">
        <f>Source!F81</f>
        <v>Цена поставщика</v>
      </c>
      <c r="C116" s="52" t="s">
        <v>635</v>
      </c>
      <c r="D116" s="36" t="str">
        <f>Source!H81</f>
        <v>ШТ</v>
      </c>
      <c r="E116" s="10">
        <f>Source!I81</f>
        <v>60</v>
      </c>
      <c r="F116" s="37">
        <f>Source!AL81</f>
        <v>141.03000000000003</v>
      </c>
      <c r="G116" s="38" t="str">
        <f>Source!DD81</f>
        <v/>
      </c>
      <c r="H116" s="37">
        <f>ROUND(Source!AC81*Source!I81, 2)</f>
        <v>8461.7999999999993</v>
      </c>
      <c r="I116" s="38" t="str">
        <f>Source!BO81</f>
        <v/>
      </c>
      <c r="J116" s="38">
        <f>IF(Source!BC81&lt;&gt; 0, Source!BC81, 1)</f>
        <v>8.48</v>
      </c>
      <c r="K116" s="37">
        <f>Source!P81</f>
        <v>71756.06</v>
      </c>
      <c r="L116" s="39"/>
      <c r="S116">
        <f>ROUND((Source!FX81/100)*((ROUND(Source!AF81*Source!I81, 2)+ROUND(Source!AE81*Source!I81, 2))), 2)</f>
        <v>0</v>
      </c>
      <c r="T116">
        <f>Source!X81</f>
        <v>0</v>
      </c>
      <c r="U116">
        <f>ROUND((Source!FY81/100)*((ROUND(Source!AF81*Source!I81, 2)+ROUND(Source!AE81*Source!I81, 2))), 2)</f>
        <v>0</v>
      </c>
      <c r="V116">
        <f>Source!Y81</f>
        <v>0</v>
      </c>
    </row>
    <row r="117" spans="1:26" x14ac:dyDescent="0.2">
      <c r="A117" s="32"/>
      <c r="B117" s="32"/>
      <c r="C117" s="33" t="str">
        <f>"Объем: "&amp;Source!I81&amp;"=181/"&amp;"3"</f>
        <v>Объем: 60=181/3</v>
      </c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26" ht="15" x14ac:dyDescent="0.25">
      <c r="G118" s="58">
        <f>H116</f>
        <v>8461.7999999999993</v>
      </c>
      <c r="H118" s="58"/>
      <c r="J118" s="58">
        <f>K116</f>
        <v>71756.06</v>
      </c>
      <c r="K118" s="58"/>
      <c r="L118" s="46">
        <f>Source!U81</f>
        <v>0</v>
      </c>
      <c r="O118" s="31">
        <f>G118</f>
        <v>8461.7999999999993</v>
      </c>
      <c r="P118" s="31">
        <f>J118</f>
        <v>71756.06</v>
      </c>
      <c r="Q118" s="31">
        <f>L118</f>
        <v>0</v>
      </c>
      <c r="W118">
        <f>IF(Source!BI81&lt;=1,H116, 0)</f>
        <v>8461.7999999999993</v>
      </c>
      <c r="X118">
        <f>IF(Source!BI81=2,H116, 0)</f>
        <v>0</v>
      </c>
      <c r="Y118">
        <f>IF(Source!BI81=3,H116, 0)</f>
        <v>0</v>
      </c>
      <c r="Z118">
        <f>IF(Source!BI81=4,H116, 0)</f>
        <v>0</v>
      </c>
    </row>
    <row r="119" spans="1:26" ht="54" x14ac:dyDescent="0.2">
      <c r="A119" s="53">
        <v>17</v>
      </c>
      <c r="B119" s="53" t="str">
        <f>Source!F82</f>
        <v>Цена поставщика</v>
      </c>
      <c r="C119" s="53" t="s">
        <v>636</v>
      </c>
      <c r="D119" s="41" t="str">
        <f>Source!H82</f>
        <v>ШТ</v>
      </c>
      <c r="E119" s="42">
        <f>Source!I82</f>
        <v>360</v>
      </c>
      <c r="F119" s="43">
        <f>Source!AL82</f>
        <v>35.78</v>
      </c>
      <c r="G119" s="44" t="str">
        <f>Source!DD82</f>
        <v/>
      </c>
      <c r="H119" s="43">
        <f>ROUND(Source!AC82*Source!I82, 2)</f>
        <v>12880.8</v>
      </c>
      <c r="I119" s="44" t="str">
        <f>Source!BO82</f>
        <v/>
      </c>
      <c r="J119" s="44">
        <f>IF(Source!BC82&lt;&gt; 0, Source!BC82, 1)</f>
        <v>8.48</v>
      </c>
      <c r="K119" s="43">
        <f>Source!P82</f>
        <v>109229.18</v>
      </c>
      <c r="L119" s="48"/>
      <c r="S119">
        <f>ROUND((Source!FX82/100)*((ROUND(Source!AF82*Source!I82, 2)+ROUND(Source!AE82*Source!I82, 2))), 2)</f>
        <v>0</v>
      </c>
      <c r="T119">
        <f>Source!X82</f>
        <v>0</v>
      </c>
      <c r="U119">
        <f>ROUND((Source!FY82/100)*((ROUND(Source!AF82*Source!I82, 2)+ROUND(Source!AE82*Source!I82, 2))), 2)</f>
        <v>0</v>
      </c>
      <c r="V119">
        <f>Source!Y82</f>
        <v>0</v>
      </c>
    </row>
    <row r="120" spans="1:26" ht="15" x14ac:dyDescent="0.25">
      <c r="G120" s="58">
        <f>H119</f>
        <v>12880.8</v>
      </c>
      <c r="H120" s="58"/>
      <c r="J120" s="58">
        <f>K119</f>
        <v>109229.18</v>
      </c>
      <c r="K120" s="58"/>
      <c r="L120" s="46">
        <f>Source!U82</f>
        <v>0</v>
      </c>
      <c r="O120" s="31">
        <f>G120</f>
        <v>12880.8</v>
      </c>
      <c r="P120" s="31">
        <f>J120</f>
        <v>109229.18</v>
      </c>
      <c r="Q120" s="31">
        <f>L120</f>
        <v>0</v>
      </c>
      <c r="W120">
        <f>IF(Source!BI82&lt;=1,H119, 0)</f>
        <v>12880.8</v>
      </c>
      <c r="X120">
        <f>IF(Source!BI82=2,H119, 0)</f>
        <v>0</v>
      </c>
      <c r="Y120">
        <f>IF(Source!BI82=3,H119, 0)</f>
        <v>0</v>
      </c>
      <c r="Z120">
        <f>IF(Source!BI82=4,H119, 0)</f>
        <v>0</v>
      </c>
    </row>
    <row r="121" spans="1:26" ht="42.75" x14ac:dyDescent="0.2">
      <c r="A121" s="53">
        <v>18</v>
      </c>
      <c r="B121" s="53" t="str">
        <f>Source!F83</f>
        <v>Цена поставщика</v>
      </c>
      <c r="C121" s="53" t="s">
        <v>637</v>
      </c>
      <c r="D121" s="41" t="str">
        <f>Source!H83</f>
        <v>ШТ</v>
      </c>
      <c r="E121" s="42">
        <f>Source!I83</f>
        <v>4</v>
      </c>
      <c r="F121" s="43">
        <f>Source!AL83</f>
        <v>10.530000000000001</v>
      </c>
      <c r="G121" s="44" t="str">
        <f>Source!DD83</f>
        <v/>
      </c>
      <c r="H121" s="43">
        <f>ROUND(Source!AC83*Source!I83, 2)</f>
        <v>42.12</v>
      </c>
      <c r="I121" s="44" t="str">
        <f>Source!BO83</f>
        <v/>
      </c>
      <c r="J121" s="44">
        <f>IF(Source!BC83&lt;&gt; 0, Source!BC83, 1)</f>
        <v>8.48</v>
      </c>
      <c r="K121" s="43">
        <f>Source!P83</f>
        <v>357.18</v>
      </c>
      <c r="L121" s="48"/>
      <c r="S121">
        <f>ROUND((Source!FX83/100)*((ROUND(Source!AF83*Source!I83, 2)+ROUND(Source!AE83*Source!I83, 2))), 2)</f>
        <v>0</v>
      </c>
      <c r="T121">
        <f>Source!X83</f>
        <v>0</v>
      </c>
      <c r="U121">
        <f>ROUND((Source!FY83/100)*((ROUND(Source!AF83*Source!I83, 2)+ROUND(Source!AE83*Source!I83, 2))), 2)</f>
        <v>0</v>
      </c>
      <c r="V121">
        <f>Source!Y83</f>
        <v>0</v>
      </c>
    </row>
    <row r="122" spans="1:26" ht="15" x14ac:dyDescent="0.25">
      <c r="G122" s="58">
        <f>H121</f>
        <v>42.12</v>
      </c>
      <c r="H122" s="58"/>
      <c r="J122" s="58">
        <f>K121</f>
        <v>357.18</v>
      </c>
      <c r="K122" s="58"/>
      <c r="L122" s="46">
        <f>Source!U83</f>
        <v>0</v>
      </c>
      <c r="O122" s="31">
        <f>G122</f>
        <v>42.12</v>
      </c>
      <c r="P122" s="31">
        <f>J122</f>
        <v>357.18</v>
      </c>
      <c r="Q122" s="31">
        <f>L122</f>
        <v>0</v>
      </c>
      <c r="W122">
        <f>IF(Source!BI83&lt;=1,H121, 0)</f>
        <v>42.12</v>
      </c>
      <c r="X122">
        <f>IF(Source!BI83=2,H121, 0)</f>
        <v>0</v>
      </c>
      <c r="Y122">
        <f>IF(Source!BI83=3,H121, 0)</f>
        <v>0</v>
      </c>
      <c r="Z122">
        <f>IF(Source!BI83=4,H121, 0)</f>
        <v>0</v>
      </c>
    </row>
    <row r="123" spans="1:26" ht="42.75" x14ac:dyDescent="0.2">
      <c r="A123" s="53">
        <v>19</v>
      </c>
      <c r="B123" s="53" t="str">
        <f>Source!F84</f>
        <v>Цена поставщика</v>
      </c>
      <c r="C123" s="53" t="s">
        <v>638</v>
      </c>
      <c r="D123" s="41" t="str">
        <f>Source!H84</f>
        <v>ШТ</v>
      </c>
      <c r="E123" s="42">
        <f>Source!I84</f>
        <v>22</v>
      </c>
      <c r="F123" s="43">
        <f>Source!AL84</f>
        <v>152.07999999999998</v>
      </c>
      <c r="G123" s="44" t="str">
        <f>Source!DD84</f>
        <v/>
      </c>
      <c r="H123" s="43">
        <f>ROUND(Source!AC84*Source!I84, 2)</f>
        <v>3345.76</v>
      </c>
      <c r="I123" s="44" t="str">
        <f>Source!BO84</f>
        <v/>
      </c>
      <c r="J123" s="44">
        <f>IF(Source!BC84&lt;&gt; 0, Source!BC84, 1)</f>
        <v>8.48</v>
      </c>
      <c r="K123" s="43">
        <f>Source!P84</f>
        <v>28372.04</v>
      </c>
      <c r="L123" s="48"/>
      <c r="S123">
        <f>ROUND((Source!FX84/100)*((ROUND(Source!AF84*Source!I84, 2)+ROUND(Source!AE84*Source!I84, 2))), 2)</f>
        <v>0</v>
      </c>
      <c r="T123">
        <f>Source!X84</f>
        <v>0</v>
      </c>
      <c r="U123">
        <f>ROUND((Source!FY84/100)*((ROUND(Source!AF84*Source!I84, 2)+ROUND(Source!AE84*Source!I84, 2))), 2)</f>
        <v>0</v>
      </c>
      <c r="V123">
        <f>Source!Y84</f>
        <v>0</v>
      </c>
    </row>
    <row r="124" spans="1:26" ht="15" x14ac:dyDescent="0.25">
      <c r="G124" s="58">
        <f>H123</f>
        <v>3345.76</v>
      </c>
      <c r="H124" s="58"/>
      <c r="J124" s="58">
        <f>K123</f>
        <v>28372.04</v>
      </c>
      <c r="K124" s="58"/>
      <c r="L124" s="46">
        <f>Source!U84</f>
        <v>0</v>
      </c>
      <c r="O124" s="31">
        <f>G124</f>
        <v>3345.76</v>
      </c>
      <c r="P124" s="31">
        <f>J124</f>
        <v>28372.04</v>
      </c>
      <c r="Q124" s="31">
        <f>L124</f>
        <v>0</v>
      </c>
      <c r="W124">
        <f>IF(Source!BI84&lt;=1,H123, 0)</f>
        <v>3345.76</v>
      </c>
      <c r="X124">
        <f>IF(Source!BI84=2,H123, 0)</f>
        <v>0</v>
      </c>
      <c r="Y124">
        <f>IF(Source!BI84=3,H123, 0)</f>
        <v>0</v>
      </c>
      <c r="Z124">
        <f>IF(Source!BI84=4,H123, 0)</f>
        <v>0</v>
      </c>
    </row>
    <row r="125" spans="1:26" ht="85.5" x14ac:dyDescent="0.2">
      <c r="A125" s="52">
        <v>20</v>
      </c>
      <c r="B125" s="52" t="str">
        <f>Source!F85</f>
        <v>м38-01-006-07</v>
      </c>
      <c r="C125" s="52" t="str">
        <f>Source!G85</f>
        <v>Сборка с помощью лебедок ручных (с установкой и снятием их в процессе работы) или вручную (мелких деталей): листовые конструкции массой до 0,5 т (бачки, течки, воронки, желоба, лотки и пр.)</v>
      </c>
      <c r="D125" s="36" t="str">
        <f>Source!H85</f>
        <v>т</v>
      </c>
      <c r="E125" s="10">
        <f>Source!I85</f>
        <v>9.1499999999999998E-2</v>
      </c>
      <c r="F125" s="37">
        <f>Source!AL85+Source!AM85+Source!AO85</f>
        <v>5399.82</v>
      </c>
      <c r="G125" s="38"/>
      <c r="H125" s="37"/>
      <c r="I125" s="38" t="str">
        <f>Source!BO85</f>
        <v/>
      </c>
      <c r="J125" s="38"/>
      <c r="K125" s="37"/>
      <c r="L125" s="39"/>
      <c r="S125">
        <f>ROUND((Source!FX85/100)*((ROUND(Source!AF85*Source!I85, 2)+ROUND(Source!AE85*Source!I85, 2))), 2)</f>
        <v>153.69</v>
      </c>
      <c r="T125">
        <f>Source!X85</f>
        <v>4507.79</v>
      </c>
      <c r="U125">
        <f>ROUND((Source!FY85/100)*((ROUND(Source!AF85*Source!I85, 2)+ROUND(Source!AE85*Source!I85, 2))), 2)</f>
        <v>76.849999999999994</v>
      </c>
      <c r="V125">
        <f>Source!Y85</f>
        <v>2253.9</v>
      </c>
    </row>
    <row r="126" spans="1:26" ht="14.25" x14ac:dyDescent="0.2">
      <c r="A126" s="52"/>
      <c r="B126" s="52"/>
      <c r="C126" s="52" t="s">
        <v>623</v>
      </c>
      <c r="D126" s="36"/>
      <c r="E126" s="10"/>
      <c r="F126" s="37">
        <f>Source!AO85</f>
        <v>1823.6</v>
      </c>
      <c r="G126" s="38" t="str">
        <f>Source!DG85</f>
        <v/>
      </c>
      <c r="H126" s="37">
        <f>ROUND(Source!AF85*Source!I85, 2)</f>
        <v>166.86</v>
      </c>
      <c r="I126" s="38"/>
      <c r="J126" s="38">
        <f>IF(Source!BA85&lt;&gt; 0, Source!BA85, 1)</f>
        <v>29.33</v>
      </c>
      <c r="K126" s="37">
        <f>Source!S85</f>
        <v>4893.99</v>
      </c>
      <c r="L126" s="39"/>
      <c r="R126">
        <f>H126</f>
        <v>166.86</v>
      </c>
    </row>
    <row r="127" spans="1:26" ht="14.25" x14ac:dyDescent="0.2">
      <c r="A127" s="52"/>
      <c r="B127" s="52"/>
      <c r="C127" s="52" t="s">
        <v>110</v>
      </c>
      <c r="D127" s="36"/>
      <c r="E127" s="10"/>
      <c r="F127" s="37">
        <f>Source!AM85</f>
        <v>3066.27</v>
      </c>
      <c r="G127" s="38" t="str">
        <f>Source!DE85</f>
        <v/>
      </c>
      <c r="H127" s="37">
        <f>ROUND((((Source!ET85)-(Source!EU85))+Source!AE85)*Source!I85, 2)</f>
        <v>280.56</v>
      </c>
      <c r="I127" s="38"/>
      <c r="J127" s="38">
        <f>IF(Source!BB85&lt;&gt; 0, Source!BB85, 1)</f>
        <v>11.52</v>
      </c>
      <c r="K127" s="37">
        <f>Source!Q85</f>
        <v>3232.09</v>
      </c>
      <c r="L127" s="39"/>
    </row>
    <row r="128" spans="1:26" ht="14.25" x14ac:dyDescent="0.2">
      <c r="A128" s="52"/>
      <c r="B128" s="52"/>
      <c r="C128" s="52" t="s">
        <v>629</v>
      </c>
      <c r="D128" s="36"/>
      <c r="E128" s="10"/>
      <c r="F128" s="37">
        <f>Source!AN85</f>
        <v>42.73</v>
      </c>
      <c r="G128" s="38" t="str">
        <f>Source!DF85</f>
        <v/>
      </c>
      <c r="H128" s="47">
        <f>ROUND(Source!AE85*Source!I85, 2)</f>
        <v>3.91</v>
      </c>
      <c r="I128" s="38"/>
      <c r="J128" s="38">
        <f>IF(Source!BS85&lt;&gt; 0, Source!BS85, 1)</f>
        <v>29.33</v>
      </c>
      <c r="K128" s="47">
        <f>Source!R85</f>
        <v>114.67</v>
      </c>
      <c r="L128" s="39"/>
      <c r="R128">
        <f>H128</f>
        <v>3.91</v>
      </c>
    </row>
    <row r="129" spans="1:26" ht="14.25" x14ac:dyDescent="0.2">
      <c r="A129" s="52"/>
      <c r="B129" s="52"/>
      <c r="C129" s="52" t="s">
        <v>631</v>
      </c>
      <c r="D129" s="36"/>
      <c r="E129" s="10"/>
      <c r="F129" s="37">
        <f>Source!AL85</f>
        <v>509.95</v>
      </c>
      <c r="G129" s="38" t="str">
        <f>Source!DD85</f>
        <v/>
      </c>
      <c r="H129" s="37">
        <f>ROUND(Source!AC85*Source!I85, 2)</f>
        <v>46.66</v>
      </c>
      <c r="I129" s="38"/>
      <c r="J129" s="38">
        <f>IF(Source!BC85&lt;&gt; 0, Source!BC85, 1)</f>
        <v>8.48</v>
      </c>
      <c r="K129" s="37">
        <f>Source!P85</f>
        <v>395.68</v>
      </c>
      <c r="L129" s="39"/>
    </row>
    <row r="130" spans="1:26" ht="14.25" x14ac:dyDescent="0.2">
      <c r="A130" s="52"/>
      <c r="B130" s="52"/>
      <c r="C130" s="52" t="s">
        <v>624</v>
      </c>
      <c r="D130" s="36" t="s">
        <v>625</v>
      </c>
      <c r="E130" s="10">
        <f>Source!BZ85</f>
        <v>90</v>
      </c>
      <c r="F130" s="54"/>
      <c r="G130" s="38"/>
      <c r="H130" s="37">
        <f>SUM(S125:S132)</f>
        <v>153.69</v>
      </c>
      <c r="I130" s="40"/>
      <c r="J130" s="35">
        <f>Source!AT85</f>
        <v>90</v>
      </c>
      <c r="K130" s="37">
        <f>SUM(T125:T132)</f>
        <v>4507.79</v>
      </c>
      <c r="L130" s="39"/>
    </row>
    <row r="131" spans="1:26" ht="14.25" x14ac:dyDescent="0.2">
      <c r="A131" s="52"/>
      <c r="B131" s="52"/>
      <c r="C131" s="52" t="s">
        <v>626</v>
      </c>
      <c r="D131" s="36" t="s">
        <v>625</v>
      </c>
      <c r="E131" s="10">
        <f>Source!CA85</f>
        <v>45</v>
      </c>
      <c r="F131" s="54"/>
      <c r="G131" s="38"/>
      <c r="H131" s="37">
        <f>SUM(U125:U132)</f>
        <v>76.849999999999994</v>
      </c>
      <c r="I131" s="40"/>
      <c r="J131" s="35">
        <f>Source!AU85</f>
        <v>45</v>
      </c>
      <c r="K131" s="37">
        <f>SUM(V125:V132)</f>
        <v>2253.9</v>
      </c>
      <c r="L131" s="39"/>
    </row>
    <row r="132" spans="1:26" ht="14.25" x14ac:dyDescent="0.2">
      <c r="A132" s="53"/>
      <c r="B132" s="53"/>
      <c r="C132" s="53" t="s">
        <v>627</v>
      </c>
      <c r="D132" s="41" t="s">
        <v>628</v>
      </c>
      <c r="E132" s="42">
        <f>Source!AQ85</f>
        <v>194</v>
      </c>
      <c r="F132" s="43"/>
      <c r="G132" s="44" t="str">
        <f>Source!DI85</f>
        <v/>
      </c>
      <c r="H132" s="43"/>
      <c r="I132" s="44"/>
      <c r="J132" s="44"/>
      <c r="K132" s="43"/>
      <c r="L132" s="45">
        <f>Source!U85</f>
        <v>17.751000000000001</v>
      </c>
    </row>
    <row r="133" spans="1:26" ht="15" x14ac:dyDescent="0.25">
      <c r="G133" s="58">
        <f>H126+H127+H129+H130+H131</f>
        <v>724.62</v>
      </c>
      <c r="H133" s="58"/>
      <c r="J133" s="58">
        <f>K126+K127+K129+K130+K131</f>
        <v>15283.449999999999</v>
      </c>
      <c r="K133" s="58"/>
      <c r="L133" s="46">
        <f>Source!U85</f>
        <v>17.751000000000001</v>
      </c>
      <c r="O133" s="31">
        <f>G133</f>
        <v>724.62</v>
      </c>
      <c r="P133" s="31">
        <f>J133</f>
        <v>15283.449999999999</v>
      </c>
      <c r="Q133" s="31">
        <f>L133</f>
        <v>17.751000000000001</v>
      </c>
      <c r="W133">
        <f>IF(Source!BI85&lt;=1,H126+H127+H129+H130+H131, 0)</f>
        <v>0</v>
      </c>
      <c r="X133">
        <f>IF(Source!BI85=2,H126+H127+H129+H130+H131, 0)</f>
        <v>724.62</v>
      </c>
      <c r="Y133">
        <f>IF(Source!BI85=3,H126+H127+H129+H130+H131, 0)</f>
        <v>0</v>
      </c>
      <c r="Z133">
        <f>IF(Source!BI85=4,H126+H127+H129+H130+H131, 0)</f>
        <v>0</v>
      </c>
    </row>
    <row r="134" spans="1:26" ht="42.75" x14ac:dyDescent="0.2">
      <c r="A134" s="53">
        <v>21</v>
      </c>
      <c r="B134" s="53" t="str">
        <f>Source!F86</f>
        <v>Цена поставщика</v>
      </c>
      <c r="C134" s="53" t="s">
        <v>639</v>
      </c>
      <c r="D134" s="41" t="str">
        <f>Source!H86</f>
        <v>т</v>
      </c>
      <c r="E134" s="42">
        <f>Source!I86</f>
        <v>9.7000000000000003E-2</v>
      </c>
      <c r="F134" s="43">
        <f>Source!AL86</f>
        <v>8108.7</v>
      </c>
      <c r="G134" s="44" t="str">
        <f>Source!DD86</f>
        <v/>
      </c>
      <c r="H134" s="43">
        <f>ROUND(Source!AC86*Source!I86, 2)</f>
        <v>786.54</v>
      </c>
      <c r="I134" s="44" t="str">
        <f>Source!BO86</f>
        <v/>
      </c>
      <c r="J134" s="44">
        <f>IF(Source!BC86&lt;&gt; 0, Source!BC86, 1)</f>
        <v>8.48</v>
      </c>
      <c r="K134" s="43">
        <f>Source!P86</f>
        <v>6669.89</v>
      </c>
      <c r="L134" s="48"/>
      <c r="S134">
        <f>ROUND((Source!FX86/100)*((ROUND(Source!AF86*Source!I86, 2)+ROUND(Source!AE86*Source!I86, 2))), 2)</f>
        <v>0</v>
      </c>
      <c r="T134">
        <f>Source!X86</f>
        <v>0</v>
      </c>
      <c r="U134">
        <f>ROUND((Source!FY86/100)*((ROUND(Source!AF86*Source!I86, 2)+ROUND(Source!AE86*Source!I86, 2))), 2)</f>
        <v>0</v>
      </c>
      <c r="V134">
        <f>Source!Y86</f>
        <v>0</v>
      </c>
    </row>
    <row r="135" spans="1:26" ht="15" x14ac:dyDescent="0.25">
      <c r="G135" s="58">
        <f>H134</f>
        <v>786.54</v>
      </c>
      <c r="H135" s="58"/>
      <c r="J135" s="58">
        <f>K134</f>
        <v>6669.89</v>
      </c>
      <c r="K135" s="58"/>
      <c r="L135" s="46">
        <f>Source!U86</f>
        <v>0</v>
      </c>
      <c r="O135" s="31">
        <f>G135</f>
        <v>786.54</v>
      </c>
      <c r="P135" s="31">
        <f>J135</f>
        <v>6669.89</v>
      </c>
      <c r="Q135" s="31">
        <f>L135</f>
        <v>0</v>
      </c>
      <c r="W135">
        <f>IF(Source!BI86&lt;=1,H134, 0)</f>
        <v>786.54</v>
      </c>
      <c r="X135">
        <f>IF(Source!BI86=2,H134, 0)</f>
        <v>0</v>
      </c>
      <c r="Y135">
        <f>IF(Source!BI86=3,H134, 0)</f>
        <v>0</v>
      </c>
      <c r="Z135">
        <f>IF(Source!BI86=4,H134, 0)</f>
        <v>0</v>
      </c>
    </row>
    <row r="136" spans="1:26" ht="28.5" x14ac:dyDescent="0.2">
      <c r="A136" s="52">
        <v>22</v>
      </c>
      <c r="B136" s="52" t="str">
        <f>Source!F87</f>
        <v>12-01-036-02</v>
      </c>
      <c r="C136" s="52" t="str">
        <f>Source!G87</f>
        <v>Установка водосточной системы из ПВХ: труб</v>
      </c>
      <c r="D136" s="36" t="str">
        <f>Source!H87</f>
        <v>100 м</v>
      </c>
      <c r="E136" s="10">
        <f>Source!I87</f>
        <v>6.65</v>
      </c>
      <c r="F136" s="37">
        <f>Source!AL87+Source!AM87+Source!AO87</f>
        <v>8871.6299999999992</v>
      </c>
      <c r="G136" s="38"/>
      <c r="H136" s="37"/>
      <c r="I136" s="38" t="str">
        <f>Source!BO87</f>
        <v/>
      </c>
      <c r="J136" s="38"/>
      <c r="K136" s="37"/>
      <c r="L136" s="39"/>
      <c r="S136">
        <f>ROUND((Source!FX87/100)*((ROUND(Source!AF87*Source!I87, 2)+ROUND(Source!AE87*Source!I87, 2))), 2)</f>
        <v>3426.37</v>
      </c>
      <c r="T136">
        <f>Source!X87</f>
        <v>100495.32</v>
      </c>
      <c r="U136">
        <f>ROUND((Source!FY87/100)*((ROUND(Source!AF87*Source!I87, 2)+ROUND(Source!AE87*Source!I87, 2))), 2)</f>
        <v>1791.77</v>
      </c>
      <c r="V136">
        <f>Source!Y87</f>
        <v>52552.6</v>
      </c>
    </row>
    <row r="137" spans="1:26" x14ac:dyDescent="0.2">
      <c r="C137" s="30" t="str">
        <f>"Объем: "&amp;Source!I87&amp;"=665/"&amp;"100"</f>
        <v>Объем: 6,65=665/100</v>
      </c>
    </row>
    <row r="138" spans="1:26" ht="42.75" x14ac:dyDescent="0.2">
      <c r="A138" s="52"/>
      <c r="B138" s="52"/>
      <c r="C138" s="52" t="s">
        <v>623</v>
      </c>
      <c r="D138" s="36"/>
      <c r="E138" s="10"/>
      <c r="F138" s="37">
        <f>Source!AO87</f>
        <v>378.4</v>
      </c>
      <c r="G138" s="38" t="str">
        <f>Source!DG87</f>
        <v>)*(1+0,005*(30-15)))*1,15</v>
      </c>
      <c r="H138" s="37">
        <f>ROUND(Source!AF87*Source!I87, 2)</f>
        <v>3110.87</v>
      </c>
      <c r="I138" s="38"/>
      <c r="J138" s="38">
        <f>IF(Source!BA87&lt;&gt; 0, Source!BA87, 1)</f>
        <v>29.33</v>
      </c>
      <c r="K138" s="37">
        <f>Source!S87</f>
        <v>91241.82</v>
      </c>
      <c r="L138" s="39"/>
      <c r="R138">
        <f>H138</f>
        <v>3110.87</v>
      </c>
    </row>
    <row r="139" spans="1:26" ht="14.25" x14ac:dyDescent="0.2">
      <c r="A139" s="52"/>
      <c r="B139" s="52"/>
      <c r="C139" s="52" t="s">
        <v>110</v>
      </c>
      <c r="D139" s="36"/>
      <c r="E139" s="10"/>
      <c r="F139" s="37">
        <f>Source!AM87</f>
        <v>22.77</v>
      </c>
      <c r="G139" s="38" t="str">
        <f>Source!DE87</f>
        <v>)*1,25</v>
      </c>
      <c r="H139" s="37">
        <f>ROUND(((((Source!ET87*1.25))-((Source!EU87*1.25)))+Source!AE87)*Source!I87, 2)</f>
        <v>189.28</v>
      </c>
      <c r="I139" s="38"/>
      <c r="J139" s="38">
        <f>IF(Source!BB87&lt;&gt; 0, Source!BB87, 1)</f>
        <v>11.52</v>
      </c>
      <c r="K139" s="37">
        <f>Source!Q87</f>
        <v>2180.46</v>
      </c>
      <c r="L139" s="39"/>
    </row>
    <row r="140" spans="1:26" ht="14.25" x14ac:dyDescent="0.2">
      <c r="A140" s="52"/>
      <c r="B140" s="52"/>
      <c r="C140" s="52" t="s">
        <v>629</v>
      </c>
      <c r="D140" s="36"/>
      <c r="E140" s="10"/>
      <c r="F140" s="37">
        <f>Source!AN87</f>
        <v>3.92</v>
      </c>
      <c r="G140" s="38" t="str">
        <f>Source!DF87</f>
        <v>)*1,25</v>
      </c>
      <c r="H140" s="47">
        <f>ROUND(Source!AE87*Source!I87, 2)</f>
        <v>32.590000000000003</v>
      </c>
      <c r="I140" s="38"/>
      <c r="J140" s="38">
        <f>IF(Source!BS87&lt;&gt; 0, Source!BS87, 1)</f>
        <v>29.33</v>
      </c>
      <c r="K140" s="47">
        <f>Source!R87</f>
        <v>955.72</v>
      </c>
      <c r="L140" s="39"/>
      <c r="R140">
        <f>H140</f>
        <v>32.590000000000003</v>
      </c>
    </row>
    <row r="141" spans="1:26" ht="14.25" x14ac:dyDescent="0.2">
      <c r="A141" s="52"/>
      <c r="B141" s="52"/>
      <c r="C141" s="52" t="s">
        <v>631</v>
      </c>
      <c r="D141" s="36"/>
      <c r="E141" s="10"/>
      <c r="F141" s="37">
        <f>Source!AL87</f>
        <v>8470.4599999999991</v>
      </c>
      <c r="G141" s="38" t="str">
        <f>Source!DD87</f>
        <v/>
      </c>
      <c r="H141" s="37">
        <f>ROUND(Source!AC87*Source!I87, 2)</f>
        <v>56328.56</v>
      </c>
      <c r="I141" s="38"/>
      <c r="J141" s="38">
        <f>IF(Source!BC87&lt;&gt; 0, Source!BC87, 1)</f>
        <v>8.48</v>
      </c>
      <c r="K141" s="37">
        <f>Source!P87</f>
        <v>477666.18</v>
      </c>
      <c r="L141" s="39"/>
    </row>
    <row r="142" spans="1:26" ht="14.25" x14ac:dyDescent="0.2">
      <c r="A142" s="52"/>
      <c r="B142" s="52"/>
      <c r="C142" s="52" t="s">
        <v>624</v>
      </c>
      <c r="D142" s="36" t="s">
        <v>625</v>
      </c>
      <c r="E142" s="10">
        <f>Source!BZ87</f>
        <v>109</v>
      </c>
      <c r="F142" s="54"/>
      <c r="G142" s="38"/>
      <c r="H142" s="37">
        <f>SUM(S136:S146)</f>
        <v>3426.37</v>
      </c>
      <c r="I142" s="40"/>
      <c r="J142" s="35">
        <f>Source!AT87</f>
        <v>109</v>
      </c>
      <c r="K142" s="37">
        <f>SUM(T136:T146)</f>
        <v>100495.32</v>
      </c>
      <c r="L142" s="39"/>
    </row>
    <row r="143" spans="1:26" ht="14.25" x14ac:dyDescent="0.2">
      <c r="A143" s="52"/>
      <c r="B143" s="52"/>
      <c r="C143" s="52" t="s">
        <v>626</v>
      </c>
      <c r="D143" s="36" t="s">
        <v>625</v>
      </c>
      <c r="E143" s="10">
        <f>Source!CA87</f>
        <v>57</v>
      </c>
      <c r="F143" s="54"/>
      <c r="G143" s="38"/>
      <c r="H143" s="37">
        <f>SUM(U136:U146)</f>
        <v>1791.77</v>
      </c>
      <c r="I143" s="40"/>
      <c r="J143" s="35">
        <f>Source!AU87</f>
        <v>57</v>
      </c>
      <c r="K143" s="37">
        <f>SUM(V136:V146)</f>
        <v>52552.6</v>
      </c>
      <c r="L143" s="39"/>
    </row>
    <row r="144" spans="1:26" ht="42.75" x14ac:dyDescent="0.2">
      <c r="A144" s="52"/>
      <c r="B144" s="52"/>
      <c r="C144" s="52" t="s">
        <v>627</v>
      </c>
      <c r="D144" s="36" t="s">
        <v>628</v>
      </c>
      <c r="E144" s="10">
        <f>Source!AQ87</f>
        <v>41.72</v>
      </c>
      <c r="F144" s="37"/>
      <c r="G144" s="38" t="str">
        <f>Source!DI87</f>
        <v>)*(1+0,005*(30-15)))*1,15</v>
      </c>
      <c r="H144" s="37"/>
      <c r="I144" s="38"/>
      <c r="J144" s="38"/>
      <c r="K144" s="37"/>
      <c r="L144" s="49">
        <f>Source!U87</f>
        <v>342.98272749999995</v>
      </c>
    </row>
    <row r="145" spans="1:26" ht="28.5" x14ac:dyDescent="0.2">
      <c r="A145" s="52">
        <v>22.1</v>
      </c>
      <c r="B145" s="52" t="str">
        <f>Source!F88</f>
        <v>08.1.02.07</v>
      </c>
      <c r="C145" s="52" t="str">
        <f>Source!G88</f>
        <v>Материалы водосточной системы (трубы водосточные, диаметр 150 мм)</v>
      </c>
      <c r="D145" s="36" t="str">
        <f>Source!H88</f>
        <v>м</v>
      </c>
      <c r="E145" s="10">
        <f>Source!I88</f>
        <v>638.4</v>
      </c>
      <c r="F145" s="37">
        <f>Source!AL88+Source!AM88+Source!AO88</f>
        <v>0</v>
      </c>
      <c r="G145" s="50" t="s">
        <v>3</v>
      </c>
      <c r="H145" s="37">
        <f>ROUND(Source!AC88*Source!I88, 2)+ROUND((((Source!ET88)-(Source!EU88))+Source!AE88)*Source!I88, 2)+ROUND(Source!AF88*Source!I88, 2)</f>
        <v>0</v>
      </c>
      <c r="I145" s="38"/>
      <c r="J145" s="38">
        <f>IF(Source!BC88&lt;&gt; 0, Source!BC88, 1)</f>
        <v>8.48</v>
      </c>
      <c r="K145" s="37">
        <f>Source!O88</f>
        <v>0</v>
      </c>
      <c r="L145" s="39"/>
      <c r="S145">
        <f>ROUND((Source!FX88/100)*((ROUND(Source!AF88*Source!I88, 2)+ROUND(Source!AE88*Source!I88, 2))), 2)</f>
        <v>0</v>
      </c>
      <c r="T145">
        <f>Source!X88</f>
        <v>0</v>
      </c>
      <c r="U145">
        <f>ROUND((Source!FY88/100)*((ROUND(Source!AF88*Source!I88, 2)+ROUND(Source!AE88*Source!I88, 2))), 2)</f>
        <v>0</v>
      </c>
      <c r="V145">
        <f>Source!Y88</f>
        <v>0</v>
      </c>
      <c r="W145">
        <f>IF(Source!BI88&lt;=1,H145, 0)</f>
        <v>0</v>
      </c>
      <c r="X145">
        <f>IF(Source!BI88=2,H145, 0)</f>
        <v>0</v>
      </c>
      <c r="Y145">
        <f>IF(Source!BI88=3,H145, 0)</f>
        <v>0</v>
      </c>
      <c r="Z145">
        <f>IF(Source!BI88=4,H145, 0)</f>
        <v>0</v>
      </c>
    </row>
    <row r="146" spans="1:26" ht="42.75" x14ac:dyDescent="0.2">
      <c r="A146" s="53">
        <v>22.2</v>
      </c>
      <c r="B146" s="53" t="str">
        <f>Source!F89</f>
        <v>12.1.01.05-0026</v>
      </c>
      <c r="C146" s="53" t="str">
        <f>Source!G89</f>
        <v>Хомут для труб металлический для водосточных систем, окрашенный, диаметр 100 мм</v>
      </c>
      <c r="D146" s="41" t="str">
        <f>Source!H89</f>
        <v>ШТ</v>
      </c>
      <c r="E146" s="42">
        <f>Source!I89</f>
        <v>-445.55</v>
      </c>
      <c r="F146" s="43">
        <f>Source!AL89+Source!AM89+Source!AO89</f>
        <v>126.21</v>
      </c>
      <c r="G146" s="51" t="s">
        <v>3</v>
      </c>
      <c r="H146" s="43">
        <f>ROUND(Source!AC89*Source!I89, 2)+ROUND((((Source!ET89)-(Source!EU89))+Source!AE89)*Source!I89, 2)+ROUND(Source!AF89*Source!I89, 2)</f>
        <v>-56232.87</v>
      </c>
      <c r="I146" s="44"/>
      <c r="J146" s="44">
        <f>IF(Source!BC89&lt;&gt; 0, Source!BC89, 1)</f>
        <v>8.48</v>
      </c>
      <c r="K146" s="43">
        <f>Source!O89</f>
        <v>-476854.7</v>
      </c>
      <c r="L146" s="48"/>
      <c r="S146">
        <f>ROUND((Source!FX89/100)*((ROUND(Source!AF89*Source!I89, 2)+ROUND(Source!AE89*Source!I89, 2))), 2)</f>
        <v>0</v>
      </c>
      <c r="T146">
        <f>Source!X89</f>
        <v>0</v>
      </c>
      <c r="U146">
        <f>ROUND((Source!FY89/100)*((ROUND(Source!AF89*Source!I89, 2)+ROUND(Source!AE89*Source!I89, 2))), 2)</f>
        <v>0</v>
      </c>
      <c r="V146">
        <f>Source!Y89</f>
        <v>0</v>
      </c>
      <c r="W146">
        <f>IF(Source!BI89&lt;=1,H146, 0)</f>
        <v>-56232.87</v>
      </c>
      <c r="X146">
        <f>IF(Source!BI89=2,H146, 0)</f>
        <v>0</v>
      </c>
      <c r="Y146">
        <f>IF(Source!BI89=3,H146, 0)</f>
        <v>0</v>
      </c>
      <c r="Z146">
        <f>IF(Source!BI89=4,H146, 0)</f>
        <v>0</v>
      </c>
    </row>
    <row r="147" spans="1:26" ht="15" x14ac:dyDescent="0.25">
      <c r="G147" s="58">
        <f>H138+H139+H141+H142+H143+SUM(H145:H146)</f>
        <v>8613.9799999999959</v>
      </c>
      <c r="H147" s="58"/>
      <c r="J147" s="58">
        <f>K138+K139+K141+K142+K143+SUM(K145:K146)</f>
        <v>247281.68</v>
      </c>
      <c r="K147" s="58"/>
      <c r="L147" s="46">
        <f>Source!U87</f>
        <v>342.98272749999995</v>
      </c>
      <c r="O147" s="31">
        <f>G147</f>
        <v>8613.9799999999959</v>
      </c>
      <c r="P147" s="31">
        <f>J147</f>
        <v>247281.68</v>
      </c>
      <c r="Q147" s="31">
        <f>L147</f>
        <v>342.98272749999995</v>
      </c>
      <c r="W147">
        <f>IF(Source!BI87&lt;=1,H138+H139+H141+H142+H143, 0)</f>
        <v>64846.85</v>
      </c>
      <c r="X147">
        <f>IF(Source!BI87=2,H138+H139+H141+H142+H143, 0)</f>
        <v>0</v>
      </c>
      <c r="Y147">
        <f>IF(Source!BI87=3,H138+H139+H141+H142+H143, 0)</f>
        <v>0</v>
      </c>
      <c r="Z147">
        <f>IF(Source!BI87=4,H138+H139+H141+H142+H143, 0)</f>
        <v>0</v>
      </c>
    </row>
    <row r="148" spans="1:26" ht="42.75" x14ac:dyDescent="0.2">
      <c r="A148" s="53">
        <v>23</v>
      </c>
      <c r="B148" s="53" t="str">
        <f>Source!F90</f>
        <v>Цена поставщика</v>
      </c>
      <c r="C148" s="53" t="s">
        <v>640</v>
      </c>
      <c r="D148" s="41" t="str">
        <f>Source!H90</f>
        <v>ШТ</v>
      </c>
      <c r="E148" s="42">
        <f>Source!I90</f>
        <v>222</v>
      </c>
      <c r="F148" s="43">
        <f>Source!AL90</f>
        <v>187.86</v>
      </c>
      <c r="G148" s="44" t="str">
        <f>Source!DD90</f>
        <v/>
      </c>
      <c r="H148" s="43">
        <f>ROUND(Source!AC90*Source!I90, 2)</f>
        <v>41704.92</v>
      </c>
      <c r="I148" s="44" t="str">
        <f>Source!BO90</f>
        <v/>
      </c>
      <c r="J148" s="44">
        <f>IF(Source!BC90&lt;&gt; 0, Source!BC90, 1)</f>
        <v>8.48</v>
      </c>
      <c r="K148" s="43">
        <f>Source!P90</f>
        <v>353657.72</v>
      </c>
      <c r="L148" s="48"/>
      <c r="S148">
        <f>ROUND((Source!FX90/100)*((ROUND(Source!AF90*Source!I90, 2)+ROUND(Source!AE90*Source!I90, 2))), 2)</f>
        <v>0</v>
      </c>
      <c r="T148">
        <f>Source!X90</f>
        <v>0</v>
      </c>
      <c r="U148">
        <f>ROUND((Source!FY90/100)*((ROUND(Source!AF90*Source!I90, 2)+ROUND(Source!AE90*Source!I90, 2))), 2)</f>
        <v>0</v>
      </c>
      <c r="V148">
        <f>Source!Y90</f>
        <v>0</v>
      </c>
    </row>
    <row r="149" spans="1:26" ht="15" x14ac:dyDescent="0.25">
      <c r="G149" s="58">
        <f>H148</f>
        <v>41704.92</v>
      </c>
      <c r="H149" s="58"/>
      <c r="J149" s="58">
        <f>K148</f>
        <v>353657.72</v>
      </c>
      <c r="K149" s="58"/>
      <c r="L149" s="46">
        <f>Source!U90</f>
        <v>0</v>
      </c>
      <c r="O149" s="31">
        <f>G149</f>
        <v>41704.92</v>
      </c>
      <c r="P149" s="31">
        <f>J149</f>
        <v>353657.72</v>
      </c>
      <c r="Q149" s="31">
        <f>L149</f>
        <v>0</v>
      </c>
      <c r="W149">
        <f>IF(Source!BI90&lt;=1,H148, 0)</f>
        <v>41704.92</v>
      </c>
      <c r="X149">
        <f>IF(Source!BI90=2,H148, 0)</f>
        <v>0</v>
      </c>
      <c r="Y149">
        <f>IF(Source!BI90=3,H148, 0)</f>
        <v>0</v>
      </c>
      <c r="Z149">
        <f>IF(Source!BI90=4,H148, 0)</f>
        <v>0</v>
      </c>
    </row>
    <row r="150" spans="1:26" ht="42.75" x14ac:dyDescent="0.2">
      <c r="A150" s="53">
        <v>24</v>
      </c>
      <c r="B150" s="53" t="str">
        <f>Source!F91</f>
        <v>Цена поставщика</v>
      </c>
      <c r="C150" s="53" t="s">
        <v>641</v>
      </c>
      <c r="D150" s="41" t="str">
        <f>Source!H91</f>
        <v>ШТ</v>
      </c>
      <c r="E150" s="42">
        <f>Source!I91</f>
        <v>66</v>
      </c>
      <c r="F150" s="43">
        <f>Source!AL91</f>
        <v>45.79</v>
      </c>
      <c r="G150" s="44" t="str">
        <f>Source!DD91</f>
        <v/>
      </c>
      <c r="H150" s="43">
        <f>ROUND(Source!AC91*Source!I91, 2)</f>
        <v>3022.14</v>
      </c>
      <c r="I150" s="44" t="str">
        <f>Source!BO91</f>
        <v/>
      </c>
      <c r="J150" s="44">
        <f>IF(Source!BC91&lt;&gt; 0, Source!BC91, 1)</f>
        <v>8.48</v>
      </c>
      <c r="K150" s="43">
        <f>Source!P91</f>
        <v>25627.75</v>
      </c>
      <c r="L150" s="48"/>
      <c r="S150">
        <f>ROUND((Source!FX91/100)*((ROUND(Source!AF91*Source!I91, 2)+ROUND(Source!AE91*Source!I91, 2))), 2)</f>
        <v>0</v>
      </c>
      <c r="T150">
        <f>Source!X91</f>
        <v>0</v>
      </c>
      <c r="U150">
        <f>ROUND((Source!FY91/100)*((ROUND(Source!AF91*Source!I91, 2)+ROUND(Source!AE91*Source!I91, 2))), 2)</f>
        <v>0</v>
      </c>
      <c r="V150">
        <f>Source!Y91</f>
        <v>0</v>
      </c>
    </row>
    <row r="151" spans="1:26" ht="15" x14ac:dyDescent="0.25">
      <c r="G151" s="58">
        <f>H150</f>
        <v>3022.14</v>
      </c>
      <c r="H151" s="58"/>
      <c r="J151" s="58">
        <f>K150</f>
        <v>25627.75</v>
      </c>
      <c r="K151" s="58"/>
      <c r="L151" s="46">
        <f>Source!U91</f>
        <v>0</v>
      </c>
      <c r="O151" s="31">
        <f>G151</f>
        <v>3022.14</v>
      </c>
      <c r="P151" s="31">
        <f>J151</f>
        <v>25627.75</v>
      </c>
      <c r="Q151" s="31">
        <f>L151</f>
        <v>0</v>
      </c>
      <c r="W151">
        <f>IF(Source!BI91&lt;=1,H150, 0)</f>
        <v>3022.14</v>
      </c>
      <c r="X151">
        <f>IF(Source!BI91=2,H150, 0)</f>
        <v>0</v>
      </c>
      <c r="Y151">
        <f>IF(Source!BI91=3,H150, 0)</f>
        <v>0</v>
      </c>
      <c r="Z151">
        <f>IF(Source!BI91=4,H150, 0)</f>
        <v>0</v>
      </c>
    </row>
    <row r="152" spans="1:26" ht="42.75" x14ac:dyDescent="0.2">
      <c r="A152" s="53">
        <v>25</v>
      </c>
      <c r="B152" s="53" t="str">
        <f>Source!F92</f>
        <v>Цена поставщика</v>
      </c>
      <c r="C152" s="53" t="s">
        <v>642</v>
      </c>
      <c r="D152" s="41" t="str">
        <f>Source!H92</f>
        <v>ШТ</v>
      </c>
      <c r="E152" s="42">
        <f>Source!I92</f>
        <v>222</v>
      </c>
      <c r="F152" s="43">
        <f>Source!AL92</f>
        <v>28.94</v>
      </c>
      <c r="G152" s="44" t="str">
        <f>Source!DD92</f>
        <v/>
      </c>
      <c r="H152" s="43">
        <f>ROUND(Source!AC92*Source!I92, 2)</f>
        <v>6424.68</v>
      </c>
      <c r="I152" s="44" t="str">
        <f>Source!BO92</f>
        <v/>
      </c>
      <c r="J152" s="44">
        <f>IF(Source!BC92&lt;&gt; 0, Source!BC92, 1)</f>
        <v>8.48</v>
      </c>
      <c r="K152" s="43">
        <f>Source!P92</f>
        <v>54481.29</v>
      </c>
      <c r="L152" s="48"/>
      <c r="S152">
        <f>ROUND((Source!FX92/100)*((ROUND(Source!AF92*Source!I92, 2)+ROUND(Source!AE92*Source!I92, 2))), 2)</f>
        <v>0</v>
      </c>
      <c r="T152">
        <f>Source!X92</f>
        <v>0</v>
      </c>
      <c r="U152">
        <f>ROUND((Source!FY92/100)*((ROUND(Source!AF92*Source!I92, 2)+ROUND(Source!AE92*Source!I92, 2))), 2)</f>
        <v>0</v>
      </c>
      <c r="V152">
        <f>Source!Y92</f>
        <v>0</v>
      </c>
    </row>
    <row r="153" spans="1:26" ht="15" x14ac:dyDescent="0.25">
      <c r="G153" s="58">
        <f>H152</f>
        <v>6424.68</v>
      </c>
      <c r="H153" s="58"/>
      <c r="J153" s="58">
        <f>K152</f>
        <v>54481.29</v>
      </c>
      <c r="K153" s="58"/>
      <c r="L153" s="46">
        <f>Source!U92</f>
        <v>0</v>
      </c>
      <c r="O153" s="31">
        <f>G153</f>
        <v>6424.68</v>
      </c>
      <c r="P153" s="31">
        <f>J153</f>
        <v>54481.29</v>
      </c>
      <c r="Q153" s="31">
        <f>L153</f>
        <v>0</v>
      </c>
      <c r="W153">
        <f>IF(Source!BI92&lt;=1,H152, 0)</f>
        <v>6424.68</v>
      </c>
      <c r="X153">
        <f>IF(Source!BI92=2,H152, 0)</f>
        <v>0</v>
      </c>
      <c r="Y153">
        <f>IF(Source!BI92=3,H152, 0)</f>
        <v>0</v>
      </c>
      <c r="Z153">
        <f>IF(Source!BI92=4,H152, 0)</f>
        <v>0</v>
      </c>
    </row>
    <row r="154" spans="1:26" ht="42.75" x14ac:dyDescent="0.2">
      <c r="A154" s="52">
        <v>26</v>
      </c>
      <c r="B154" s="52" t="str">
        <f>Source!F93</f>
        <v>12-01-010-01</v>
      </c>
      <c r="C154" s="52" t="str">
        <f>Source!G93</f>
        <v>Устройство мелких покрытий (брандмауэры, парапеты, свесы и т.п.) из листовой оцинкованной стали</v>
      </c>
      <c r="D154" s="36" t="str">
        <f>Source!H93</f>
        <v>100 м2</v>
      </c>
      <c r="E154" s="10">
        <f>Source!I93</f>
        <v>2.2366999999999999</v>
      </c>
      <c r="F154" s="37">
        <f>Source!AL93+Source!AM93+Source!AO93</f>
        <v>7367.18</v>
      </c>
      <c r="G154" s="38"/>
      <c r="H154" s="37"/>
      <c r="I154" s="38" t="str">
        <f>Source!BO93</f>
        <v/>
      </c>
      <c r="J154" s="38"/>
      <c r="K154" s="37"/>
      <c r="L154" s="39"/>
      <c r="S154">
        <f>ROUND((Source!FX93/100)*((ROUND(Source!AF93*Source!I93, 2)+ROUND(Source!AE93*Source!I93, 2))), 2)</f>
        <v>2509.66</v>
      </c>
      <c r="T154">
        <f>Source!X93</f>
        <v>73608.2</v>
      </c>
      <c r="U154">
        <f>ROUND((Source!FY93/100)*((ROUND(Source!AF93*Source!I93, 2)+ROUND(Source!AE93*Source!I93, 2))), 2)</f>
        <v>1312.39</v>
      </c>
      <c r="V154">
        <f>Source!Y93</f>
        <v>38492.36</v>
      </c>
    </row>
    <row r="155" spans="1:26" ht="42.75" x14ac:dyDescent="0.2">
      <c r="A155" s="52"/>
      <c r="B155" s="52"/>
      <c r="C155" s="52" t="s">
        <v>623</v>
      </c>
      <c r="D155" s="36"/>
      <c r="E155" s="10"/>
      <c r="F155" s="37">
        <f>Source!AO93</f>
        <v>829.12</v>
      </c>
      <c r="G155" s="38" t="str">
        <f>Source!DG93</f>
        <v>)*(1+0,005*(30-15)))*1,15</v>
      </c>
      <c r="H155" s="37">
        <f>ROUND(Source!AF93*Source!I93, 2)</f>
        <v>2292.62</v>
      </c>
      <c r="I155" s="38"/>
      <c r="J155" s="38">
        <f>IF(Source!BA93&lt;&gt; 0, Source!BA93, 1)</f>
        <v>29.33</v>
      </c>
      <c r="K155" s="37">
        <f>Source!S93</f>
        <v>67242.47</v>
      </c>
      <c r="L155" s="39"/>
      <c r="R155">
        <f>H155</f>
        <v>2292.62</v>
      </c>
    </row>
    <row r="156" spans="1:26" ht="14.25" x14ac:dyDescent="0.2">
      <c r="A156" s="52"/>
      <c r="B156" s="52"/>
      <c r="C156" s="52" t="s">
        <v>110</v>
      </c>
      <c r="D156" s="36"/>
      <c r="E156" s="10"/>
      <c r="F156" s="37">
        <f>Source!AM93</f>
        <v>21.88</v>
      </c>
      <c r="G156" s="38" t="str">
        <f>Source!DE93</f>
        <v>)*1,25</v>
      </c>
      <c r="H156" s="37">
        <f>ROUND(((((Source!ET93*1.25))-((Source!EU93*1.25)))+Source!AE93)*Source!I93, 2)</f>
        <v>61.18</v>
      </c>
      <c r="I156" s="38"/>
      <c r="J156" s="38">
        <f>IF(Source!BB93&lt;&gt; 0, Source!BB93, 1)</f>
        <v>11.52</v>
      </c>
      <c r="K156" s="37">
        <f>Source!Q93</f>
        <v>704.89</v>
      </c>
      <c r="L156" s="39"/>
    </row>
    <row r="157" spans="1:26" ht="14.25" x14ac:dyDescent="0.2">
      <c r="A157" s="52"/>
      <c r="B157" s="52"/>
      <c r="C157" s="52" t="s">
        <v>629</v>
      </c>
      <c r="D157" s="36"/>
      <c r="E157" s="10"/>
      <c r="F157" s="37">
        <f>Source!AN93</f>
        <v>3.51</v>
      </c>
      <c r="G157" s="38" t="str">
        <f>Source!DF93</f>
        <v>)*1,25</v>
      </c>
      <c r="H157" s="47">
        <f>ROUND(Source!AE93*Source!I93, 2)</f>
        <v>9.82</v>
      </c>
      <c r="I157" s="38"/>
      <c r="J157" s="38">
        <f>IF(Source!BS93&lt;&gt; 0, Source!BS93, 1)</f>
        <v>29.33</v>
      </c>
      <c r="K157" s="47">
        <f>Source!R93</f>
        <v>287.99</v>
      </c>
      <c r="L157" s="39"/>
      <c r="R157">
        <f>H157</f>
        <v>9.82</v>
      </c>
    </row>
    <row r="158" spans="1:26" ht="14.25" x14ac:dyDescent="0.2">
      <c r="A158" s="52"/>
      <c r="B158" s="52"/>
      <c r="C158" s="52" t="s">
        <v>624</v>
      </c>
      <c r="D158" s="36" t="s">
        <v>625</v>
      </c>
      <c r="E158" s="10">
        <f>Source!BZ93</f>
        <v>109</v>
      </c>
      <c r="F158" s="54"/>
      <c r="G158" s="38"/>
      <c r="H158" s="37">
        <f>SUM(S154:S160)</f>
        <v>2509.66</v>
      </c>
      <c r="I158" s="40"/>
      <c r="J158" s="35">
        <f>Source!AT93</f>
        <v>109</v>
      </c>
      <c r="K158" s="37">
        <f>SUM(T154:T160)</f>
        <v>73608.2</v>
      </c>
      <c r="L158" s="39"/>
    </row>
    <row r="159" spans="1:26" ht="14.25" x14ac:dyDescent="0.2">
      <c r="A159" s="52"/>
      <c r="B159" s="52"/>
      <c r="C159" s="52" t="s">
        <v>626</v>
      </c>
      <c r="D159" s="36" t="s">
        <v>625</v>
      </c>
      <c r="E159" s="10">
        <f>Source!CA93</f>
        <v>57</v>
      </c>
      <c r="F159" s="54"/>
      <c r="G159" s="38"/>
      <c r="H159" s="37">
        <f>SUM(U154:U160)</f>
        <v>1312.39</v>
      </c>
      <c r="I159" s="40"/>
      <c r="J159" s="35">
        <f>Source!AU93</f>
        <v>57</v>
      </c>
      <c r="K159" s="37">
        <f>SUM(V154:V160)</f>
        <v>38492.36</v>
      </c>
      <c r="L159" s="39"/>
    </row>
    <row r="160" spans="1:26" ht="42.75" x14ac:dyDescent="0.2">
      <c r="A160" s="53"/>
      <c r="B160" s="53"/>
      <c r="C160" s="53" t="s">
        <v>627</v>
      </c>
      <c r="D160" s="41" t="s">
        <v>628</v>
      </c>
      <c r="E160" s="42">
        <f>Source!AQ93</f>
        <v>97.2</v>
      </c>
      <c r="F160" s="43"/>
      <c r="G160" s="44" t="str">
        <f>Source!DI93</f>
        <v>)*(1+0,005*(30-15)))*1,15</v>
      </c>
      <c r="H160" s="43"/>
      <c r="I160" s="44"/>
      <c r="J160" s="44"/>
      <c r="K160" s="43"/>
      <c r="L160" s="45">
        <f>Source!U93</f>
        <v>268.76970044999996</v>
      </c>
    </row>
    <row r="161" spans="1:26" ht="15" x14ac:dyDescent="0.25">
      <c r="G161" s="58">
        <f>H155+H156+H158+H159</f>
        <v>6175.8499999999995</v>
      </c>
      <c r="H161" s="58"/>
      <c r="J161" s="58">
        <f>K155+K156+K158+K159</f>
        <v>180047.91999999998</v>
      </c>
      <c r="K161" s="58"/>
      <c r="L161" s="46">
        <f>Source!U93</f>
        <v>268.76970044999996</v>
      </c>
      <c r="O161" s="31">
        <f>G161</f>
        <v>6175.8499999999995</v>
      </c>
      <c r="P161" s="31">
        <f>J161</f>
        <v>180047.91999999998</v>
      </c>
      <c r="Q161" s="31">
        <f>L161</f>
        <v>268.76970044999996</v>
      </c>
      <c r="W161">
        <f>IF(Source!BI93&lt;=1,H155+H156+H158+H159, 0)</f>
        <v>6175.8499999999995</v>
      </c>
      <c r="X161">
        <f>IF(Source!BI93=2,H155+H156+H158+H159, 0)</f>
        <v>0</v>
      </c>
      <c r="Y161">
        <f>IF(Source!BI93=3,H155+H156+H158+H159, 0)</f>
        <v>0</v>
      </c>
      <c r="Z161">
        <f>IF(Source!BI93=4,H155+H156+H158+H159, 0)</f>
        <v>0</v>
      </c>
    </row>
    <row r="162" spans="1:26" ht="54" x14ac:dyDescent="0.2">
      <c r="A162" s="53">
        <v>27</v>
      </c>
      <c r="B162" s="53" t="str">
        <f>Source!F94</f>
        <v>Цена поставщика</v>
      </c>
      <c r="C162" s="53" t="s">
        <v>643</v>
      </c>
      <c r="D162" s="41" t="str">
        <f>Source!H94</f>
        <v>м2</v>
      </c>
      <c r="E162" s="42">
        <f>Source!I94</f>
        <v>324.32</v>
      </c>
      <c r="F162" s="43">
        <f>Source!AL94</f>
        <v>122.08</v>
      </c>
      <c r="G162" s="44" t="str">
        <f>Source!DD94</f>
        <v/>
      </c>
      <c r="H162" s="43">
        <f>ROUND(Source!AC94*Source!I94, 2)</f>
        <v>39592.99</v>
      </c>
      <c r="I162" s="44" t="str">
        <f>Source!BO94</f>
        <v/>
      </c>
      <c r="J162" s="44">
        <f>IF(Source!BC94&lt;&gt; 0, Source!BC94, 1)</f>
        <v>8.48</v>
      </c>
      <c r="K162" s="43">
        <f>Source!P94</f>
        <v>335748.52</v>
      </c>
      <c r="L162" s="48"/>
      <c r="S162">
        <f>ROUND((Source!FX94/100)*((ROUND(Source!AF94*Source!I94, 2)+ROUND(Source!AE94*Source!I94, 2))), 2)</f>
        <v>0</v>
      </c>
      <c r="T162">
        <f>Source!X94</f>
        <v>0</v>
      </c>
      <c r="U162">
        <f>ROUND((Source!FY94/100)*((ROUND(Source!AF94*Source!I94, 2)+ROUND(Source!AE94*Source!I94, 2))), 2)</f>
        <v>0</v>
      </c>
      <c r="V162">
        <f>Source!Y94</f>
        <v>0</v>
      </c>
    </row>
    <row r="163" spans="1:26" ht="15" x14ac:dyDescent="0.25">
      <c r="G163" s="58">
        <f>H162</f>
        <v>39592.99</v>
      </c>
      <c r="H163" s="58"/>
      <c r="J163" s="58">
        <f>K162</f>
        <v>335748.52</v>
      </c>
      <c r="K163" s="58"/>
      <c r="L163" s="46">
        <f>Source!U94</f>
        <v>0</v>
      </c>
      <c r="O163" s="31">
        <f>G163</f>
        <v>39592.99</v>
      </c>
      <c r="P163" s="31">
        <f>J163</f>
        <v>335748.52</v>
      </c>
      <c r="Q163" s="31">
        <f>L163</f>
        <v>0</v>
      </c>
      <c r="W163">
        <f>IF(Source!BI94&lt;=1,H162, 0)</f>
        <v>39592.99</v>
      </c>
      <c r="X163">
        <f>IF(Source!BI94=2,H162, 0)</f>
        <v>0</v>
      </c>
      <c r="Y163">
        <f>IF(Source!BI94=3,H162, 0)</f>
        <v>0</v>
      </c>
      <c r="Z163">
        <f>IF(Source!BI94=4,H162, 0)</f>
        <v>0</v>
      </c>
    </row>
    <row r="164" spans="1:26" ht="54" x14ac:dyDescent="0.2">
      <c r="A164" s="53">
        <v>28</v>
      </c>
      <c r="B164" s="53" t="str">
        <f>Source!F95</f>
        <v>Цена поставщика</v>
      </c>
      <c r="C164" s="53" t="s">
        <v>644</v>
      </c>
      <c r="D164" s="41" t="str">
        <f>Source!H95</f>
        <v>ШТ</v>
      </c>
      <c r="E164" s="42">
        <f>Source!I95</f>
        <v>2764</v>
      </c>
      <c r="F164" s="43">
        <f>Source!AL95</f>
        <v>1.7200000000000002</v>
      </c>
      <c r="G164" s="44" t="str">
        <f>Source!DD95</f>
        <v/>
      </c>
      <c r="H164" s="43">
        <f>ROUND(Source!AC95*Source!I95, 2)</f>
        <v>4754.08</v>
      </c>
      <c r="I164" s="44" t="str">
        <f>Source!BO95</f>
        <v/>
      </c>
      <c r="J164" s="44">
        <f>IF(Source!BC95&lt;&gt; 0, Source!BC95, 1)</f>
        <v>8.48</v>
      </c>
      <c r="K164" s="43">
        <f>Source!P95</f>
        <v>40314.6</v>
      </c>
      <c r="L164" s="48"/>
      <c r="S164">
        <f>ROUND((Source!FX95/100)*((ROUND(Source!AF95*Source!I95, 2)+ROUND(Source!AE95*Source!I95, 2))), 2)</f>
        <v>0</v>
      </c>
      <c r="T164">
        <f>Source!X95</f>
        <v>0</v>
      </c>
      <c r="U164">
        <f>ROUND((Source!FY95/100)*((ROUND(Source!AF95*Source!I95, 2)+ROUND(Source!AE95*Source!I95, 2))), 2)</f>
        <v>0</v>
      </c>
      <c r="V164">
        <f>Source!Y95</f>
        <v>0</v>
      </c>
    </row>
    <row r="165" spans="1:26" ht="15" x14ac:dyDescent="0.25">
      <c r="G165" s="58">
        <f>H164</f>
        <v>4754.08</v>
      </c>
      <c r="H165" s="58"/>
      <c r="J165" s="58">
        <f>K164</f>
        <v>40314.6</v>
      </c>
      <c r="K165" s="58"/>
      <c r="L165" s="46">
        <f>Source!U95</f>
        <v>0</v>
      </c>
      <c r="O165" s="31">
        <f>G165</f>
        <v>4754.08</v>
      </c>
      <c r="P165" s="31">
        <f>J165</f>
        <v>40314.6</v>
      </c>
      <c r="Q165" s="31">
        <f>L165</f>
        <v>0</v>
      </c>
      <c r="W165">
        <f>IF(Source!BI95&lt;=1,H164, 0)</f>
        <v>4754.08</v>
      </c>
      <c r="X165">
        <f>IF(Source!BI95=2,H164, 0)</f>
        <v>0</v>
      </c>
      <c r="Y165">
        <f>IF(Source!BI95=3,H164, 0)</f>
        <v>0</v>
      </c>
      <c r="Z165">
        <f>IF(Source!BI95=4,H164, 0)</f>
        <v>0</v>
      </c>
    </row>
    <row r="166" spans="1:26" ht="54" x14ac:dyDescent="0.2">
      <c r="A166" s="53">
        <v>29</v>
      </c>
      <c r="B166" s="53" t="str">
        <f>Source!F96</f>
        <v>Цена поставщика</v>
      </c>
      <c r="C166" s="53" t="s">
        <v>645</v>
      </c>
      <c r="D166" s="41" t="str">
        <f>Source!H96</f>
        <v>ШТ</v>
      </c>
      <c r="E166" s="42">
        <f>Source!I96</f>
        <v>1122</v>
      </c>
      <c r="F166" s="43">
        <f>Source!AL96</f>
        <v>1.81</v>
      </c>
      <c r="G166" s="44" t="str">
        <f>Source!DD96</f>
        <v/>
      </c>
      <c r="H166" s="43">
        <f>ROUND(Source!AC96*Source!I96, 2)</f>
        <v>2030.82</v>
      </c>
      <c r="I166" s="44" t="str">
        <f>Source!BO96</f>
        <v/>
      </c>
      <c r="J166" s="44">
        <f>IF(Source!BC96&lt;&gt; 0, Source!BC96, 1)</f>
        <v>8.48</v>
      </c>
      <c r="K166" s="43">
        <f>Source!P96</f>
        <v>17221.349999999999</v>
      </c>
      <c r="L166" s="48"/>
      <c r="S166">
        <f>ROUND((Source!FX96/100)*((ROUND(Source!AF96*Source!I96, 2)+ROUND(Source!AE96*Source!I96, 2))), 2)</f>
        <v>0</v>
      </c>
      <c r="T166">
        <f>Source!X96</f>
        <v>0</v>
      </c>
      <c r="U166">
        <f>ROUND((Source!FY96/100)*((ROUND(Source!AF96*Source!I96, 2)+ROUND(Source!AE96*Source!I96, 2))), 2)</f>
        <v>0</v>
      </c>
      <c r="V166">
        <f>Source!Y96</f>
        <v>0</v>
      </c>
    </row>
    <row r="167" spans="1:26" ht="15" x14ac:dyDescent="0.25">
      <c r="G167" s="58">
        <f>H166</f>
        <v>2030.82</v>
      </c>
      <c r="H167" s="58"/>
      <c r="J167" s="58">
        <f>K166</f>
        <v>17221.349999999999</v>
      </c>
      <c r="K167" s="58"/>
      <c r="L167" s="46">
        <f>Source!U96</f>
        <v>0</v>
      </c>
      <c r="O167" s="31">
        <f>G167</f>
        <v>2030.82</v>
      </c>
      <c r="P167" s="31">
        <f>J167</f>
        <v>17221.349999999999</v>
      </c>
      <c r="Q167" s="31">
        <f>L167</f>
        <v>0</v>
      </c>
      <c r="W167">
        <f>IF(Source!BI96&lt;=1,H166, 0)</f>
        <v>2030.82</v>
      </c>
      <c r="X167">
        <f>IF(Source!BI96=2,H166, 0)</f>
        <v>0</v>
      </c>
      <c r="Y167">
        <f>IF(Source!BI96=3,H166, 0)</f>
        <v>0</v>
      </c>
      <c r="Z167">
        <f>IF(Source!BI96=4,H166, 0)</f>
        <v>0</v>
      </c>
    </row>
    <row r="168" spans="1:26" ht="42.75" x14ac:dyDescent="0.2">
      <c r="A168" s="53">
        <v>30</v>
      </c>
      <c r="B168" s="53" t="str">
        <f>Source!F97</f>
        <v>Цена поставщика</v>
      </c>
      <c r="C168" s="53" t="s">
        <v>646</v>
      </c>
      <c r="D168" s="41" t="str">
        <f>Source!H97</f>
        <v>ШТ</v>
      </c>
      <c r="E168" s="42">
        <f>Source!I97</f>
        <v>722</v>
      </c>
      <c r="F168" s="43">
        <f>Source!AL97</f>
        <v>1.55</v>
      </c>
      <c r="G168" s="44" t="str">
        <f>Source!DD97</f>
        <v/>
      </c>
      <c r="H168" s="43">
        <f>ROUND(Source!AC97*Source!I97, 2)</f>
        <v>1119.0999999999999</v>
      </c>
      <c r="I168" s="44" t="str">
        <f>Source!BO97</f>
        <v/>
      </c>
      <c r="J168" s="44">
        <f>IF(Source!BC97&lt;&gt; 0, Source!BC97, 1)</f>
        <v>8.48</v>
      </c>
      <c r="K168" s="43">
        <f>Source!P97</f>
        <v>9489.9699999999993</v>
      </c>
      <c r="L168" s="48"/>
      <c r="S168">
        <f>ROUND((Source!FX97/100)*((ROUND(Source!AF97*Source!I97, 2)+ROUND(Source!AE97*Source!I97, 2))), 2)</f>
        <v>0</v>
      </c>
      <c r="T168">
        <f>Source!X97</f>
        <v>0</v>
      </c>
      <c r="U168">
        <f>ROUND((Source!FY97/100)*((ROUND(Source!AF97*Source!I97, 2)+ROUND(Source!AE97*Source!I97, 2))), 2)</f>
        <v>0</v>
      </c>
      <c r="V168">
        <f>Source!Y97</f>
        <v>0</v>
      </c>
    </row>
    <row r="169" spans="1:26" ht="15" x14ac:dyDescent="0.25">
      <c r="G169" s="58">
        <f>H168</f>
        <v>1119.0999999999999</v>
      </c>
      <c r="H169" s="58"/>
      <c r="J169" s="58">
        <f>K168</f>
        <v>9489.9699999999993</v>
      </c>
      <c r="K169" s="58"/>
      <c r="L169" s="46">
        <f>Source!U97</f>
        <v>0</v>
      </c>
      <c r="O169" s="31">
        <f>G169</f>
        <v>1119.0999999999999</v>
      </c>
      <c r="P169" s="31">
        <f>J169</f>
        <v>9489.9699999999993</v>
      </c>
      <c r="Q169" s="31">
        <f>L169</f>
        <v>0</v>
      </c>
      <c r="W169">
        <f>IF(Source!BI97&lt;=1,H168, 0)</f>
        <v>1119.0999999999999</v>
      </c>
      <c r="X169">
        <f>IF(Source!BI97=2,H168, 0)</f>
        <v>0</v>
      </c>
      <c r="Y169">
        <f>IF(Source!BI97=3,H168, 0)</f>
        <v>0</v>
      </c>
      <c r="Z169">
        <f>IF(Source!BI97=4,H168, 0)</f>
        <v>0</v>
      </c>
    </row>
    <row r="171" spans="1:26" ht="15" x14ac:dyDescent="0.25">
      <c r="B171" s="59" t="str">
        <f>Source!G98</f>
        <v>Прогоны, ограждение кровли</v>
      </c>
      <c r="C171" s="59"/>
      <c r="D171" s="59"/>
      <c r="E171" s="59"/>
      <c r="F171" s="59"/>
      <c r="G171" s="59"/>
      <c r="H171" s="59"/>
      <c r="I171" s="59"/>
      <c r="J171" s="59"/>
      <c r="K171" s="59"/>
    </row>
    <row r="172" spans="1:26" ht="28.5" x14ac:dyDescent="0.2">
      <c r="A172" s="52">
        <v>31</v>
      </c>
      <c r="B172" s="52" t="str">
        <f>Source!F99</f>
        <v>09-03-015-01</v>
      </c>
      <c r="C172" s="52" t="str">
        <f>Source!G99</f>
        <v>Монтаж прогонов при шаге ферм до 12 м при высоте здания: до 25 м</v>
      </c>
      <c r="D172" s="36" t="str">
        <f>Source!H99</f>
        <v>т</v>
      </c>
      <c r="E172" s="10">
        <f>Source!I99</f>
        <v>60.176000000000002</v>
      </c>
      <c r="F172" s="37">
        <f>Source!AL99+Source!AM99+Source!AO99</f>
        <v>489.65000000000003</v>
      </c>
      <c r="G172" s="38"/>
      <c r="H172" s="37"/>
      <c r="I172" s="38" t="str">
        <f>Source!BO99</f>
        <v/>
      </c>
      <c r="J172" s="38"/>
      <c r="K172" s="37"/>
      <c r="L172" s="39"/>
      <c r="S172">
        <f>ROUND((Source!FX99/100)*((ROUND(Source!AF99*Source!I99, 2)+ROUND(Source!AE99*Source!I99, 2))), 2)</f>
        <v>9654.85</v>
      </c>
      <c r="T172">
        <f>Source!X99</f>
        <v>283176.87</v>
      </c>
      <c r="U172">
        <f>ROUND((Source!FY99/100)*((ROUND(Source!AF99*Source!I99, 2)+ROUND(Source!AE99*Source!I99, 2))), 2)</f>
        <v>6436.57</v>
      </c>
      <c r="V172">
        <f>Source!Y99</f>
        <v>188784.58</v>
      </c>
    </row>
    <row r="173" spans="1:26" ht="14.25" x14ac:dyDescent="0.2">
      <c r="A173" s="52"/>
      <c r="B173" s="52"/>
      <c r="C173" s="52" t="s">
        <v>623</v>
      </c>
      <c r="D173" s="36"/>
      <c r="E173" s="10"/>
      <c r="F173" s="37">
        <f>Source!AO99</f>
        <v>123.23</v>
      </c>
      <c r="G173" s="38" t="str">
        <f>Source!DG99</f>
        <v>)*1,15</v>
      </c>
      <c r="H173" s="37">
        <f>ROUND(Source!AF99*Source!I99, 2)</f>
        <v>8527.5400000000009</v>
      </c>
      <c r="I173" s="38"/>
      <c r="J173" s="38">
        <f>IF(Source!BA99&lt;&gt; 0, Source!BA99, 1)</f>
        <v>29.33</v>
      </c>
      <c r="K173" s="37">
        <f>Source!S99</f>
        <v>250112.78</v>
      </c>
      <c r="L173" s="39"/>
      <c r="R173">
        <f>H173</f>
        <v>8527.5400000000009</v>
      </c>
    </row>
    <row r="174" spans="1:26" ht="14.25" x14ac:dyDescent="0.2">
      <c r="A174" s="52"/>
      <c r="B174" s="52"/>
      <c r="C174" s="52" t="s">
        <v>110</v>
      </c>
      <c r="D174" s="36"/>
      <c r="E174" s="10"/>
      <c r="F174" s="37">
        <f>Source!AM99</f>
        <v>280.93</v>
      </c>
      <c r="G174" s="38" t="str">
        <f>Source!DE99</f>
        <v>)*1,25</v>
      </c>
      <c r="H174" s="37">
        <f>ROUND(((((Source!ET99*1.25))-((Source!EU99*1.25)))+Source!AE99)*Source!I99, 2)</f>
        <v>21131.4</v>
      </c>
      <c r="I174" s="38"/>
      <c r="J174" s="38">
        <f>IF(Source!BB99&lt;&gt; 0, Source!BB99, 1)</f>
        <v>11.52</v>
      </c>
      <c r="K174" s="37">
        <f>Source!Q99</f>
        <v>243431.1</v>
      </c>
      <c r="L174" s="39"/>
    </row>
    <row r="175" spans="1:26" ht="14.25" x14ac:dyDescent="0.2">
      <c r="A175" s="52"/>
      <c r="B175" s="52"/>
      <c r="C175" s="52" t="s">
        <v>629</v>
      </c>
      <c r="D175" s="36"/>
      <c r="E175" s="10"/>
      <c r="F175" s="37">
        <f>Source!AN99</f>
        <v>24.65</v>
      </c>
      <c r="G175" s="38" t="str">
        <f>Source!DF99</f>
        <v>)*1,25</v>
      </c>
      <c r="H175" s="47">
        <f>ROUND(Source!AE99*Source!I99, 2)</f>
        <v>1854.02</v>
      </c>
      <c r="I175" s="38"/>
      <c r="J175" s="38">
        <f>IF(Source!BS99&lt;&gt; 0, Source!BS99, 1)</f>
        <v>29.33</v>
      </c>
      <c r="K175" s="47">
        <f>Source!R99</f>
        <v>54378.48</v>
      </c>
      <c r="L175" s="39"/>
      <c r="R175">
        <f>H175</f>
        <v>1854.02</v>
      </c>
    </row>
    <row r="176" spans="1:26" ht="14.25" x14ac:dyDescent="0.2">
      <c r="A176" s="52"/>
      <c r="B176" s="52"/>
      <c r="C176" s="52" t="s">
        <v>631</v>
      </c>
      <c r="D176" s="36"/>
      <c r="E176" s="10"/>
      <c r="F176" s="37">
        <f>Source!AL99</f>
        <v>85.49</v>
      </c>
      <c r="G176" s="38" t="str">
        <f>Source!DD99</f>
        <v/>
      </c>
      <c r="H176" s="37">
        <f>ROUND(Source!AC99*Source!I99, 2)</f>
        <v>5144.45</v>
      </c>
      <c r="I176" s="38"/>
      <c r="J176" s="38">
        <f>IF(Source!BC99&lt;&gt; 0, Source!BC99, 1)</f>
        <v>8.48</v>
      </c>
      <c r="K176" s="37">
        <f>Source!P99</f>
        <v>43624.9</v>
      </c>
      <c r="L176" s="39"/>
    </row>
    <row r="177" spans="1:26" ht="14.25" x14ac:dyDescent="0.2">
      <c r="A177" s="52"/>
      <c r="B177" s="52"/>
      <c r="C177" s="52" t="s">
        <v>624</v>
      </c>
      <c r="D177" s="36" t="s">
        <v>625</v>
      </c>
      <c r="E177" s="10">
        <f>Source!BZ99</f>
        <v>93</v>
      </c>
      <c r="F177" s="54"/>
      <c r="G177" s="38"/>
      <c r="H177" s="37">
        <f>SUM(S172:S179)</f>
        <v>9654.85</v>
      </c>
      <c r="I177" s="40"/>
      <c r="J177" s="35">
        <f>Source!AT99</f>
        <v>93</v>
      </c>
      <c r="K177" s="37">
        <f>SUM(T172:T179)</f>
        <v>283176.87</v>
      </c>
      <c r="L177" s="39"/>
    </row>
    <row r="178" spans="1:26" ht="14.25" x14ac:dyDescent="0.2">
      <c r="A178" s="52"/>
      <c r="B178" s="52"/>
      <c r="C178" s="52" t="s">
        <v>626</v>
      </c>
      <c r="D178" s="36" t="s">
        <v>625</v>
      </c>
      <c r="E178" s="10">
        <f>Source!CA99</f>
        <v>62</v>
      </c>
      <c r="F178" s="54"/>
      <c r="G178" s="38"/>
      <c r="H178" s="37">
        <f>SUM(U172:U179)</f>
        <v>6436.57</v>
      </c>
      <c r="I178" s="40"/>
      <c r="J178" s="35">
        <f>Source!AU99</f>
        <v>62</v>
      </c>
      <c r="K178" s="37">
        <f>SUM(V172:V179)</f>
        <v>188784.58</v>
      </c>
      <c r="L178" s="39"/>
    </row>
    <row r="179" spans="1:26" ht="14.25" x14ac:dyDescent="0.2">
      <c r="A179" s="53"/>
      <c r="B179" s="53"/>
      <c r="C179" s="53" t="s">
        <v>627</v>
      </c>
      <c r="D179" s="41" t="s">
        <v>628</v>
      </c>
      <c r="E179" s="42">
        <f>Source!AQ99</f>
        <v>14.1</v>
      </c>
      <c r="F179" s="43"/>
      <c r="G179" s="44" t="str">
        <f>Source!DI99</f>
        <v>)*1,15</v>
      </c>
      <c r="H179" s="43"/>
      <c r="I179" s="44"/>
      <c r="J179" s="44"/>
      <c r="K179" s="43"/>
      <c r="L179" s="45">
        <f>Source!U99</f>
        <v>975.75383999999997</v>
      </c>
    </row>
    <row r="180" spans="1:26" ht="15" x14ac:dyDescent="0.25">
      <c r="G180" s="58">
        <f>H173+H174+H176+H177+H178</f>
        <v>50894.81</v>
      </c>
      <c r="H180" s="58"/>
      <c r="J180" s="58">
        <f>K173+K174+K176+K177+K178</f>
        <v>1009130.23</v>
      </c>
      <c r="K180" s="58"/>
      <c r="L180" s="46">
        <f>Source!U99</f>
        <v>975.75383999999997</v>
      </c>
      <c r="O180" s="31">
        <f>G180</f>
        <v>50894.81</v>
      </c>
      <c r="P180" s="31">
        <f>J180</f>
        <v>1009130.23</v>
      </c>
      <c r="Q180" s="31">
        <f>L180</f>
        <v>975.75383999999997</v>
      </c>
      <c r="W180">
        <f>IF(Source!BI99&lt;=1,H173+H174+H176+H177+H178, 0)</f>
        <v>50894.81</v>
      </c>
      <c r="X180">
        <f>IF(Source!BI99=2,H173+H174+H176+H177+H178, 0)</f>
        <v>0</v>
      </c>
      <c r="Y180">
        <f>IF(Source!BI99=3,H173+H174+H176+H177+H178, 0)</f>
        <v>0</v>
      </c>
      <c r="Z180">
        <f>IF(Source!BI99=4,H173+H174+H176+H177+H178, 0)</f>
        <v>0</v>
      </c>
    </row>
    <row r="181" spans="1:26" ht="85.5" x14ac:dyDescent="0.2">
      <c r="A181" s="52">
        <v>32</v>
      </c>
      <c r="B181" s="52" t="str">
        <f>Source!F100</f>
        <v>м38-01-002-03</v>
      </c>
      <c r="C181" s="52" t="str">
        <f>Source!G100</f>
        <v>Монорельсы, балки и другие аналогичные конструкции промышленных зданий, сборка с помощью: лебедок электрических (с установкой и снятием их в процессе работы)</v>
      </c>
      <c r="D181" s="36" t="str">
        <f>Source!H100</f>
        <v>т</v>
      </c>
      <c r="E181" s="10">
        <f>Source!I100</f>
        <v>59.58</v>
      </c>
      <c r="F181" s="37">
        <f>Source!AL100+Source!AM100+Source!AO100</f>
        <v>539.04</v>
      </c>
      <c r="G181" s="38"/>
      <c r="H181" s="37"/>
      <c r="I181" s="38" t="str">
        <f>Source!BO100</f>
        <v/>
      </c>
      <c r="J181" s="38"/>
      <c r="K181" s="37"/>
      <c r="L181" s="39"/>
      <c r="S181">
        <f>ROUND((Source!FX100/100)*((ROUND(Source!AF100*Source!I100, 2)+ROUND(Source!AE100*Source!I100, 2))), 2)</f>
        <v>16103.22</v>
      </c>
      <c r="T181">
        <f>Source!X100</f>
        <v>472307.53</v>
      </c>
      <c r="U181">
        <f>ROUND((Source!FY100/100)*((ROUND(Source!AF100*Source!I100, 2)+ROUND(Source!AE100*Source!I100, 2))), 2)</f>
        <v>8051.61</v>
      </c>
      <c r="V181">
        <f>Source!Y100</f>
        <v>236153.76</v>
      </c>
    </row>
    <row r="182" spans="1:26" ht="14.25" x14ac:dyDescent="0.2">
      <c r="A182" s="52"/>
      <c r="B182" s="52"/>
      <c r="C182" s="52" t="s">
        <v>623</v>
      </c>
      <c r="D182" s="36"/>
      <c r="E182" s="10"/>
      <c r="F182" s="37">
        <f>Source!AO100</f>
        <v>267.44</v>
      </c>
      <c r="G182" s="38" t="str">
        <f>Source!DG100</f>
        <v/>
      </c>
      <c r="H182" s="37">
        <f>ROUND(Source!AF100*Source!I100, 2)</f>
        <v>15934.08</v>
      </c>
      <c r="I182" s="38"/>
      <c r="J182" s="38">
        <f>IF(Source!BA100&lt;&gt; 0, Source!BA100, 1)</f>
        <v>29.33</v>
      </c>
      <c r="K182" s="37">
        <f>Source!S100</f>
        <v>467346.43</v>
      </c>
      <c r="L182" s="39"/>
      <c r="R182">
        <f>H182</f>
        <v>15934.08</v>
      </c>
    </row>
    <row r="183" spans="1:26" ht="14.25" x14ac:dyDescent="0.2">
      <c r="A183" s="52"/>
      <c r="B183" s="52"/>
      <c r="C183" s="52" t="s">
        <v>110</v>
      </c>
      <c r="D183" s="36"/>
      <c r="E183" s="10"/>
      <c r="F183" s="37">
        <f>Source!AM100</f>
        <v>230.05</v>
      </c>
      <c r="G183" s="38" t="str">
        <f>Source!DE100</f>
        <v/>
      </c>
      <c r="H183" s="37">
        <f>ROUND((((Source!ET100)-(Source!EU100))+Source!AE100)*Source!I100, 2)</f>
        <v>13706.38</v>
      </c>
      <c r="I183" s="38"/>
      <c r="J183" s="38">
        <f>IF(Source!BB100&lt;&gt; 0, Source!BB100, 1)</f>
        <v>11.52</v>
      </c>
      <c r="K183" s="37">
        <f>Source!Q100</f>
        <v>157897.49</v>
      </c>
      <c r="L183" s="39"/>
    </row>
    <row r="184" spans="1:26" ht="14.25" x14ac:dyDescent="0.2">
      <c r="A184" s="52"/>
      <c r="B184" s="52"/>
      <c r="C184" s="52" t="s">
        <v>629</v>
      </c>
      <c r="D184" s="36"/>
      <c r="E184" s="10"/>
      <c r="F184" s="37">
        <f>Source!AN100</f>
        <v>32.869999999999997</v>
      </c>
      <c r="G184" s="38" t="str">
        <f>Source!DF100</f>
        <v/>
      </c>
      <c r="H184" s="47">
        <f>ROUND(Source!AE100*Source!I100, 2)</f>
        <v>1958.39</v>
      </c>
      <c r="I184" s="38"/>
      <c r="J184" s="38">
        <f>IF(Source!BS100&lt;&gt; 0, Source!BS100, 1)</f>
        <v>29.33</v>
      </c>
      <c r="K184" s="47">
        <f>Source!R100</f>
        <v>57439.71</v>
      </c>
      <c r="L184" s="39"/>
      <c r="R184">
        <f>H184</f>
        <v>1958.39</v>
      </c>
    </row>
    <row r="185" spans="1:26" ht="14.25" x14ac:dyDescent="0.2">
      <c r="A185" s="52"/>
      <c r="B185" s="52"/>
      <c r="C185" s="52" t="s">
        <v>631</v>
      </c>
      <c r="D185" s="36"/>
      <c r="E185" s="10"/>
      <c r="F185" s="37">
        <f>Source!AL100</f>
        <v>41.55</v>
      </c>
      <c r="G185" s="38" t="str">
        <f>Source!DD100</f>
        <v/>
      </c>
      <c r="H185" s="37">
        <f>ROUND(Source!AC100*Source!I100, 2)</f>
        <v>2475.5500000000002</v>
      </c>
      <c r="I185" s="38"/>
      <c r="J185" s="38">
        <f>IF(Source!BC100&lt;&gt; 0, Source!BC100, 1)</f>
        <v>8.48</v>
      </c>
      <c r="K185" s="37">
        <f>Source!P100</f>
        <v>20992.66</v>
      </c>
      <c r="L185" s="39"/>
    </row>
    <row r="186" spans="1:26" ht="14.25" x14ac:dyDescent="0.2">
      <c r="A186" s="52"/>
      <c r="B186" s="52"/>
      <c r="C186" s="52" t="s">
        <v>624</v>
      </c>
      <c r="D186" s="36" t="s">
        <v>625</v>
      </c>
      <c r="E186" s="10">
        <f>Source!BZ100</f>
        <v>90</v>
      </c>
      <c r="F186" s="54"/>
      <c r="G186" s="38"/>
      <c r="H186" s="37">
        <f>SUM(S181:S188)</f>
        <v>16103.22</v>
      </c>
      <c r="I186" s="40"/>
      <c r="J186" s="35">
        <f>Source!AT100</f>
        <v>90</v>
      </c>
      <c r="K186" s="37">
        <f>SUM(T181:T188)</f>
        <v>472307.53</v>
      </c>
      <c r="L186" s="39"/>
    </row>
    <row r="187" spans="1:26" ht="14.25" x14ac:dyDescent="0.2">
      <c r="A187" s="52"/>
      <c r="B187" s="52"/>
      <c r="C187" s="52" t="s">
        <v>626</v>
      </c>
      <c r="D187" s="36" t="s">
        <v>625</v>
      </c>
      <c r="E187" s="10">
        <f>Source!CA100</f>
        <v>45</v>
      </c>
      <c r="F187" s="54"/>
      <c r="G187" s="38"/>
      <c r="H187" s="37">
        <f>SUM(U181:U188)</f>
        <v>8051.61</v>
      </c>
      <c r="I187" s="40"/>
      <c r="J187" s="35">
        <f>Source!AU100</f>
        <v>45</v>
      </c>
      <c r="K187" s="37">
        <f>SUM(V181:V188)</f>
        <v>236153.76</v>
      </c>
      <c r="L187" s="39"/>
    </row>
    <row r="188" spans="1:26" ht="14.25" x14ac:dyDescent="0.2">
      <c r="A188" s="53"/>
      <c r="B188" s="53"/>
      <c r="C188" s="53" t="s">
        <v>627</v>
      </c>
      <c r="D188" s="41" t="s">
        <v>628</v>
      </c>
      <c r="E188" s="42">
        <f>Source!AQ100</f>
        <v>27.8</v>
      </c>
      <c r="F188" s="43"/>
      <c r="G188" s="44" t="str">
        <f>Source!DI100</f>
        <v/>
      </c>
      <c r="H188" s="43"/>
      <c r="I188" s="44"/>
      <c r="J188" s="44"/>
      <c r="K188" s="43"/>
      <c r="L188" s="45">
        <f>Source!U100</f>
        <v>1656.3240000000001</v>
      </c>
    </row>
    <row r="189" spans="1:26" ht="15" x14ac:dyDescent="0.25">
      <c r="G189" s="58">
        <f>H182+H183+H185+H186+H187</f>
        <v>56270.84</v>
      </c>
      <c r="H189" s="58"/>
      <c r="J189" s="58">
        <f>K182+K183+K185+K186+K187</f>
        <v>1354697.8699999999</v>
      </c>
      <c r="K189" s="58"/>
      <c r="L189" s="46">
        <f>Source!U100</f>
        <v>1656.3240000000001</v>
      </c>
      <c r="O189" s="31">
        <f>G189</f>
        <v>56270.84</v>
      </c>
      <c r="P189" s="31">
        <f>J189</f>
        <v>1354697.8699999999</v>
      </c>
      <c r="Q189" s="31">
        <f>L189</f>
        <v>1656.3240000000001</v>
      </c>
      <c r="W189">
        <f>IF(Source!BI100&lt;=1,H182+H183+H185+H186+H187, 0)</f>
        <v>0</v>
      </c>
      <c r="X189">
        <f>IF(Source!BI100=2,H182+H183+H185+H186+H187, 0)</f>
        <v>56270.84</v>
      </c>
      <c r="Y189">
        <f>IF(Source!BI100=3,H182+H183+H185+H186+H187, 0)</f>
        <v>0</v>
      </c>
      <c r="Z189">
        <f>IF(Source!BI100=4,H182+H183+H185+H186+H187, 0)</f>
        <v>0</v>
      </c>
    </row>
    <row r="190" spans="1:26" ht="42.75" x14ac:dyDescent="0.2">
      <c r="A190" s="53">
        <v>33</v>
      </c>
      <c r="B190" s="53" t="str">
        <f>Source!F101</f>
        <v>Цена поставщика</v>
      </c>
      <c r="C190" s="53" t="s">
        <v>647</v>
      </c>
      <c r="D190" s="41" t="str">
        <f>Source!H101</f>
        <v>т</v>
      </c>
      <c r="E190" s="42">
        <f>Source!I101</f>
        <v>58.548000000000002</v>
      </c>
      <c r="F190" s="43">
        <f>Source!AL101</f>
        <v>9252.2499999999982</v>
      </c>
      <c r="G190" s="44" t="str">
        <f>Source!DD101</f>
        <v/>
      </c>
      <c r="H190" s="43">
        <f>ROUND(Source!AC101*Source!I101, 2)</f>
        <v>541700.73</v>
      </c>
      <c r="I190" s="44" t="str">
        <f>Source!BO101</f>
        <v/>
      </c>
      <c r="J190" s="44">
        <f>IF(Source!BC101&lt;&gt; 0, Source!BC101, 1)</f>
        <v>8.48</v>
      </c>
      <c r="K190" s="43">
        <f>Source!P101</f>
        <v>4593622.22</v>
      </c>
      <c r="L190" s="48"/>
      <c r="S190">
        <f>ROUND((Source!FX101/100)*((ROUND(Source!AF101*Source!I101, 2)+ROUND(Source!AE101*Source!I101, 2))), 2)</f>
        <v>0</v>
      </c>
      <c r="T190">
        <f>Source!X101</f>
        <v>0</v>
      </c>
      <c r="U190">
        <f>ROUND((Source!FY101/100)*((ROUND(Source!AF101*Source!I101, 2)+ROUND(Source!AE101*Source!I101, 2))), 2)</f>
        <v>0</v>
      </c>
      <c r="V190">
        <f>Source!Y101</f>
        <v>0</v>
      </c>
    </row>
    <row r="191" spans="1:26" ht="15" x14ac:dyDescent="0.25">
      <c r="G191" s="58">
        <f>H190</f>
        <v>541700.73</v>
      </c>
      <c r="H191" s="58"/>
      <c r="J191" s="58">
        <f>K190</f>
        <v>4593622.22</v>
      </c>
      <c r="K191" s="58"/>
      <c r="L191" s="46">
        <f>Source!U101</f>
        <v>0</v>
      </c>
      <c r="O191" s="31">
        <f>G191</f>
        <v>541700.73</v>
      </c>
      <c r="P191" s="31">
        <f>J191</f>
        <v>4593622.22</v>
      </c>
      <c r="Q191" s="31">
        <f>L191</f>
        <v>0</v>
      </c>
      <c r="W191">
        <f>IF(Source!BI101&lt;=1,H190, 0)</f>
        <v>541700.73</v>
      </c>
      <c r="X191">
        <f>IF(Source!BI101=2,H190, 0)</f>
        <v>0</v>
      </c>
      <c r="Y191">
        <f>IF(Source!BI101=3,H190, 0)</f>
        <v>0</v>
      </c>
      <c r="Z191">
        <f>IF(Source!BI101=4,H190, 0)</f>
        <v>0</v>
      </c>
    </row>
    <row r="192" spans="1:26" ht="42.75" x14ac:dyDescent="0.2">
      <c r="A192" s="53">
        <v>34</v>
      </c>
      <c r="B192" s="53" t="str">
        <f>Source!F102</f>
        <v>Цена поставщика</v>
      </c>
      <c r="C192" s="53" t="s">
        <v>648</v>
      </c>
      <c r="D192" s="41" t="str">
        <f>Source!H102</f>
        <v>т</v>
      </c>
      <c r="E192" s="42">
        <f>Source!I102</f>
        <v>2.2235999999999998</v>
      </c>
      <c r="F192" s="43">
        <f>Source!AL102</f>
        <v>7900.7900000000009</v>
      </c>
      <c r="G192" s="44" t="str">
        <f>Source!DD102</f>
        <v/>
      </c>
      <c r="H192" s="43">
        <f>ROUND(Source!AC102*Source!I102, 2)</f>
        <v>17568.2</v>
      </c>
      <c r="I192" s="44" t="str">
        <f>Source!BO102</f>
        <v/>
      </c>
      <c r="J192" s="44">
        <f>IF(Source!BC102&lt;&gt; 0, Source!BC102, 1)</f>
        <v>8.48</v>
      </c>
      <c r="K192" s="43">
        <f>Source!P102</f>
        <v>148978.31</v>
      </c>
      <c r="L192" s="48"/>
      <c r="S192">
        <f>ROUND((Source!FX102/100)*((ROUND(Source!AF102*Source!I102, 2)+ROUND(Source!AE102*Source!I102, 2))), 2)</f>
        <v>0</v>
      </c>
      <c r="T192">
        <f>Source!X102</f>
        <v>0</v>
      </c>
      <c r="U192">
        <f>ROUND((Source!FY102/100)*((ROUND(Source!AF102*Source!I102, 2)+ROUND(Source!AE102*Source!I102, 2))), 2)</f>
        <v>0</v>
      </c>
      <c r="V192">
        <f>Source!Y102</f>
        <v>0</v>
      </c>
    </row>
    <row r="193" spans="1:26" ht="15" x14ac:dyDescent="0.25">
      <c r="G193" s="58">
        <f>H192</f>
        <v>17568.2</v>
      </c>
      <c r="H193" s="58"/>
      <c r="J193" s="58">
        <f>K192</f>
        <v>148978.31</v>
      </c>
      <c r="K193" s="58"/>
      <c r="L193" s="46">
        <f>Source!U102</f>
        <v>0</v>
      </c>
      <c r="O193" s="31">
        <f>G193</f>
        <v>17568.2</v>
      </c>
      <c r="P193" s="31">
        <f>J193</f>
        <v>148978.31</v>
      </c>
      <c r="Q193" s="31">
        <f>L193</f>
        <v>0</v>
      </c>
      <c r="W193">
        <f>IF(Source!BI102&lt;=1,H192, 0)</f>
        <v>17568.2</v>
      </c>
      <c r="X193">
        <f>IF(Source!BI102=2,H192, 0)</f>
        <v>0</v>
      </c>
      <c r="Y193">
        <f>IF(Source!BI102=3,H192, 0)</f>
        <v>0</v>
      </c>
      <c r="Z193">
        <f>IF(Source!BI102=4,H192, 0)</f>
        <v>0</v>
      </c>
    </row>
    <row r="194" spans="1:26" ht="28.5" x14ac:dyDescent="0.2">
      <c r="A194" s="52">
        <v>35</v>
      </c>
      <c r="B194" s="52" t="str">
        <f>Source!F103</f>
        <v>12-01-012-01</v>
      </c>
      <c r="C194" s="52" t="str">
        <f>Source!G103</f>
        <v>Ограждение кровель перилами</v>
      </c>
      <c r="D194" s="36" t="str">
        <f>Source!H103</f>
        <v>100 м</v>
      </c>
      <c r="E194" s="10">
        <f>Source!I103</f>
        <v>6.62</v>
      </c>
      <c r="F194" s="37">
        <f>Source!AL103+Source!AM103+Source!AO103</f>
        <v>120.19</v>
      </c>
      <c r="G194" s="38"/>
      <c r="H194" s="37"/>
      <c r="I194" s="38" t="str">
        <f>Source!BO103</f>
        <v/>
      </c>
      <c r="J194" s="38"/>
      <c r="K194" s="37"/>
      <c r="L194" s="39"/>
      <c r="S194">
        <f>ROUND((Source!FX103/100)*((ROUND(Source!AF103*Source!I103, 2)+ROUND(Source!AE103*Source!I103, 2))), 2)</f>
        <v>513.98</v>
      </c>
      <c r="T194">
        <f>Source!X103</f>
        <v>15075.08</v>
      </c>
      <c r="U194">
        <f>ROUND((Source!FY103/100)*((ROUND(Source!AF103*Source!I103, 2)+ROUND(Source!AE103*Source!I103, 2))), 2)</f>
        <v>268.77999999999997</v>
      </c>
      <c r="V194">
        <f>Source!Y103</f>
        <v>7883.3</v>
      </c>
    </row>
    <row r="195" spans="1:26" x14ac:dyDescent="0.2">
      <c r="C195" s="30" t="str">
        <f>"Объем: "&amp;Source!I103&amp;"=662/"&amp;"100"</f>
        <v>Объем: 6,62=662/100</v>
      </c>
    </row>
    <row r="196" spans="1:26" ht="42.75" x14ac:dyDescent="0.2">
      <c r="A196" s="52"/>
      <c r="B196" s="52"/>
      <c r="C196" s="52" t="s">
        <v>623</v>
      </c>
      <c r="D196" s="36"/>
      <c r="E196" s="10"/>
      <c r="F196" s="37">
        <f>Source!AO103</f>
        <v>52.27</v>
      </c>
      <c r="G196" s="38" t="str">
        <f>Source!DG103</f>
        <v>)*(1+0,005*(30-15)))*1,15</v>
      </c>
      <c r="H196" s="37">
        <f>ROUND(Source!AF103*Source!I103, 2)</f>
        <v>427.78</v>
      </c>
      <c r="I196" s="38"/>
      <c r="J196" s="38">
        <f>IF(Source!BA103&lt;&gt; 0, Source!BA103, 1)</f>
        <v>29.33</v>
      </c>
      <c r="K196" s="37">
        <f>Source!S103</f>
        <v>12546.92</v>
      </c>
      <c r="L196" s="39"/>
      <c r="R196">
        <f>H196</f>
        <v>427.78</v>
      </c>
    </row>
    <row r="197" spans="1:26" ht="14.25" x14ac:dyDescent="0.2">
      <c r="A197" s="52"/>
      <c r="B197" s="52"/>
      <c r="C197" s="52" t="s">
        <v>110</v>
      </c>
      <c r="D197" s="36"/>
      <c r="E197" s="10"/>
      <c r="F197" s="37">
        <f>Source!AM103</f>
        <v>48.51</v>
      </c>
      <c r="G197" s="38" t="str">
        <f>Source!DE103</f>
        <v>)*1,25</v>
      </c>
      <c r="H197" s="37">
        <f>ROUND(((((Source!ET103*1.25))-((Source!EU103*1.25)))+Source!AE103)*Source!I103, 2)</f>
        <v>401.4</v>
      </c>
      <c r="I197" s="38"/>
      <c r="J197" s="38">
        <f>IF(Source!BB103&lt;&gt; 0, Source!BB103, 1)</f>
        <v>11.52</v>
      </c>
      <c r="K197" s="37">
        <f>Source!Q103</f>
        <v>4623.88</v>
      </c>
      <c r="L197" s="39"/>
    </row>
    <row r="198" spans="1:26" ht="14.25" x14ac:dyDescent="0.2">
      <c r="A198" s="52"/>
      <c r="B198" s="52"/>
      <c r="C198" s="52" t="s">
        <v>629</v>
      </c>
      <c r="D198" s="36"/>
      <c r="E198" s="10"/>
      <c r="F198" s="37">
        <f>Source!AN103</f>
        <v>5.29</v>
      </c>
      <c r="G198" s="38" t="str">
        <f>Source!DF103</f>
        <v>)*1,25</v>
      </c>
      <c r="H198" s="47">
        <f>ROUND(Source!AE103*Source!I103, 2)</f>
        <v>43.76</v>
      </c>
      <c r="I198" s="38"/>
      <c r="J198" s="38">
        <f>IF(Source!BS103&lt;&gt; 0, Source!BS103, 1)</f>
        <v>29.33</v>
      </c>
      <c r="K198" s="47">
        <f>Source!R103</f>
        <v>1283.43</v>
      </c>
      <c r="L198" s="39"/>
      <c r="R198">
        <f>H198</f>
        <v>43.76</v>
      </c>
    </row>
    <row r="199" spans="1:26" ht="14.25" x14ac:dyDescent="0.2">
      <c r="A199" s="52"/>
      <c r="B199" s="52"/>
      <c r="C199" s="52" t="s">
        <v>631</v>
      </c>
      <c r="D199" s="36"/>
      <c r="E199" s="10"/>
      <c r="F199" s="37">
        <f>Source!AL103</f>
        <v>19.41</v>
      </c>
      <c r="G199" s="38" t="str">
        <f>Source!DD103</f>
        <v/>
      </c>
      <c r="H199" s="37">
        <f>ROUND(Source!AC103*Source!I103, 2)</f>
        <v>128.49</v>
      </c>
      <c r="I199" s="38"/>
      <c r="J199" s="38">
        <f>IF(Source!BC103&lt;&gt; 0, Source!BC103, 1)</f>
        <v>8.48</v>
      </c>
      <c r="K199" s="37">
        <f>Source!P103</f>
        <v>1089.6300000000001</v>
      </c>
      <c r="L199" s="39"/>
    </row>
    <row r="200" spans="1:26" ht="14.25" x14ac:dyDescent="0.2">
      <c r="A200" s="52"/>
      <c r="B200" s="52"/>
      <c r="C200" s="52" t="s">
        <v>624</v>
      </c>
      <c r="D200" s="36" t="s">
        <v>625</v>
      </c>
      <c r="E200" s="10">
        <f>Source!BZ103</f>
        <v>109</v>
      </c>
      <c r="F200" s="54"/>
      <c r="G200" s="38"/>
      <c r="H200" s="37">
        <f>SUM(S194:S202)</f>
        <v>513.98</v>
      </c>
      <c r="I200" s="40"/>
      <c r="J200" s="35">
        <f>Source!AT103</f>
        <v>109</v>
      </c>
      <c r="K200" s="37">
        <f>SUM(T194:T202)</f>
        <v>15075.08</v>
      </c>
      <c r="L200" s="39"/>
    </row>
    <row r="201" spans="1:26" ht="14.25" x14ac:dyDescent="0.2">
      <c r="A201" s="52"/>
      <c r="B201" s="52"/>
      <c r="C201" s="52" t="s">
        <v>626</v>
      </c>
      <c r="D201" s="36" t="s">
        <v>625</v>
      </c>
      <c r="E201" s="10">
        <f>Source!CA103</f>
        <v>57</v>
      </c>
      <c r="F201" s="54"/>
      <c r="G201" s="38"/>
      <c r="H201" s="37">
        <f>SUM(U194:U202)</f>
        <v>268.77999999999997</v>
      </c>
      <c r="I201" s="40"/>
      <c r="J201" s="35">
        <f>Source!AU103</f>
        <v>57</v>
      </c>
      <c r="K201" s="37">
        <f>SUM(V194:V202)</f>
        <v>7883.3</v>
      </c>
      <c r="L201" s="39"/>
    </row>
    <row r="202" spans="1:26" ht="42.75" x14ac:dyDescent="0.2">
      <c r="A202" s="53"/>
      <c r="B202" s="53"/>
      <c r="C202" s="53" t="s">
        <v>627</v>
      </c>
      <c r="D202" s="41" t="s">
        <v>628</v>
      </c>
      <c r="E202" s="42">
        <f>Source!AQ103</f>
        <v>5.9</v>
      </c>
      <c r="F202" s="43"/>
      <c r="G202" s="44" t="str">
        <f>Source!DI103</f>
        <v>)*(1+0,005*(30-15)))*1,15</v>
      </c>
      <c r="H202" s="43"/>
      <c r="I202" s="44"/>
      <c r="J202" s="44"/>
      <c r="K202" s="43"/>
      <c r="L202" s="45">
        <f>Source!U103</f>
        <v>48.285452499999998</v>
      </c>
    </row>
    <row r="203" spans="1:26" ht="15" x14ac:dyDescent="0.25">
      <c r="G203" s="58">
        <f>H196+H197+H199+H200+H201</f>
        <v>1740.43</v>
      </c>
      <c r="H203" s="58"/>
      <c r="J203" s="58">
        <f>K196+K197+K199+K200+K201</f>
        <v>41218.810000000005</v>
      </c>
      <c r="K203" s="58"/>
      <c r="L203" s="46">
        <f>Source!U103</f>
        <v>48.285452499999998</v>
      </c>
      <c r="O203" s="31">
        <f>G203</f>
        <v>1740.43</v>
      </c>
      <c r="P203" s="31">
        <f>J203</f>
        <v>41218.810000000005</v>
      </c>
      <c r="Q203" s="31">
        <f>L203</f>
        <v>48.285452499999998</v>
      </c>
      <c r="W203">
        <f>IF(Source!BI103&lt;=1,H196+H197+H199+H200+H201, 0)</f>
        <v>1740.43</v>
      </c>
      <c r="X203">
        <f>IF(Source!BI103=2,H196+H197+H199+H200+H201, 0)</f>
        <v>0</v>
      </c>
      <c r="Y203">
        <f>IF(Source!BI103=3,H196+H197+H199+H200+H201, 0)</f>
        <v>0</v>
      </c>
      <c r="Z203">
        <f>IF(Source!BI103=4,H196+H197+H199+H200+H201, 0)</f>
        <v>0</v>
      </c>
    </row>
    <row r="204" spans="1:26" ht="71.25" x14ac:dyDescent="0.2">
      <c r="A204" s="52">
        <v>36</v>
      </c>
      <c r="B204" s="52" t="str">
        <f>Source!F104</f>
        <v>м38-01-006-06</v>
      </c>
      <c r="C204" s="52" t="str">
        <f>Source!G104</f>
        <v>Сборка с помощью лебедок электрических (с установкой и снятием их в процессе работы): стремянки, связи, кронштейны, тормозные конструкции и пр.</v>
      </c>
      <c r="D204" s="36" t="str">
        <f>Source!H104</f>
        <v>т</v>
      </c>
      <c r="E204" s="10">
        <f>Source!I104</f>
        <v>3.77</v>
      </c>
      <c r="F204" s="37">
        <f>Source!AL104+Source!AM104+Source!AO104</f>
        <v>3333</v>
      </c>
      <c r="G204" s="38"/>
      <c r="H204" s="37"/>
      <c r="I204" s="38" t="str">
        <f>Source!BO104</f>
        <v/>
      </c>
      <c r="J204" s="38"/>
      <c r="K204" s="37"/>
      <c r="L204" s="39"/>
      <c r="S204">
        <f>ROUND((Source!FX104/100)*((ROUND(Source!AF104*Source!I104, 2)+ROUND(Source!AE104*Source!I104, 2))), 2)</f>
        <v>4289.54</v>
      </c>
      <c r="T204">
        <f>Source!X104</f>
        <v>125811.98</v>
      </c>
      <c r="U204">
        <f>ROUND((Source!FY104/100)*((ROUND(Source!AF104*Source!I104, 2)+ROUND(Source!AE104*Source!I104, 2))), 2)</f>
        <v>2144.77</v>
      </c>
      <c r="V204">
        <f>Source!Y104</f>
        <v>62905.99</v>
      </c>
    </row>
    <row r="205" spans="1:26" ht="14.25" x14ac:dyDescent="0.2">
      <c r="A205" s="52"/>
      <c r="B205" s="52"/>
      <c r="C205" s="52" t="s">
        <v>623</v>
      </c>
      <c r="D205" s="36"/>
      <c r="E205" s="10"/>
      <c r="F205" s="37">
        <f>Source!AO104</f>
        <v>1222</v>
      </c>
      <c r="G205" s="38" t="str">
        <f>Source!DG104</f>
        <v/>
      </c>
      <c r="H205" s="37">
        <f>ROUND(Source!AF104*Source!I104, 2)</f>
        <v>4606.9399999999996</v>
      </c>
      <c r="I205" s="38"/>
      <c r="J205" s="38">
        <f>IF(Source!BA104&lt;&gt; 0, Source!BA104, 1)</f>
        <v>29.33</v>
      </c>
      <c r="K205" s="37">
        <f>Source!S104</f>
        <v>135121.54999999999</v>
      </c>
      <c r="L205" s="39"/>
      <c r="R205">
        <f>H205</f>
        <v>4606.9399999999996</v>
      </c>
    </row>
    <row r="206" spans="1:26" ht="14.25" x14ac:dyDescent="0.2">
      <c r="A206" s="52"/>
      <c r="B206" s="52"/>
      <c r="C206" s="52" t="s">
        <v>110</v>
      </c>
      <c r="D206" s="36"/>
      <c r="E206" s="10"/>
      <c r="F206" s="37">
        <f>Source!AM104</f>
        <v>1896.07</v>
      </c>
      <c r="G206" s="38" t="str">
        <f>Source!DE104</f>
        <v/>
      </c>
      <c r="H206" s="37">
        <f>ROUND((((Source!ET104)-(Source!EU104))+Source!AE104)*Source!I104, 2)</f>
        <v>7148.18</v>
      </c>
      <c r="I206" s="38"/>
      <c r="J206" s="38">
        <f>IF(Source!BB104&lt;&gt; 0, Source!BB104, 1)</f>
        <v>11.52</v>
      </c>
      <c r="K206" s="37">
        <f>Source!Q104</f>
        <v>82347.08</v>
      </c>
      <c r="L206" s="39"/>
    </row>
    <row r="207" spans="1:26" ht="14.25" x14ac:dyDescent="0.2">
      <c r="A207" s="52"/>
      <c r="B207" s="52"/>
      <c r="C207" s="52" t="s">
        <v>629</v>
      </c>
      <c r="D207" s="36"/>
      <c r="E207" s="10"/>
      <c r="F207" s="37">
        <f>Source!AN104</f>
        <v>42.23</v>
      </c>
      <c r="G207" s="38" t="str">
        <f>Source!DF104</f>
        <v/>
      </c>
      <c r="H207" s="47">
        <f>ROUND(Source!AE104*Source!I104, 2)</f>
        <v>159.21</v>
      </c>
      <c r="I207" s="38"/>
      <c r="J207" s="38">
        <f>IF(Source!BS104&lt;&gt; 0, Source!BS104, 1)</f>
        <v>29.33</v>
      </c>
      <c r="K207" s="47">
        <f>Source!R104</f>
        <v>4669.54</v>
      </c>
      <c r="L207" s="39"/>
      <c r="R207">
        <f>H207</f>
        <v>159.21</v>
      </c>
    </row>
    <row r="208" spans="1:26" ht="14.25" x14ac:dyDescent="0.2">
      <c r="A208" s="52"/>
      <c r="B208" s="52"/>
      <c r="C208" s="52" t="s">
        <v>631</v>
      </c>
      <c r="D208" s="36"/>
      <c r="E208" s="10"/>
      <c r="F208" s="37">
        <f>Source!AL104</f>
        <v>214.93</v>
      </c>
      <c r="G208" s="38" t="str">
        <f>Source!DD104</f>
        <v/>
      </c>
      <c r="H208" s="37">
        <f>ROUND(Source!AC104*Source!I104, 2)</f>
        <v>810.29</v>
      </c>
      <c r="I208" s="38"/>
      <c r="J208" s="38">
        <f>IF(Source!BC104&lt;&gt; 0, Source!BC104, 1)</f>
        <v>8.48</v>
      </c>
      <c r="K208" s="37">
        <f>Source!P104</f>
        <v>6871.23</v>
      </c>
      <c r="L208" s="39"/>
    </row>
    <row r="209" spans="1:26" ht="14.25" x14ac:dyDescent="0.2">
      <c r="A209" s="52"/>
      <c r="B209" s="52"/>
      <c r="C209" s="52" t="s">
        <v>624</v>
      </c>
      <c r="D209" s="36" t="s">
        <v>625</v>
      </c>
      <c r="E209" s="10">
        <f>Source!BZ104</f>
        <v>90</v>
      </c>
      <c r="F209" s="54"/>
      <c r="G209" s="38"/>
      <c r="H209" s="37">
        <f>SUM(S204:S211)</f>
        <v>4289.54</v>
      </c>
      <c r="I209" s="40"/>
      <c r="J209" s="35">
        <f>Source!AT104</f>
        <v>90</v>
      </c>
      <c r="K209" s="37">
        <f>SUM(T204:T211)</f>
        <v>125811.98</v>
      </c>
      <c r="L209" s="39"/>
    </row>
    <row r="210" spans="1:26" ht="14.25" x14ac:dyDescent="0.2">
      <c r="A210" s="52"/>
      <c r="B210" s="52"/>
      <c r="C210" s="52" t="s">
        <v>626</v>
      </c>
      <c r="D210" s="36" t="s">
        <v>625</v>
      </c>
      <c r="E210" s="10">
        <f>Source!CA104</f>
        <v>45</v>
      </c>
      <c r="F210" s="54"/>
      <c r="G210" s="38"/>
      <c r="H210" s="37">
        <f>SUM(U204:U211)</f>
        <v>2144.77</v>
      </c>
      <c r="I210" s="40"/>
      <c r="J210" s="35">
        <f>Source!AU104</f>
        <v>45</v>
      </c>
      <c r="K210" s="37">
        <f>SUM(V204:V211)</f>
        <v>62905.99</v>
      </c>
      <c r="L210" s="39"/>
    </row>
    <row r="211" spans="1:26" ht="14.25" x14ac:dyDescent="0.2">
      <c r="A211" s="53"/>
      <c r="B211" s="53"/>
      <c r="C211" s="53" t="s">
        <v>627</v>
      </c>
      <c r="D211" s="41" t="s">
        <v>628</v>
      </c>
      <c r="E211" s="42">
        <f>Source!AQ104</f>
        <v>130</v>
      </c>
      <c r="F211" s="43"/>
      <c r="G211" s="44" t="str">
        <f>Source!DI104</f>
        <v/>
      </c>
      <c r="H211" s="43"/>
      <c r="I211" s="44"/>
      <c r="J211" s="44"/>
      <c r="K211" s="43"/>
      <c r="L211" s="45">
        <f>Source!U104</f>
        <v>490.1</v>
      </c>
    </row>
    <row r="212" spans="1:26" ht="15" x14ac:dyDescent="0.25">
      <c r="G212" s="58">
        <f>H205+H206+H208+H209+H210</f>
        <v>18999.72</v>
      </c>
      <c r="H212" s="58"/>
      <c r="J212" s="58">
        <f>K205+K206+K208+K209+K210</f>
        <v>413057.83</v>
      </c>
      <c r="K212" s="58"/>
      <c r="L212" s="46">
        <f>Source!U104</f>
        <v>490.1</v>
      </c>
      <c r="O212" s="31">
        <f>G212</f>
        <v>18999.72</v>
      </c>
      <c r="P212" s="31">
        <f>J212</f>
        <v>413057.83</v>
      </c>
      <c r="Q212" s="31">
        <f>L212</f>
        <v>490.1</v>
      </c>
      <c r="W212">
        <f>IF(Source!BI104&lt;=1,H205+H206+H208+H209+H210, 0)</f>
        <v>0</v>
      </c>
      <c r="X212">
        <f>IF(Source!BI104=2,H205+H206+H208+H209+H210, 0)</f>
        <v>18999.72</v>
      </c>
      <c r="Y212">
        <f>IF(Source!BI104=3,H205+H206+H208+H209+H210, 0)</f>
        <v>0</v>
      </c>
      <c r="Z212">
        <f>IF(Source!BI104=4,H205+H206+H208+H209+H210, 0)</f>
        <v>0</v>
      </c>
    </row>
    <row r="213" spans="1:26" ht="42.75" x14ac:dyDescent="0.2">
      <c r="A213" s="53">
        <v>37</v>
      </c>
      <c r="B213" s="53" t="str">
        <f>Source!F105</f>
        <v>Цена поставщика</v>
      </c>
      <c r="C213" s="53" t="s">
        <v>649</v>
      </c>
      <c r="D213" s="41" t="str">
        <f>Source!H105</f>
        <v>т</v>
      </c>
      <c r="E213" s="42">
        <f>Source!I105</f>
        <v>3.4660000000000002</v>
      </c>
      <c r="F213" s="43">
        <f>Source!AL105</f>
        <v>7121.12</v>
      </c>
      <c r="G213" s="44" t="str">
        <f>Source!DD105</f>
        <v/>
      </c>
      <c r="H213" s="43">
        <f>ROUND(Source!AC105*Source!I105, 2)</f>
        <v>24681.8</v>
      </c>
      <c r="I213" s="44" t="str">
        <f>Source!BO105</f>
        <v/>
      </c>
      <c r="J213" s="44">
        <f>IF(Source!BC105&lt;&gt; 0, Source!BC105, 1)</f>
        <v>8.48</v>
      </c>
      <c r="K213" s="43">
        <f>Source!P105</f>
        <v>209301.68</v>
      </c>
      <c r="L213" s="48"/>
      <c r="S213">
        <f>ROUND((Source!FX105/100)*((ROUND(Source!AF105*Source!I105, 2)+ROUND(Source!AE105*Source!I105, 2))), 2)</f>
        <v>0</v>
      </c>
      <c r="T213">
        <f>Source!X105</f>
        <v>0</v>
      </c>
      <c r="U213">
        <f>ROUND((Source!FY105/100)*((ROUND(Source!AF105*Source!I105, 2)+ROUND(Source!AE105*Source!I105, 2))), 2)</f>
        <v>0</v>
      </c>
      <c r="V213">
        <f>Source!Y105</f>
        <v>0</v>
      </c>
    </row>
    <row r="214" spans="1:26" ht="15" x14ac:dyDescent="0.25">
      <c r="G214" s="58">
        <f>H213</f>
        <v>24681.8</v>
      </c>
      <c r="H214" s="58"/>
      <c r="J214" s="58">
        <f>K213</f>
        <v>209301.68</v>
      </c>
      <c r="K214" s="58"/>
      <c r="L214" s="46">
        <f>Source!U105</f>
        <v>0</v>
      </c>
      <c r="O214" s="31">
        <f>G214</f>
        <v>24681.8</v>
      </c>
      <c r="P214" s="31">
        <f>J214</f>
        <v>209301.68</v>
      </c>
      <c r="Q214" s="31">
        <f>L214</f>
        <v>0</v>
      </c>
      <c r="W214">
        <f>IF(Source!BI105&lt;=1,H213, 0)</f>
        <v>24681.8</v>
      </c>
      <c r="X214">
        <f>IF(Source!BI105=2,H213, 0)</f>
        <v>0</v>
      </c>
      <c r="Y214">
        <f>IF(Source!BI105=3,H213, 0)</f>
        <v>0</v>
      </c>
      <c r="Z214">
        <f>IF(Source!BI105=4,H213, 0)</f>
        <v>0</v>
      </c>
    </row>
    <row r="215" spans="1:26" ht="42.75" x14ac:dyDescent="0.2">
      <c r="A215" s="53">
        <v>38</v>
      </c>
      <c r="B215" s="53" t="str">
        <f>Source!F106</f>
        <v>Цена поставщика</v>
      </c>
      <c r="C215" s="53" t="s">
        <v>648</v>
      </c>
      <c r="D215" s="41" t="str">
        <f>Source!H106</f>
        <v>т</v>
      </c>
      <c r="E215" s="42">
        <f>Source!I106</f>
        <v>0.53</v>
      </c>
      <c r="F215" s="43">
        <f>Source!AL106</f>
        <v>7900.7900000000009</v>
      </c>
      <c r="G215" s="44" t="str">
        <f>Source!DD106</f>
        <v/>
      </c>
      <c r="H215" s="43">
        <f>ROUND(Source!AC106*Source!I106, 2)</f>
        <v>4187.42</v>
      </c>
      <c r="I215" s="44" t="str">
        <f>Source!BO106</f>
        <v/>
      </c>
      <c r="J215" s="44">
        <f>IF(Source!BC106&lt;&gt; 0, Source!BC106, 1)</f>
        <v>8.48</v>
      </c>
      <c r="K215" s="43">
        <f>Source!P106</f>
        <v>35509.31</v>
      </c>
      <c r="L215" s="48"/>
      <c r="S215">
        <f>ROUND((Source!FX106/100)*((ROUND(Source!AF106*Source!I106, 2)+ROUND(Source!AE106*Source!I106, 2))), 2)</f>
        <v>0</v>
      </c>
      <c r="T215">
        <f>Source!X106</f>
        <v>0</v>
      </c>
      <c r="U215">
        <f>ROUND((Source!FY106/100)*((ROUND(Source!AF106*Source!I106, 2)+ROUND(Source!AE106*Source!I106, 2))), 2)</f>
        <v>0</v>
      </c>
      <c r="V215">
        <f>Source!Y106</f>
        <v>0</v>
      </c>
    </row>
    <row r="216" spans="1:26" ht="15" x14ac:dyDescent="0.25">
      <c r="G216" s="58">
        <f>H215</f>
        <v>4187.42</v>
      </c>
      <c r="H216" s="58"/>
      <c r="J216" s="58">
        <f>K215</f>
        <v>35509.31</v>
      </c>
      <c r="K216" s="58"/>
      <c r="L216" s="46">
        <f>Source!U106</f>
        <v>0</v>
      </c>
      <c r="O216" s="31">
        <f>G216</f>
        <v>4187.42</v>
      </c>
      <c r="P216" s="31">
        <f>J216</f>
        <v>35509.31</v>
      </c>
      <c r="Q216" s="31">
        <f>L216</f>
        <v>0</v>
      </c>
      <c r="W216">
        <f>IF(Source!BI106&lt;=1,H215, 0)</f>
        <v>4187.42</v>
      </c>
      <c r="X216">
        <f>IF(Source!BI106=2,H215, 0)</f>
        <v>0</v>
      </c>
      <c r="Y216">
        <f>IF(Source!BI106=3,H215, 0)</f>
        <v>0</v>
      </c>
      <c r="Z216">
        <f>IF(Source!BI106=4,H215, 0)</f>
        <v>0</v>
      </c>
    </row>
    <row r="217" spans="1:26" ht="42.75" x14ac:dyDescent="0.2">
      <c r="A217" s="52">
        <v>39</v>
      </c>
      <c r="B217" s="52" t="str">
        <f>Source!F107</f>
        <v>13-03-002-04</v>
      </c>
      <c r="C217" s="52" t="str">
        <f>Source!G107</f>
        <v>Огрунтовка металлических поверхностей за один раз: грунтовкой ГФ-021</v>
      </c>
      <c r="D217" s="36" t="str">
        <f>Source!H107</f>
        <v>100 м2</v>
      </c>
      <c r="E217" s="10">
        <f>Source!I107</f>
        <v>25.27</v>
      </c>
      <c r="F217" s="37">
        <f>Source!AL107+Source!AM107+Source!AO107</f>
        <v>217.81</v>
      </c>
      <c r="G217" s="38"/>
      <c r="H217" s="37"/>
      <c r="I217" s="38" t="str">
        <f>Source!BO107</f>
        <v/>
      </c>
      <c r="J217" s="38"/>
      <c r="K217" s="37"/>
      <c r="L217" s="39"/>
      <c r="S217">
        <f>ROUND((Source!FX107/100)*((ROUND(Source!AF107*Source!I107, 2)+ROUND(Source!AE107*Source!I107, 2))), 2)</f>
        <v>1551.37</v>
      </c>
      <c r="T217">
        <f>Source!X107</f>
        <v>45501.41</v>
      </c>
      <c r="U217">
        <f>ROUND((Source!FY107/100)*((ROUND(Source!AF107*Source!I107, 2)+ROUND(Source!AE107*Source!I107, 2))), 2)</f>
        <v>841.7</v>
      </c>
      <c r="V217">
        <f>Source!Y107</f>
        <v>24686.94</v>
      </c>
    </row>
    <row r="218" spans="1:26" x14ac:dyDescent="0.2">
      <c r="C218" s="30" t="str">
        <f>"Объем: "&amp;Source!I107&amp;"=2527/"&amp;"100"</f>
        <v>Объем: 25,27=2527/100</v>
      </c>
    </row>
    <row r="219" spans="1:26" ht="14.25" x14ac:dyDescent="0.2">
      <c r="A219" s="52"/>
      <c r="B219" s="52"/>
      <c r="C219" s="52" t="s">
        <v>623</v>
      </c>
      <c r="D219" s="36"/>
      <c r="E219" s="10"/>
      <c r="F219" s="37">
        <f>Source!AO107</f>
        <v>56.55</v>
      </c>
      <c r="G219" s="38" t="str">
        <f>Source!DG107</f>
        <v>)*1,15</v>
      </c>
      <c r="H219" s="37">
        <f>ROUND(Source!AF107*Source!I107, 2)</f>
        <v>1643.31</v>
      </c>
      <c r="I219" s="38"/>
      <c r="J219" s="38">
        <f>IF(Source!BA107&lt;&gt; 0, Source!BA107, 1)</f>
        <v>29.33</v>
      </c>
      <c r="K219" s="37">
        <f>Source!S107</f>
        <v>48198.23</v>
      </c>
      <c r="L219" s="39"/>
      <c r="R219">
        <f>H219</f>
        <v>1643.31</v>
      </c>
    </row>
    <row r="220" spans="1:26" ht="14.25" x14ac:dyDescent="0.2">
      <c r="A220" s="52"/>
      <c r="B220" s="52"/>
      <c r="C220" s="52" t="s">
        <v>110</v>
      </c>
      <c r="D220" s="36"/>
      <c r="E220" s="10"/>
      <c r="F220" s="37">
        <f>Source!AM107</f>
        <v>9.2200000000000006</v>
      </c>
      <c r="G220" s="38" t="str">
        <f>Source!DE107</f>
        <v>)*1,25</v>
      </c>
      <c r="H220" s="37">
        <f>ROUND(((((Source!ET107*1.25))-((Source!EU107*1.25)))+Source!AE107)*Source!I107, 2)</f>
        <v>291.36</v>
      </c>
      <c r="I220" s="38"/>
      <c r="J220" s="38">
        <f>IF(Source!BB107&lt;&gt; 0, Source!BB107, 1)</f>
        <v>11.52</v>
      </c>
      <c r="K220" s="37">
        <f>Source!Q107</f>
        <v>3358.75</v>
      </c>
      <c r="L220" s="39"/>
    </row>
    <row r="221" spans="1:26" ht="14.25" x14ac:dyDescent="0.2">
      <c r="A221" s="52"/>
      <c r="B221" s="52"/>
      <c r="C221" s="52" t="s">
        <v>629</v>
      </c>
      <c r="D221" s="36"/>
      <c r="E221" s="10"/>
      <c r="F221" s="37">
        <f>Source!AN107</f>
        <v>0.22</v>
      </c>
      <c r="G221" s="38" t="str">
        <f>Source!DF107</f>
        <v>)*1,25</v>
      </c>
      <c r="H221" s="47">
        <f>ROUND(Source!AE107*Source!I107, 2)</f>
        <v>7.08</v>
      </c>
      <c r="I221" s="38"/>
      <c r="J221" s="38">
        <f>IF(Source!BS107&lt;&gt; 0, Source!BS107, 1)</f>
        <v>29.33</v>
      </c>
      <c r="K221" s="47">
        <f>Source!R107</f>
        <v>207.53</v>
      </c>
      <c r="L221" s="39"/>
      <c r="R221">
        <f>H221</f>
        <v>7.08</v>
      </c>
    </row>
    <row r="222" spans="1:26" ht="14.25" x14ac:dyDescent="0.2">
      <c r="A222" s="52"/>
      <c r="B222" s="52"/>
      <c r="C222" s="52" t="s">
        <v>631</v>
      </c>
      <c r="D222" s="36"/>
      <c r="E222" s="10"/>
      <c r="F222" s="37">
        <f>Source!AL107</f>
        <v>152.04</v>
      </c>
      <c r="G222" s="38" t="str">
        <f>Source!DD107</f>
        <v/>
      </c>
      <c r="H222" s="37">
        <f>ROUND(Source!AC107*Source!I107, 2)</f>
        <v>3842.05</v>
      </c>
      <c r="I222" s="38"/>
      <c r="J222" s="38">
        <f>IF(Source!BC107&lt;&gt; 0, Source!BC107, 1)</f>
        <v>8.48</v>
      </c>
      <c r="K222" s="37">
        <f>Source!P107</f>
        <v>32580.59</v>
      </c>
      <c r="L222" s="39"/>
    </row>
    <row r="223" spans="1:26" ht="14.25" x14ac:dyDescent="0.2">
      <c r="A223" s="52"/>
      <c r="B223" s="52"/>
      <c r="C223" s="52" t="s">
        <v>624</v>
      </c>
      <c r="D223" s="36" t="s">
        <v>625</v>
      </c>
      <c r="E223" s="10">
        <f>Source!BZ107</f>
        <v>94</v>
      </c>
      <c r="F223" s="54"/>
      <c r="G223" s="38"/>
      <c r="H223" s="37">
        <f>SUM(S217:S225)</f>
        <v>1551.37</v>
      </c>
      <c r="I223" s="40"/>
      <c r="J223" s="35">
        <f>Source!AT107</f>
        <v>94</v>
      </c>
      <c r="K223" s="37">
        <f>SUM(T217:T225)</f>
        <v>45501.41</v>
      </c>
      <c r="L223" s="39"/>
    </row>
    <row r="224" spans="1:26" ht="14.25" x14ac:dyDescent="0.2">
      <c r="A224" s="52"/>
      <c r="B224" s="52"/>
      <c r="C224" s="52" t="s">
        <v>626</v>
      </c>
      <c r="D224" s="36" t="s">
        <v>625</v>
      </c>
      <c r="E224" s="10">
        <f>Source!CA107</f>
        <v>51</v>
      </c>
      <c r="F224" s="54"/>
      <c r="G224" s="38"/>
      <c r="H224" s="37">
        <f>SUM(U217:U225)</f>
        <v>841.7</v>
      </c>
      <c r="I224" s="40"/>
      <c r="J224" s="35">
        <f>Source!AU107</f>
        <v>51</v>
      </c>
      <c r="K224" s="37">
        <f>SUM(V217:V225)</f>
        <v>24686.94</v>
      </c>
      <c r="L224" s="39"/>
    </row>
    <row r="225" spans="1:26" ht="14.25" x14ac:dyDescent="0.2">
      <c r="A225" s="53"/>
      <c r="B225" s="53"/>
      <c r="C225" s="53" t="s">
        <v>627</v>
      </c>
      <c r="D225" s="41" t="s">
        <v>628</v>
      </c>
      <c r="E225" s="42">
        <f>Source!AQ107</f>
        <v>5.31</v>
      </c>
      <c r="F225" s="43"/>
      <c r="G225" s="44" t="str">
        <f>Source!DI107</f>
        <v>)*1,15</v>
      </c>
      <c r="H225" s="43"/>
      <c r="I225" s="44"/>
      <c r="J225" s="44"/>
      <c r="K225" s="43"/>
      <c r="L225" s="45">
        <f>Source!U107</f>
        <v>154.31125499999996</v>
      </c>
    </row>
    <row r="226" spans="1:26" ht="15" x14ac:dyDescent="0.25">
      <c r="G226" s="58">
        <f>H219+H220+H222+H223+H224</f>
        <v>8169.79</v>
      </c>
      <c r="H226" s="58"/>
      <c r="J226" s="58">
        <f>K219+K220+K222+K223+K224</f>
        <v>154325.92000000001</v>
      </c>
      <c r="K226" s="58"/>
      <c r="L226" s="46">
        <f>Source!U107</f>
        <v>154.31125499999996</v>
      </c>
      <c r="O226" s="31">
        <f>G226</f>
        <v>8169.79</v>
      </c>
      <c r="P226" s="31">
        <f>J226</f>
        <v>154325.92000000001</v>
      </c>
      <c r="Q226" s="31">
        <f>L226</f>
        <v>154.31125499999996</v>
      </c>
      <c r="W226">
        <f>IF(Source!BI107&lt;=1,H219+H220+H222+H223+H224, 0)</f>
        <v>8169.79</v>
      </c>
      <c r="X226">
        <f>IF(Source!BI107=2,H219+H220+H222+H223+H224, 0)</f>
        <v>0</v>
      </c>
      <c r="Y226">
        <f>IF(Source!BI107=3,H219+H220+H222+H223+H224, 0)</f>
        <v>0</v>
      </c>
      <c r="Z226">
        <f>IF(Source!BI107=4,H219+H220+H222+H223+H224, 0)</f>
        <v>0</v>
      </c>
    </row>
    <row r="227" spans="1:26" ht="28.5" x14ac:dyDescent="0.2">
      <c r="A227" s="52">
        <v>40</v>
      </c>
      <c r="B227" s="52" t="str">
        <f>Source!F108</f>
        <v>13-03-004-26</v>
      </c>
      <c r="C227" s="52" t="str">
        <f>Source!G108</f>
        <v>Окраска металлических огрунтованных поверхностей: эмалью ПФ-115</v>
      </c>
      <c r="D227" s="36" t="str">
        <f>Source!H108</f>
        <v>100 м2</v>
      </c>
      <c r="E227" s="10">
        <f>Source!I108</f>
        <v>25.27</v>
      </c>
      <c r="F227" s="37">
        <f>Source!AL108+Source!AM108+Source!AO108</f>
        <v>163.48999999999998</v>
      </c>
      <c r="G227" s="38"/>
      <c r="H227" s="37"/>
      <c r="I227" s="38" t="str">
        <f>Source!BO108</f>
        <v/>
      </c>
      <c r="J227" s="38"/>
      <c r="K227" s="37"/>
      <c r="L227" s="39"/>
      <c r="S227">
        <f>ROUND((Source!FX108/100)*((ROUND(Source!AF108*Source!I108, 2)+ROUND(Source!AE108*Source!I108, 2))), 2)</f>
        <v>1068.69</v>
      </c>
      <c r="T227">
        <f>Source!X108</f>
        <v>31344.48</v>
      </c>
      <c r="U227">
        <f>ROUND((Source!FY108/100)*((ROUND(Source!AF108*Source!I108, 2)+ROUND(Source!AE108*Source!I108, 2))), 2)</f>
        <v>579.82000000000005</v>
      </c>
      <c r="V227">
        <f>Source!Y108</f>
        <v>17006.05</v>
      </c>
    </row>
    <row r="228" spans="1:26" x14ac:dyDescent="0.2">
      <c r="C228" s="30" t="str">
        <f>"Объем: "&amp;Source!I108&amp;"=2527/"&amp;"100"</f>
        <v>Объем: 25,27=2527/100</v>
      </c>
    </row>
    <row r="229" spans="1:26" ht="14.25" x14ac:dyDescent="0.2">
      <c r="A229" s="52"/>
      <c r="B229" s="52"/>
      <c r="C229" s="52" t="s">
        <v>623</v>
      </c>
      <c r="D229" s="36"/>
      <c r="E229" s="10"/>
      <c r="F229" s="37">
        <f>Source!AO108</f>
        <v>19.32</v>
      </c>
      <c r="G229" s="38" t="str">
        <f>Source!DG108</f>
        <v>)*2)*1,15</v>
      </c>
      <c r="H229" s="37">
        <f>ROUND(Source!AF108*Source!I108, 2)</f>
        <v>1123</v>
      </c>
      <c r="I229" s="38"/>
      <c r="J229" s="38">
        <f>IF(Source!BA108&lt;&gt; 0, Source!BA108, 1)</f>
        <v>29.33</v>
      </c>
      <c r="K229" s="37">
        <f>Source!S108</f>
        <v>32937.550000000003</v>
      </c>
      <c r="L229" s="39"/>
      <c r="R229">
        <f>H229</f>
        <v>1123</v>
      </c>
    </row>
    <row r="230" spans="1:26" ht="14.25" x14ac:dyDescent="0.2">
      <c r="A230" s="52"/>
      <c r="B230" s="52"/>
      <c r="C230" s="52" t="s">
        <v>110</v>
      </c>
      <c r="D230" s="36"/>
      <c r="E230" s="10"/>
      <c r="F230" s="37">
        <f>Source!AM108</f>
        <v>6.01</v>
      </c>
      <c r="G230" s="38" t="str">
        <f>Source!DE108</f>
        <v>)*2)*1,25</v>
      </c>
      <c r="H230" s="37">
        <f>ROUND((((((Source!ET108*2)*1.25))-(((Source!EU108*2)*1.25)))+Source!AE108)*Source!I108, 2)</f>
        <v>379.68</v>
      </c>
      <c r="I230" s="38"/>
      <c r="J230" s="38">
        <f>IF(Source!BB108&lt;&gt; 0, Source!BB108, 1)</f>
        <v>11.52</v>
      </c>
      <c r="K230" s="37">
        <f>Source!Q108</f>
        <v>4373.93</v>
      </c>
      <c r="L230" s="39"/>
    </row>
    <row r="231" spans="1:26" ht="14.25" x14ac:dyDescent="0.2">
      <c r="A231" s="52"/>
      <c r="B231" s="52"/>
      <c r="C231" s="52" t="s">
        <v>629</v>
      </c>
      <c r="D231" s="36"/>
      <c r="E231" s="10"/>
      <c r="F231" s="37">
        <f>Source!AN108</f>
        <v>0.22</v>
      </c>
      <c r="G231" s="38" t="str">
        <f>Source!DF108</f>
        <v>)*2)*1,25</v>
      </c>
      <c r="H231" s="47">
        <f>ROUND(Source!AE108*Source!I108, 2)</f>
        <v>13.9</v>
      </c>
      <c r="I231" s="38"/>
      <c r="J231" s="38">
        <f>IF(Source!BS108&lt;&gt; 0, Source!BS108, 1)</f>
        <v>29.33</v>
      </c>
      <c r="K231" s="47">
        <f>Source!R108</f>
        <v>407.64</v>
      </c>
      <c r="L231" s="39"/>
      <c r="R231">
        <f>H231</f>
        <v>13.9</v>
      </c>
    </row>
    <row r="232" spans="1:26" ht="14.25" x14ac:dyDescent="0.2">
      <c r="A232" s="52"/>
      <c r="B232" s="52"/>
      <c r="C232" s="52" t="s">
        <v>631</v>
      </c>
      <c r="D232" s="36"/>
      <c r="E232" s="10"/>
      <c r="F232" s="37">
        <f>Source!AL108</f>
        <v>138.16</v>
      </c>
      <c r="G232" s="38" t="str">
        <f>Source!DD108</f>
        <v>)*2</v>
      </c>
      <c r="H232" s="37">
        <f>ROUND(Source!AC108*Source!I108, 2)</f>
        <v>6982.61</v>
      </c>
      <c r="I232" s="38"/>
      <c r="J232" s="38">
        <f>IF(Source!BC108&lt;&gt; 0, Source!BC108, 1)</f>
        <v>8.48</v>
      </c>
      <c r="K232" s="37">
        <f>Source!P108</f>
        <v>59212.5</v>
      </c>
      <c r="L232" s="39"/>
    </row>
    <row r="233" spans="1:26" ht="14.25" x14ac:dyDescent="0.2">
      <c r="A233" s="52"/>
      <c r="B233" s="52"/>
      <c r="C233" s="52" t="s">
        <v>624</v>
      </c>
      <c r="D233" s="36" t="s">
        <v>625</v>
      </c>
      <c r="E233" s="10">
        <f>Source!BZ108</f>
        <v>94</v>
      </c>
      <c r="F233" s="54"/>
      <c r="G233" s="38"/>
      <c r="H233" s="37">
        <f>SUM(S227:S235)</f>
        <v>1068.69</v>
      </c>
      <c r="I233" s="40"/>
      <c r="J233" s="35">
        <f>Source!AT108</f>
        <v>94</v>
      </c>
      <c r="K233" s="37">
        <f>SUM(T227:T235)</f>
        <v>31344.48</v>
      </c>
      <c r="L233" s="39"/>
    </row>
    <row r="234" spans="1:26" ht="14.25" x14ac:dyDescent="0.2">
      <c r="A234" s="52"/>
      <c r="B234" s="52"/>
      <c r="C234" s="52" t="s">
        <v>626</v>
      </c>
      <c r="D234" s="36" t="s">
        <v>625</v>
      </c>
      <c r="E234" s="10">
        <f>Source!CA108</f>
        <v>51</v>
      </c>
      <c r="F234" s="54"/>
      <c r="G234" s="38"/>
      <c r="H234" s="37">
        <f>SUM(U227:U235)</f>
        <v>579.82000000000005</v>
      </c>
      <c r="I234" s="40"/>
      <c r="J234" s="35">
        <f>Source!AU108</f>
        <v>51</v>
      </c>
      <c r="K234" s="37">
        <f>SUM(V227:V235)</f>
        <v>17006.05</v>
      </c>
      <c r="L234" s="39"/>
    </row>
    <row r="235" spans="1:26" ht="14.25" x14ac:dyDescent="0.2">
      <c r="A235" s="53"/>
      <c r="B235" s="53"/>
      <c r="C235" s="53" t="s">
        <v>627</v>
      </c>
      <c r="D235" s="41" t="s">
        <v>628</v>
      </c>
      <c r="E235" s="42">
        <f>Source!AQ108</f>
        <v>2.13</v>
      </c>
      <c r="F235" s="43"/>
      <c r="G235" s="44" t="str">
        <f>Source!DI108</f>
        <v>)*2)*1,15</v>
      </c>
      <c r="H235" s="43"/>
      <c r="I235" s="44"/>
      <c r="J235" s="44"/>
      <c r="K235" s="43"/>
      <c r="L235" s="45">
        <f>Source!U108</f>
        <v>123.79772999999997</v>
      </c>
    </row>
    <row r="236" spans="1:26" ht="15" x14ac:dyDescent="0.25">
      <c r="G236" s="58">
        <f>H229+H230+H232+H233+H234</f>
        <v>10133.799999999999</v>
      </c>
      <c r="H236" s="58"/>
      <c r="J236" s="58">
        <f>K229+K230+K232+K233+K234</f>
        <v>144874.51</v>
      </c>
      <c r="K236" s="58"/>
      <c r="L236" s="46">
        <f>Source!U108</f>
        <v>123.79772999999997</v>
      </c>
      <c r="O236" s="31">
        <f>G236</f>
        <v>10133.799999999999</v>
      </c>
      <c r="P236" s="31">
        <f>J236</f>
        <v>144874.51</v>
      </c>
      <c r="Q236" s="31">
        <f>L236</f>
        <v>123.79772999999997</v>
      </c>
      <c r="W236">
        <f>IF(Source!BI108&lt;=1,H229+H230+H232+H233+H234, 0)</f>
        <v>10133.799999999999</v>
      </c>
      <c r="X236">
        <f>IF(Source!BI108=2,H229+H230+H232+H233+H234, 0)</f>
        <v>0</v>
      </c>
      <c r="Y236">
        <f>IF(Source!BI108=3,H229+H230+H232+H233+H234, 0)</f>
        <v>0</v>
      </c>
      <c r="Z236">
        <f>IF(Source!BI108=4,H229+H230+H232+H233+H234, 0)</f>
        <v>0</v>
      </c>
    </row>
    <row r="238" spans="1:26" ht="15" x14ac:dyDescent="0.25">
      <c r="A238" s="57" t="str">
        <f>CONCATENATE("Итого по разделу: ",IF(Source!G110&lt;&gt;"Новый раздел", Source!G110, ""))</f>
        <v>Итого по разделу: Кровля</v>
      </c>
      <c r="B238" s="57"/>
      <c r="C238" s="57"/>
      <c r="D238" s="57"/>
      <c r="E238" s="57"/>
      <c r="F238" s="57"/>
      <c r="G238" s="56">
        <f>SUM(O85:O237)</f>
        <v>1582687.72</v>
      </c>
      <c r="H238" s="56"/>
      <c r="I238" s="34"/>
      <c r="J238" s="56">
        <f>SUM(P85:P237)</f>
        <v>16821944.949999999</v>
      </c>
      <c r="K238" s="56"/>
      <c r="L238" s="46">
        <f>SUM(Q85:Q237)</f>
        <v>6222.4303987000003</v>
      </c>
    </row>
    <row r="242" spans="1:32" ht="15" x14ac:dyDescent="0.25">
      <c r="A242" s="57" t="str">
        <f>CONCATENATE("Итого по локальной смете: ",IF(Source!G140&lt;&gt;"Новая локальная смета", Source!G140, ""))</f>
        <v>Итого по локальной смете: АО "Кавказцемент"  Замена кровли склада добавок.</v>
      </c>
      <c r="B242" s="57"/>
      <c r="C242" s="57"/>
      <c r="D242" s="57"/>
      <c r="E242" s="57"/>
      <c r="F242" s="57"/>
      <c r="G242" s="56">
        <f>SUM(O33:O241)</f>
        <v>1679207.98</v>
      </c>
      <c r="H242" s="56"/>
      <c r="I242" s="34"/>
      <c r="J242" s="56">
        <f>SUM(P33:P241)</f>
        <v>18626753.439999998</v>
      </c>
      <c r="K242" s="56"/>
      <c r="L242" s="46">
        <f>SUM(Q33:Q241)</f>
        <v>7630.8687987000003</v>
      </c>
      <c r="AF242" s="55" t="str">
        <f>CONCATENATE("Итого по локальной смете: ",IF(Source!G140&lt;&gt;"Новая локальная смета", Source!G140, ""))</f>
        <v>Итого по локальной смете: АО "Кавказцемент"  Замена кровли склада добавок.</v>
      </c>
    </row>
    <row r="246" spans="1:32" ht="15" x14ac:dyDescent="0.25">
      <c r="A246" s="57" t="str">
        <f>CONCATENATE("Итого по смете: ",IF(Source!G170&lt;&gt;"Новый объект", Source!G170, ""))</f>
        <v>Итого по смете: 02/16/45-7-АС  (изм.1)_(1 кв.24)</v>
      </c>
      <c r="B246" s="57"/>
      <c r="C246" s="57"/>
      <c r="D246" s="57"/>
      <c r="E246" s="57"/>
      <c r="F246" s="57"/>
      <c r="G246" s="56">
        <f>SUM(O1:O245)</f>
        <v>1679207.98</v>
      </c>
      <c r="H246" s="56"/>
      <c r="I246" s="34"/>
      <c r="J246" s="56">
        <f>SUM(P1:P245)</f>
        <v>18626753.439999998</v>
      </c>
      <c r="K246" s="56"/>
      <c r="L246" s="46">
        <f>SUM(Q1:Q245)</f>
        <v>7630.8687987000003</v>
      </c>
      <c r="AF246" s="55" t="str">
        <f>CONCATENATE("Итого по смете: ",IF(Source!G170&lt;&gt;"Новый объект", Source!G170, ""))</f>
        <v>Итого по смете: 02/16/45-7-АС  (изм.1)_(1 кв.24)</v>
      </c>
    </row>
    <row r="248" spans="1:32" ht="14.25" x14ac:dyDescent="0.2">
      <c r="C248" s="61" t="str">
        <f>Source!H172</f>
        <v>Прямые затраты</v>
      </c>
      <c r="D248" s="61"/>
      <c r="E248" s="61"/>
      <c r="F248" s="61"/>
      <c r="G248" s="61"/>
      <c r="H248" s="61"/>
      <c r="I248" s="61"/>
      <c r="J248" s="62">
        <f>IF(Source!F172=0, "", Source!F172)</f>
        <v>14865091.16</v>
      </c>
      <c r="K248" s="62"/>
    </row>
    <row r="249" spans="1:32" ht="14.25" x14ac:dyDescent="0.2">
      <c r="C249" s="61" t="str">
        <f>Source!H173</f>
        <v>Стоимость материальных ресурсов (всего)</v>
      </c>
      <c r="D249" s="61"/>
      <c r="E249" s="61"/>
      <c r="F249" s="61"/>
      <c r="G249" s="61"/>
      <c r="H249" s="61"/>
      <c r="I249" s="61"/>
      <c r="J249" s="62">
        <f>IF(Source!F173=0, "", Source!F173)</f>
        <v>11482602.91</v>
      </c>
      <c r="K249" s="62"/>
    </row>
    <row r="250" spans="1:32" ht="14.25" x14ac:dyDescent="0.2">
      <c r="C250" s="61" t="str">
        <f>Source!H176</f>
        <v>Стоимость материалов (всего)</v>
      </c>
      <c r="D250" s="61"/>
      <c r="E250" s="61"/>
      <c r="F250" s="61"/>
      <c r="G250" s="61"/>
      <c r="H250" s="61"/>
      <c r="I250" s="61"/>
      <c r="J250" s="62">
        <f>IF(Source!F176=0, "", Source!F176)</f>
        <v>11482602.91</v>
      </c>
      <c r="K250" s="62"/>
    </row>
    <row r="251" spans="1:32" ht="14.25" x14ac:dyDescent="0.2">
      <c r="C251" s="61" t="str">
        <f>Source!H182</f>
        <v>Эксплуатация машин</v>
      </c>
      <c r="D251" s="61"/>
      <c r="E251" s="61"/>
      <c r="F251" s="61"/>
      <c r="G251" s="61"/>
      <c r="H251" s="61"/>
      <c r="I251" s="61"/>
      <c r="J251" s="62">
        <f>IF(Source!F182=0, "", Source!F182)</f>
        <v>1368347.77</v>
      </c>
      <c r="K251" s="62"/>
    </row>
    <row r="252" spans="1:32" ht="14.25" x14ac:dyDescent="0.2">
      <c r="C252" s="61" t="str">
        <f>Source!H184</f>
        <v>ЗП машинистов</v>
      </c>
      <c r="D252" s="61"/>
      <c r="E252" s="61"/>
      <c r="F252" s="61"/>
      <c r="G252" s="61"/>
      <c r="H252" s="61"/>
      <c r="I252" s="61"/>
      <c r="J252" s="62">
        <f>IF(Source!F184=0, "", Source!F184)</f>
        <v>308793.34999999998</v>
      </c>
      <c r="K252" s="62"/>
    </row>
    <row r="253" spans="1:32" ht="14.25" x14ac:dyDescent="0.2">
      <c r="C253" s="61" t="str">
        <f>Source!H185</f>
        <v>Основная ЗП рабочих</v>
      </c>
      <c r="D253" s="61"/>
      <c r="E253" s="61"/>
      <c r="F253" s="61"/>
      <c r="G253" s="61"/>
      <c r="H253" s="61"/>
      <c r="I253" s="61"/>
      <c r="J253" s="62">
        <f>IF(Source!F185=0, "", Source!F185)</f>
        <v>2014140.48</v>
      </c>
      <c r="K253" s="62"/>
    </row>
    <row r="254" spans="1:32" ht="14.25" x14ac:dyDescent="0.2">
      <c r="C254" s="61" t="str">
        <f>Source!H187</f>
        <v>Строительные работы с НР и СП</v>
      </c>
      <c r="D254" s="61"/>
      <c r="E254" s="61"/>
      <c r="F254" s="61"/>
      <c r="G254" s="61"/>
      <c r="H254" s="61"/>
      <c r="I254" s="61"/>
      <c r="J254" s="62">
        <f>IF(Source!F187=0, "", Source!F187)</f>
        <v>16843714.289999999</v>
      </c>
      <c r="K254" s="62"/>
    </row>
    <row r="255" spans="1:32" ht="14.25" x14ac:dyDescent="0.2">
      <c r="C255" s="61" t="str">
        <f>Source!H188</f>
        <v>Монтажные работы с НР и СП</v>
      </c>
      <c r="D255" s="61"/>
      <c r="E255" s="61"/>
      <c r="F255" s="61"/>
      <c r="G255" s="61"/>
      <c r="H255" s="61"/>
      <c r="I255" s="61"/>
      <c r="J255" s="62">
        <f>IF(Source!F188=0, "", Source!F188)</f>
        <v>1783039.15</v>
      </c>
      <c r="K255" s="62"/>
    </row>
    <row r="256" spans="1:32" ht="14.25" x14ac:dyDescent="0.2">
      <c r="C256" s="61" t="str">
        <f>Source!H192</f>
        <v>Трудозатраты строителей</v>
      </c>
      <c r="D256" s="61"/>
      <c r="E256" s="61"/>
      <c r="F256" s="61"/>
      <c r="G256" s="61"/>
      <c r="H256" s="61"/>
      <c r="I256" s="61"/>
      <c r="J256" s="63">
        <f>IF(Source!F192=0, "", Source!F192)</f>
        <v>7630.8687987000003</v>
      </c>
      <c r="K256" s="63"/>
    </row>
    <row r="257" spans="3:11" ht="14.25" x14ac:dyDescent="0.2">
      <c r="C257" s="61" t="str">
        <f>Source!H193</f>
        <v>Трудозатраты машинистов</v>
      </c>
      <c r="D257" s="61"/>
      <c r="E257" s="61"/>
      <c r="F257" s="61"/>
      <c r="G257" s="61"/>
      <c r="H257" s="61"/>
      <c r="I257" s="61"/>
      <c r="J257" s="63">
        <f>IF(Source!F193=0, "", Source!F193)</f>
        <v>821.78897125000003</v>
      </c>
      <c r="K257" s="63"/>
    </row>
    <row r="258" spans="3:11" ht="14.25" x14ac:dyDescent="0.2">
      <c r="C258" s="61" t="str">
        <f>Source!H196</f>
        <v>Накладные расходы</v>
      </c>
      <c r="D258" s="61"/>
      <c r="E258" s="61"/>
      <c r="F258" s="61"/>
      <c r="G258" s="61"/>
      <c r="H258" s="61"/>
      <c r="I258" s="61"/>
      <c r="J258" s="62">
        <f>IF(Source!F196=0, "", Source!F196)</f>
        <v>2249208.3199999998</v>
      </c>
      <c r="K258" s="62"/>
    </row>
    <row r="259" spans="3:11" ht="14.25" x14ac:dyDescent="0.2">
      <c r="C259" s="61" t="str">
        <f>Source!H197</f>
        <v>Сметная прибыль</v>
      </c>
      <c r="D259" s="61"/>
      <c r="E259" s="61"/>
      <c r="F259" s="61"/>
      <c r="G259" s="61"/>
      <c r="H259" s="61"/>
      <c r="I259" s="61"/>
      <c r="J259" s="62">
        <f>IF(Source!F197=0, "", Source!F197)</f>
        <v>1333694.3600000001</v>
      </c>
      <c r="K259" s="62"/>
    </row>
    <row r="260" spans="3:11" ht="14.25" x14ac:dyDescent="0.2">
      <c r="C260" s="61" t="str">
        <f>Source!H198</f>
        <v>Всего с НР и СП</v>
      </c>
      <c r="D260" s="61"/>
      <c r="E260" s="61"/>
      <c r="F260" s="61"/>
      <c r="G260" s="61"/>
      <c r="H260" s="61"/>
      <c r="I260" s="61"/>
      <c r="J260" s="62">
        <f>IF(Source!F198=0, "", Source!F198)</f>
        <v>18626753.440000001</v>
      </c>
      <c r="K260" s="62"/>
    </row>
    <row r="261" spans="3:11" ht="14.25" x14ac:dyDescent="0.2">
      <c r="C261" s="61" t="str">
        <f>Source!H199</f>
        <v>НДС 20%</v>
      </c>
      <c r="D261" s="61"/>
      <c r="E261" s="61"/>
      <c r="F261" s="61"/>
      <c r="G261" s="61"/>
      <c r="H261" s="61"/>
      <c r="I261" s="61"/>
      <c r="J261" s="62">
        <f>IF(Source!F199=0, "", Source!F199)</f>
        <v>3725350.69</v>
      </c>
      <c r="K261" s="62"/>
    </row>
    <row r="262" spans="3:11" ht="14.25" x14ac:dyDescent="0.2">
      <c r="C262" s="61" t="str">
        <f>Source!H200</f>
        <v>Всего с НДС</v>
      </c>
      <c r="D262" s="61"/>
      <c r="E262" s="61"/>
      <c r="F262" s="61"/>
      <c r="G262" s="61"/>
      <c r="H262" s="61"/>
      <c r="I262" s="61"/>
      <c r="J262" s="62">
        <f>IF(Source!F200=0, "", Source!F200)</f>
        <v>22352104.129999999</v>
      </c>
      <c r="K262" s="62"/>
    </row>
  </sheetData>
  <mergeCells count="150">
    <mergeCell ref="B3:E3"/>
    <mergeCell ref="H3:L3"/>
    <mergeCell ref="B4:E4"/>
    <mergeCell ref="H4:L4"/>
    <mergeCell ref="B6:E6"/>
    <mergeCell ref="H6:L6"/>
    <mergeCell ref="B13:K13"/>
    <mergeCell ref="B15:K15"/>
    <mergeCell ref="B17:K17"/>
    <mergeCell ref="B18:K18"/>
    <mergeCell ref="A20:L20"/>
    <mergeCell ref="G23:H23"/>
    <mergeCell ref="I23:J23"/>
    <mergeCell ref="B7:E7"/>
    <mergeCell ref="H7:L7"/>
    <mergeCell ref="B10:K10"/>
    <mergeCell ref="B11:K11"/>
    <mergeCell ref="C24:F24"/>
    <mergeCell ref="G24:H24"/>
    <mergeCell ref="I24:J24"/>
    <mergeCell ref="K24:L24"/>
    <mergeCell ref="C25:F25"/>
    <mergeCell ref="G25:H25"/>
    <mergeCell ref="I25:J25"/>
    <mergeCell ref="A30:L30"/>
    <mergeCell ref="C248:I248"/>
    <mergeCell ref="J248:K248"/>
    <mergeCell ref="C249:I249"/>
    <mergeCell ref="J249:K249"/>
    <mergeCell ref="C250:I250"/>
    <mergeCell ref="J250:K250"/>
    <mergeCell ref="J82:K82"/>
    <mergeCell ref="A82:F82"/>
    <mergeCell ref="J80:K80"/>
    <mergeCell ref="C262:I262"/>
    <mergeCell ref="J262:K262"/>
    <mergeCell ref="C257:I257"/>
    <mergeCell ref="J257:K257"/>
    <mergeCell ref="C258:I258"/>
    <mergeCell ref="J258:K258"/>
    <mergeCell ref="C259:I259"/>
    <mergeCell ref="J259:K259"/>
    <mergeCell ref="C254:I254"/>
    <mergeCell ref="J254:K254"/>
    <mergeCell ref="C255:I255"/>
    <mergeCell ref="J255:K255"/>
    <mergeCell ref="C256:I256"/>
    <mergeCell ref="J256:K256"/>
    <mergeCell ref="G78:H78"/>
    <mergeCell ref="J76:K76"/>
    <mergeCell ref="G76:H76"/>
    <mergeCell ref="J74:K74"/>
    <mergeCell ref="G74:H74"/>
    <mergeCell ref="C260:I260"/>
    <mergeCell ref="J260:K260"/>
    <mergeCell ref="C261:I261"/>
    <mergeCell ref="J261:K261"/>
    <mergeCell ref="C251:I251"/>
    <mergeCell ref="J251:K251"/>
    <mergeCell ref="C252:I252"/>
    <mergeCell ref="J252:K252"/>
    <mergeCell ref="C253:I253"/>
    <mergeCell ref="J253:K253"/>
    <mergeCell ref="A33:L33"/>
    <mergeCell ref="J124:K124"/>
    <mergeCell ref="G124:H124"/>
    <mergeCell ref="J122:K122"/>
    <mergeCell ref="G122:H122"/>
    <mergeCell ref="J120:K120"/>
    <mergeCell ref="G120:H120"/>
    <mergeCell ref="J118:K118"/>
    <mergeCell ref="G118:H118"/>
    <mergeCell ref="J59:K59"/>
    <mergeCell ref="G59:H59"/>
    <mergeCell ref="J50:K50"/>
    <mergeCell ref="G50:H50"/>
    <mergeCell ref="J41:K41"/>
    <mergeCell ref="G41:H41"/>
    <mergeCell ref="J72:K72"/>
    <mergeCell ref="G72:H72"/>
    <mergeCell ref="J70:K70"/>
    <mergeCell ref="G70:H70"/>
    <mergeCell ref="J68:K68"/>
    <mergeCell ref="G68:H68"/>
    <mergeCell ref="G80:H80"/>
    <mergeCell ref="J78:K78"/>
    <mergeCell ref="J96:K96"/>
    <mergeCell ref="G96:H96"/>
    <mergeCell ref="J94:K94"/>
    <mergeCell ref="G94:H94"/>
    <mergeCell ref="A85:L85"/>
    <mergeCell ref="G82:H82"/>
    <mergeCell ref="J115:K115"/>
    <mergeCell ref="G115:H115"/>
    <mergeCell ref="J102:K102"/>
    <mergeCell ref="G102:H102"/>
    <mergeCell ref="J99:K99"/>
    <mergeCell ref="G99:H99"/>
    <mergeCell ref="J135:K135"/>
    <mergeCell ref="G135:H135"/>
    <mergeCell ref="J133:K133"/>
    <mergeCell ref="G133:H133"/>
    <mergeCell ref="J153:K153"/>
    <mergeCell ref="G153:H153"/>
    <mergeCell ref="J151:K151"/>
    <mergeCell ref="G151:H151"/>
    <mergeCell ref="J149:K149"/>
    <mergeCell ref="G149:H149"/>
    <mergeCell ref="G216:H216"/>
    <mergeCell ref="J214:K214"/>
    <mergeCell ref="G214:H214"/>
    <mergeCell ref="J212:K212"/>
    <mergeCell ref="G212:H212"/>
    <mergeCell ref="J203:K203"/>
    <mergeCell ref="G203:H203"/>
    <mergeCell ref="J216:K216"/>
    <mergeCell ref="J147:K147"/>
    <mergeCell ref="G147:H147"/>
    <mergeCell ref="G167:H167"/>
    <mergeCell ref="J165:K165"/>
    <mergeCell ref="G165:H165"/>
    <mergeCell ref="J163:K163"/>
    <mergeCell ref="G163:H163"/>
    <mergeCell ref="J161:K161"/>
    <mergeCell ref="G161:H161"/>
    <mergeCell ref="J180:K180"/>
    <mergeCell ref="G180:H180"/>
    <mergeCell ref="B171:K171"/>
    <mergeCell ref="J169:K169"/>
    <mergeCell ref="G169:H169"/>
    <mergeCell ref="J167:K167"/>
    <mergeCell ref="J193:K193"/>
    <mergeCell ref="G193:H193"/>
    <mergeCell ref="J191:K191"/>
    <mergeCell ref="G191:H191"/>
    <mergeCell ref="J189:K189"/>
    <mergeCell ref="G189:H189"/>
    <mergeCell ref="G238:H238"/>
    <mergeCell ref="J238:K238"/>
    <mergeCell ref="A238:F238"/>
    <mergeCell ref="J236:K236"/>
    <mergeCell ref="G236:H236"/>
    <mergeCell ref="J226:K226"/>
    <mergeCell ref="G226:H226"/>
    <mergeCell ref="G246:H246"/>
    <mergeCell ref="J246:K246"/>
    <mergeCell ref="A246:F246"/>
    <mergeCell ref="G242:H242"/>
    <mergeCell ref="J242:K242"/>
    <mergeCell ref="A242:F242"/>
  </mergeCells>
  <pageMargins left="0.4" right="0.2" top="0.2" bottom="0.4" header="0.2" footer="0.2"/>
  <pageSetup paperSize="9" scale="59" fitToHeight="0" orientation="portrait" horizontalDpi="4294967292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237"/>
  <sheetViews>
    <sheetView workbookViewId="0">
      <selection activeCell="A233" sqref="A233:AN233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0</v>
      </c>
      <c r="L1">
        <v>31883</v>
      </c>
      <c r="M1">
        <v>18266318</v>
      </c>
      <c r="N1">
        <v>11</v>
      </c>
      <c r="O1">
        <v>6</v>
      </c>
      <c r="P1">
        <v>5</v>
      </c>
      <c r="Q1">
        <v>6</v>
      </c>
    </row>
    <row r="4" spans="1:133" x14ac:dyDescent="0.2">
      <c r="A4" s="1">
        <v>8</v>
      </c>
      <c r="B4" s="1">
        <v>1</v>
      </c>
      <c r="C4" s="1">
        <v>-1</v>
      </c>
      <c r="D4" s="1"/>
      <c r="E4" s="1"/>
      <c r="F4" s="1"/>
      <c r="G4" s="1" t="s">
        <v>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>
        <v>0</v>
      </c>
    </row>
    <row r="12" spans="1:133" x14ac:dyDescent="0.2">
      <c r="A12" s="1">
        <v>1</v>
      </c>
      <c r="B12" s="1">
        <v>232</v>
      </c>
      <c r="C12" s="1">
        <v>0</v>
      </c>
      <c r="D12" s="1">
        <f>ROW(A170)</f>
        <v>170</v>
      </c>
      <c r="E12" s="1">
        <v>0</v>
      </c>
      <c r="F12" s="1" t="s">
        <v>3</v>
      </c>
      <c r="G12" s="1" t="s">
        <v>5</v>
      </c>
      <c r="H12" s="1" t="s">
        <v>3</v>
      </c>
      <c r="I12" s="1">
        <v>0</v>
      </c>
      <c r="J12" s="1" t="s">
        <v>6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7</v>
      </c>
      <c r="AC12" s="1" t="s">
        <v>3</v>
      </c>
      <c r="AD12" s="1" t="s">
        <v>8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9</v>
      </c>
      <c r="BI12" s="1" t="s">
        <v>10</v>
      </c>
      <c r="BJ12" s="1">
        <v>0</v>
      </c>
      <c r="BK12" s="1">
        <v>0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0</v>
      </c>
      <c r="BT12" s="1">
        <v>0</v>
      </c>
      <c r="BU12" s="1">
        <v>0</v>
      </c>
      <c r="BV12" s="1">
        <v>1</v>
      </c>
      <c r="BW12" s="1">
        <v>1</v>
      </c>
      <c r="BX12" s="1">
        <v>0</v>
      </c>
      <c r="BY12" s="1" t="s">
        <v>11</v>
      </c>
      <c r="BZ12" s="1" t="s">
        <v>12</v>
      </c>
      <c r="CA12" s="1" t="s">
        <v>13</v>
      </c>
      <c r="CB12" s="1" t="s">
        <v>13</v>
      </c>
      <c r="CC12" s="1" t="s">
        <v>13</v>
      </c>
      <c r="CD12" s="1" t="s">
        <v>13</v>
      </c>
      <c r="CE12" s="1" t="s">
        <v>14</v>
      </c>
      <c r="CF12" s="1">
        <v>0</v>
      </c>
      <c r="CG12" s="1">
        <v>0</v>
      </c>
      <c r="CH12" s="1">
        <v>17301512</v>
      </c>
      <c r="CI12" s="1" t="s">
        <v>3</v>
      </c>
      <c r="CJ12" s="1" t="s">
        <v>3</v>
      </c>
      <c r="CK12" s="1">
        <v>9</v>
      </c>
      <c r="CL12" s="1"/>
      <c r="CM12" s="1"/>
      <c r="CN12" s="1"/>
      <c r="CO12" s="1"/>
      <c r="CP12" s="1"/>
      <c r="CQ12" s="1" t="s">
        <v>596</v>
      </c>
      <c r="CR12" s="1" t="s">
        <v>15</v>
      </c>
      <c r="CS12" s="1">
        <v>44551</v>
      </c>
      <c r="CT12" s="1">
        <v>395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B170</f>
        <v>232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/>
      </c>
      <c r="G18" s="2" t="str">
        <f t="shared" si="0"/>
        <v>02/16/45-7-АС  (изм.1)_(1 кв.24)</v>
      </c>
      <c r="H18" s="2"/>
      <c r="I18" s="2"/>
      <c r="J18" s="2"/>
      <c r="K18" s="2"/>
      <c r="L18" s="2"/>
      <c r="M18" s="2"/>
      <c r="N18" s="2"/>
      <c r="O18" s="2">
        <f t="shared" ref="O18:AT18" si="1">O170</f>
        <v>14865091.16</v>
      </c>
      <c r="P18" s="2">
        <f t="shared" si="1"/>
        <v>11482602.91</v>
      </c>
      <c r="Q18" s="2">
        <f t="shared" si="1"/>
        <v>1368347.77</v>
      </c>
      <c r="R18" s="2">
        <f t="shared" si="1"/>
        <v>308793.34999999998</v>
      </c>
      <c r="S18" s="2">
        <f t="shared" si="1"/>
        <v>2014140.48</v>
      </c>
      <c r="T18" s="2">
        <f t="shared" si="1"/>
        <v>0</v>
      </c>
      <c r="U18" s="2">
        <f t="shared" si="1"/>
        <v>7630.8687987000003</v>
      </c>
      <c r="V18" s="2">
        <f t="shared" si="1"/>
        <v>821.78897125000003</v>
      </c>
      <c r="W18" s="2">
        <f t="shared" si="1"/>
        <v>0</v>
      </c>
      <c r="X18" s="2">
        <f t="shared" si="1"/>
        <v>2249208.3199999998</v>
      </c>
      <c r="Y18" s="2">
        <f t="shared" si="1"/>
        <v>1333694.3600000001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18626753.440000001</v>
      </c>
      <c r="AS18" s="2">
        <f t="shared" si="1"/>
        <v>16843714.289999999</v>
      </c>
      <c r="AT18" s="2">
        <f t="shared" si="1"/>
        <v>1783039.15</v>
      </c>
      <c r="AU18" s="2">
        <f t="shared" ref="AU18:BZ18" si="2">AU170</f>
        <v>0</v>
      </c>
      <c r="AV18" s="2">
        <f t="shared" si="2"/>
        <v>11482602.91</v>
      </c>
      <c r="AW18" s="2">
        <f t="shared" si="2"/>
        <v>11482602.91</v>
      </c>
      <c r="AX18" s="2">
        <f t="shared" si="2"/>
        <v>0</v>
      </c>
      <c r="AY18" s="2">
        <f t="shared" si="2"/>
        <v>11482602.91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178759.6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CA170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DG170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EM170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FS170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ROW(A140)</f>
        <v>140</v>
      </c>
      <c r="E20" s="1"/>
      <c r="F20" s="1" t="s">
        <v>16</v>
      </c>
      <c r="G20" s="1" t="s">
        <v>17</v>
      </c>
      <c r="H20" s="1" t="s">
        <v>3</v>
      </c>
      <c r="I20" s="1">
        <v>0</v>
      </c>
      <c r="J20" s="1" t="s">
        <v>18</v>
      </c>
      <c r="K20" s="1">
        <v>-1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B140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02/16/45-7-АС.СМк1</v>
      </c>
      <c r="G22" s="2" t="str">
        <f t="shared" si="7"/>
        <v>АО "Кавказцемент"  Замена кровли склада добавок.</v>
      </c>
      <c r="H22" s="2"/>
      <c r="I22" s="2"/>
      <c r="J22" s="2"/>
      <c r="K22" s="2"/>
      <c r="L22" s="2"/>
      <c r="M22" s="2"/>
      <c r="N22" s="2"/>
      <c r="O22" s="2">
        <f t="shared" ref="O22:AT22" si="8">O140</f>
        <v>14865091.16</v>
      </c>
      <c r="P22" s="2">
        <f t="shared" si="8"/>
        <v>11482602.91</v>
      </c>
      <c r="Q22" s="2">
        <f t="shared" si="8"/>
        <v>1368347.77</v>
      </c>
      <c r="R22" s="2">
        <f t="shared" si="8"/>
        <v>308793.34999999998</v>
      </c>
      <c r="S22" s="2">
        <f t="shared" si="8"/>
        <v>2014140.48</v>
      </c>
      <c r="T22" s="2">
        <f t="shared" si="8"/>
        <v>0</v>
      </c>
      <c r="U22" s="2">
        <f t="shared" si="8"/>
        <v>7630.8687987000003</v>
      </c>
      <c r="V22" s="2">
        <f t="shared" si="8"/>
        <v>821.78897125000003</v>
      </c>
      <c r="W22" s="2">
        <f t="shared" si="8"/>
        <v>0</v>
      </c>
      <c r="X22" s="2">
        <f t="shared" si="8"/>
        <v>2249208.3199999998</v>
      </c>
      <c r="Y22" s="2">
        <f t="shared" si="8"/>
        <v>1333694.3600000001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18626753.440000001</v>
      </c>
      <c r="AS22" s="2">
        <f t="shared" si="8"/>
        <v>16843714.289999999</v>
      </c>
      <c r="AT22" s="2">
        <f t="shared" si="8"/>
        <v>1783039.15</v>
      </c>
      <c r="AU22" s="2">
        <f t="shared" ref="AU22:BZ22" si="9">AU140</f>
        <v>0</v>
      </c>
      <c r="AV22" s="2">
        <f t="shared" si="9"/>
        <v>11482602.91</v>
      </c>
      <c r="AW22" s="2">
        <f t="shared" si="9"/>
        <v>11482602.91</v>
      </c>
      <c r="AX22" s="2">
        <f t="shared" si="9"/>
        <v>0</v>
      </c>
      <c r="AY22" s="2">
        <f t="shared" si="9"/>
        <v>11482602.91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178759.6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CA140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DG140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EM140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FS140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 s="1">
        <v>4</v>
      </c>
      <c r="B24" s="1">
        <v>1</v>
      </c>
      <c r="C24" s="1"/>
      <c r="D24" s="1">
        <f>ROW(A39)</f>
        <v>39</v>
      </c>
      <c r="E24" s="1"/>
      <c r="F24" s="1" t="s">
        <v>19</v>
      </c>
      <c r="G24" s="1" t="s">
        <v>20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 x14ac:dyDescent="0.2">
      <c r="A26" s="2">
        <v>52</v>
      </c>
      <c r="B26" s="2">
        <f t="shared" ref="B26:G26" si="14">B39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Демонтажные работы</v>
      </c>
      <c r="H26" s="2"/>
      <c r="I26" s="2"/>
      <c r="J26" s="2"/>
      <c r="K26" s="2"/>
      <c r="L26" s="2"/>
      <c r="M26" s="2"/>
      <c r="N26" s="2"/>
      <c r="O26" s="2">
        <f t="shared" ref="O26:AT26" si="15">O39</f>
        <v>829077.26</v>
      </c>
      <c r="P26" s="2">
        <f t="shared" si="15"/>
        <v>12839.14</v>
      </c>
      <c r="Q26" s="2">
        <f t="shared" si="15"/>
        <v>464550.41</v>
      </c>
      <c r="R26" s="2">
        <f t="shared" si="15"/>
        <v>100607.17</v>
      </c>
      <c r="S26" s="2">
        <f t="shared" si="15"/>
        <v>351687.71</v>
      </c>
      <c r="T26" s="2">
        <f t="shared" si="15"/>
        <v>0</v>
      </c>
      <c r="U26" s="2">
        <f t="shared" si="15"/>
        <v>1408.4384</v>
      </c>
      <c r="V26" s="2">
        <f t="shared" si="15"/>
        <v>272.09136000000001</v>
      </c>
      <c r="W26" s="2">
        <f t="shared" si="15"/>
        <v>0</v>
      </c>
      <c r="X26" s="2">
        <f t="shared" si="15"/>
        <v>487281.7</v>
      </c>
      <c r="Y26" s="2">
        <f t="shared" si="15"/>
        <v>309689.93</v>
      </c>
      <c r="Z26" s="2">
        <f t="shared" si="15"/>
        <v>0</v>
      </c>
      <c r="AA26" s="2">
        <f t="shared" si="15"/>
        <v>0</v>
      </c>
      <c r="AB26" s="2">
        <f t="shared" si="15"/>
        <v>829077.26</v>
      </c>
      <c r="AC26" s="2">
        <f t="shared" si="15"/>
        <v>12839.14</v>
      </c>
      <c r="AD26" s="2">
        <f t="shared" si="15"/>
        <v>464550.41</v>
      </c>
      <c r="AE26" s="2">
        <f t="shared" si="15"/>
        <v>100607.17</v>
      </c>
      <c r="AF26" s="2">
        <f t="shared" si="15"/>
        <v>351687.71</v>
      </c>
      <c r="AG26" s="2">
        <f t="shared" si="15"/>
        <v>0</v>
      </c>
      <c r="AH26" s="2">
        <f t="shared" si="15"/>
        <v>1408.4384</v>
      </c>
      <c r="AI26" s="2">
        <f t="shared" si="15"/>
        <v>272.09136000000001</v>
      </c>
      <c r="AJ26" s="2">
        <f t="shared" si="15"/>
        <v>0</v>
      </c>
      <c r="AK26" s="2">
        <f t="shared" si="15"/>
        <v>487281.7</v>
      </c>
      <c r="AL26" s="2">
        <f t="shared" si="15"/>
        <v>309689.93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1804808.49</v>
      </c>
      <c r="AS26" s="2">
        <f t="shared" si="15"/>
        <v>1804808.49</v>
      </c>
      <c r="AT26" s="2">
        <f t="shared" si="15"/>
        <v>0</v>
      </c>
      <c r="AU26" s="2">
        <f t="shared" ref="AU26:BZ26" si="16">AU39</f>
        <v>0</v>
      </c>
      <c r="AV26" s="2">
        <f t="shared" si="16"/>
        <v>12839.14</v>
      </c>
      <c r="AW26" s="2">
        <f t="shared" si="16"/>
        <v>12839.14</v>
      </c>
      <c r="AX26" s="2">
        <f t="shared" si="16"/>
        <v>0</v>
      </c>
      <c r="AY26" s="2">
        <f t="shared" si="16"/>
        <v>12839.14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178759.6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CA39</f>
        <v>1804808.49</v>
      </c>
      <c r="CB26" s="2">
        <f t="shared" si="17"/>
        <v>1804808.49</v>
      </c>
      <c r="CC26" s="2">
        <f t="shared" si="17"/>
        <v>0</v>
      </c>
      <c r="CD26" s="2">
        <f t="shared" si="17"/>
        <v>0</v>
      </c>
      <c r="CE26" s="2">
        <f t="shared" si="17"/>
        <v>12839.14</v>
      </c>
      <c r="CF26" s="2">
        <f t="shared" si="17"/>
        <v>12839.14</v>
      </c>
      <c r="CG26" s="2">
        <f t="shared" si="17"/>
        <v>0</v>
      </c>
      <c r="CH26" s="2">
        <f t="shared" si="17"/>
        <v>12839.14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178759.6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DG39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EM39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FS39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 x14ac:dyDescent="0.2">
      <c r="A28">
        <v>17</v>
      </c>
      <c r="B28">
        <v>1</v>
      </c>
      <c r="C28">
        <f>ROW(SmtRes!A2)</f>
        <v>2</v>
      </c>
      <c r="D28">
        <f>ROW(EtalonRes!A2)</f>
        <v>2</v>
      </c>
      <c r="E28" t="s">
        <v>21</v>
      </c>
      <c r="F28" t="s">
        <v>22</v>
      </c>
      <c r="G28" t="s">
        <v>23</v>
      </c>
      <c r="H28" t="s">
        <v>24</v>
      </c>
      <c r="I28">
        <f>ROUND(4448/100,9)</f>
        <v>44.48</v>
      </c>
      <c r="J28">
        <v>0</v>
      </c>
      <c r="K28">
        <f>ROUND(4448/100,9)</f>
        <v>44.48</v>
      </c>
      <c r="O28">
        <f>ROUND(CP28,2)</f>
        <v>167552.89000000001</v>
      </c>
      <c r="P28">
        <f>ROUND(CQ28*I28,2)</f>
        <v>0</v>
      </c>
      <c r="Q28">
        <f>ROUND(CR28*I28,2)</f>
        <v>21229.13</v>
      </c>
      <c r="R28">
        <f>ROUND(CS28*I28,2)</f>
        <v>0</v>
      </c>
      <c r="S28">
        <f>ROUND(CT28*I28,2)</f>
        <v>146323.76</v>
      </c>
      <c r="T28">
        <f>ROUND(CU28*I28,2)</f>
        <v>0</v>
      </c>
      <c r="U28">
        <f>CV28*I28</f>
        <v>639.62239999999997</v>
      </c>
      <c r="V28">
        <f>CW28*I28</f>
        <v>0</v>
      </c>
      <c r="W28">
        <f>ROUND(CX28*I28,2)</f>
        <v>0</v>
      </c>
      <c r="X28">
        <f t="shared" ref="X28:Y31" si="21">ROUND(CY28,2)</f>
        <v>150713.47</v>
      </c>
      <c r="Y28">
        <f t="shared" si="21"/>
        <v>86331.02</v>
      </c>
      <c r="AA28">
        <v>145262827</v>
      </c>
      <c r="AB28">
        <f>ROUND((AC28+AD28+AF28),2)</f>
        <v>153.59</v>
      </c>
      <c r="AC28">
        <f>ROUND((ES28),2)</f>
        <v>0</v>
      </c>
      <c r="AD28">
        <f>ROUND((((ET28)-(EU28))+AE28),2)</f>
        <v>41.43</v>
      </c>
      <c r="AE28">
        <f>ROUND((EU28),2)</f>
        <v>0</v>
      </c>
      <c r="AF28">
        <f>ROUND((EV28),2)</f>
        <v>112.16</v>
      </c>
      <c r="AG28">
        <f>ROUND((AP28),2)</f>
        <v>0</v>
      </c>
      <c r="AH28">
        <f>(EW28)</f>
        <v>14.38</v>
      </c>
      <c r="AI28">
        <f>(EX28)</f>
        <v>0</v>
      </c>
      <c r="AJ28">
        <f>(AS28)</f>
        <v>0</v>
      </c>
      <c r="AK28">
        <v>153.59</v>
      </c>
      <c r="AL28">
        <v>0</v>
      </c>
      <c r="AM28">
        <v>41.43</v>
      </c>
      <c r="AN28">
        <v>0</v>
      </c>
      <c r="AO28">
        <v>112.16</v>
      </c>
      <c r="AP28">
        <v>0</v>
      </c>
      <c r="AQ28">
        <v>14.38</v>
      </c>
      <c r="AR28">
        <v>0</v>
      </c>
      <c r="AS28">
        <v>0</v>
      </c>
      <c r="AT28">
        <v>103</v>
      </c>
      <c r="AU28">
        <v>59</v>
      </c>
      <c r="AV28">
        <v>1</v>
      </c>
      <c r="AW28">
        <v>1</v>
      </c>
      <c r="AZ28">
        <v>1</v>
      </c>
      <c r="BA28">
        <v>29.33</v>
      </c>
      <c r="BB28">
        <v>11.52</v>
      </c>
      <c r="BC28">
        <v>8.48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25</v>
      </c>
      <c r="BM28">
        <v>46001</v>
      </c>
      <c r="BN28">
        <v>0</v>
      </c>
      <c r="BO28" t="s">
        <v>3</v>
      </c>
      <c r="BP28">
        <v>0</v>
      </c>
      <c r="BQ28">
        <v>2</v>
      </c>
      <c r="BR28">
        <v>0</v>
      </c>
      <c r="BS28">
        <v>29.33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103</v>
      </c>
      <c r="CA28">
        <v>59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>(P28+Q28+S28)</f>
        <v>167552.89000000001</v>
      </c>
      <c r="CQ28">
        <f>AC28*BC28</f>
        <v>0</v>
      </c>
      <c r="CR28">
        <f>(((ET28)*BB28-(EU28)*BS28)+AE28*BS28)</f>
        <v>477.27359999999999</v>
      </c>
      <c r="CS28">
        <f>AE28*BS28</f>
        <v>0</v>
      </c>
      <c r="CT28">
        <f>AF28*BA28</f>
        <v>3289.6527999999998</v>
      </c>
      <c r="CU28">
        <f t="shared" ref="CU28:CX31" si="22">AG28</f>
        <v>0</v>
      </c>
      <c r="CV28">
        <f t="shared" si="22"/>
        <v>14.38</v>
      </c>
      <c r="CW28">
        <f t="shared" si="22"/>
        <v>0</v>
      </c>
      <c r="CX28">
        <f t="shared" si="22"/>
        <v>0</v>
      </c>
      <c r="CY28">
        <f>(((S28+R28)*AT28)/100)</f>
        <v>150713.47280000002</v>
      </c>
      <c r="CZ28">
        <f>(((S28+R28)*AU28)/100)</f>
        <v>86331.018400000001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1005</v>
      </c>
      <c r="DV28" t="s">
        <v>24</v>
      </c>
      <c r="DW28" t="s">
        <v>24</v>
      </c>
      <c r="DX28">
        <v>100</v>
      </c>
      <c r="DZ28" t="s">
        <v>3</v>
      </c>
      <c r="EA28" t="s">
        <v>3</v>
      </c>
      <c r="EB28" t="s">
        <v>3</v>
      </c>
      <c r="EC28" t="s">
        <v>3</v>
      </c>
      <c r="EE28">
        <v>140625131</v>
      </c>
      <c r="EF28">
        <v>2</v>
      </c>
      <c r="EG28" t="s">
        <v>26</v>
      </c>
      <c r="EH28">
        <v>40</v>
      </c>
      <c r="EI28" t="s">
        <v>27</v>
      </c>
      <c r="EJ28">
        <v>1</v>
      </c>
      <c r="EK28">
        <v>46001</v>
      </c>
      <c r="EL28" t="s">
        <v>28</v>
      </c>
      <c r="EM28" t="s">
        <v>29</v>
      </c>
      <c r="EO28" t="s">
        <v>3</v>
      </c>
      <c r="EQ28">
        <v>131072</v>
      </c>
      <c r="ER28">
        <v>153.59</v>
      </c>
      <c r="ES28">
        <v>0</v>
      </c>
      <c r="ET28">
        <v>41.43</v>
      </c>
      <c r="EU28">
        <v>0</v>
      </c>
      <c r="EV28">
        <v>112.16</v>
      </c>
      <c r="EW28">
        <v>14.38</v>
      </c>
      <c r="EX28">
        <v>0</v>
      </c>
      <c r="EY28">
        <v>0</v>
      </c>
      <c r="FQ28">
        <v>0</v>
      </c>
      <c r="FR28">
        <f t="shared" ref="FR28:FR37" si="23">ROUND(IF(BI28=3,GM28,0),2)</f>
        <v>0</v>
      </c>
      <c r="FS28">
        <v>0</v>
      </c>
      <c r="FX28">
        <v>103</v>
      </c>
      <c r="FY28">
        <v>59</v>
      </c>
      <c r="GA28" t="s">
        <v>3</v>
      </c>
      <c r="GD28">
        <v>1</v>
      </c>
      <c r="GF28">
        <v>1346425213</v>
      </c>
      <c r="GG28">
        <v>2</v>
      </c>
      <c r="GH28">
        <v>1</v>
      </c>
      <c r="GI28">
        <v>4</v>
      </c>
      <c r="GJ28">
        <v>0</v>
      </c>
      <c r="GK28">
        <v>0</v>
      </c>
      <c r="GL28">
        <f t="shared" ref="GL28:GL37" si="24">ROUND(IF(AND(BH28=3,BI28=3,FS28&lt;&gt;0),P28,0),2)</f>
        <v>0</v>
      </c>
      <c r="GM28">
        <f>ROUND(O28+X28+Y28,2)+GX28</f>
        <v>404597.38</v>
      </c>
      <c r="GN28">
        <f>IF(OR(BI28=0,BI28=1),ROUND(O28+X28+Y28,2),0)</f>
        <v>404597.38</v>
      </c>
      <c r="GO28">
        <f>IF(BI28=2,ROUND(O28+X28+Y28,2),0)</f>
        <v>0</v>
      </c>
      <c r="GP28">
        <f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>ROUND((GT28),2)</f>
        <v>0</v>
      </c>
      <c r="GW28">
        <v>1</v>
      </c>
      <c r="GX28">
        <f>ROUND(HC28*I28,2)</f>
        <v>0</v>
      </c>
      <c r="HA28">
        <v>0</v>
      </c>
      <c r="HB28">
        <v>0</v>
      </c>
      <c r="HC28">
        <f>GV28*GW28</f>
        <v>0</v>
      </c>
      <c r="HE28" t="s">
        <v>3</v>
      </c>
      <c r="HF28" t="s">
        <v>3</v>
      </c>
      <c r="HM28" t="s">
        <v>3</v>
      </c>
      <c r="HN28" t="s">
        <v>30</v>
      </c>
      <c r="HO28" t="s">
        <v>31</v>
      </c>
      <c r="HP28" t="s">
        <v>28</v>
      </c>
      <c r="HQ28" t="s">
        <v>28</v>
      </c>
      <c r="IK28">
        <v>0</v>
      </c>
    </row>
    <row r="29" spans="1:245" x14ac:dyDescent="0.2">
      <c r="A29">
        <v>17</v>
      </c>
      <c r="B29">
        <v>1</v>
      </c>
      <c r="C29">
        <f>ROW(SmtRes!A16)</f>
        <v>16</v>
      </c>
      <c r="D29">
        <f>ROW(EtalonRes!A18)</f>
        <v>18</v>
      </c>
      <c r="E29" t="s">
        <v>32</v>
      </c>
      <c r="F29" t="s">
        <v>33</v>
      </c>
      <c r="G29" t="s">
        <v>34</v>
      </c>
      <c r="H29" t="s">
        <v>35</v>
      </c>
      <c r="I29">
        <f>ROUND(360/100,9)</f>
        <v>3.6</v>
      </c>
      <c r="J29">
        <v>0</v>
      </c>
      <c r="K29">
        <f>ROUND(360/100,9)</f>
        <v>3.6</v>
      </c>
      <c r="O29">
        <f>ROUND(CP29,2)</f>
        <v>521019.72</v>
      </c>
      <c r="P29">
        <f>ROUND(CQ29*I29,2)</f>
        <v>0</v>
      </c>
      <c r="Q29">
        <f>ROUND(CR29*I29,2)</f>
        <v>363193.11</v>
      </c>
      <c r="R29">
        <f>ROUND(CS29*I29,2)</f>
        <v>79940.67</v>
      </c>
      <c r="S29">
        <f>ROUND(CT29*I29,2)</f>
        <v>157826.60999999999</v>
      </c>
      <c r="T29">
        <f>ROUND(CU29*I29,2)</f>
        <v>0</v>
      </c>
      <c r="U29">
        <f>CV29*I29</f>
        <v>593.28000000000009</v>
      </c>
      <c r="V29">
        <f>CW29*I29</f>
        <v>217.41119999999998</v>
      </c>
      <c r="W29">
        <f>ROUND(CX29*I29,2)</f>
        <v>0</v>
      </c>
      <c r="X29">
        <f t="shared" si="21"/>
        <v>261544.01</v>
      </c>
      <c r="Y29">
        <f t="shared" si="21"/>
        <v>173570.11</v>
      </c>
      <c r="AA29">
        <v>145262827</v>
      </c>
      <c r="AB29">
        <f>ROUND((AC29+AD29+AF29),2)</f>
        <v>10252.299999999999</v>
      </c>
      <c r="AC29">
        <f>ROUND(((ES29*0)),2)</f>
        <v>0</v>
      </c>
      <c r="AD29">
        <f>ROUND(((((ET29*0.8))-((EU29*0.8)))+AE29),2)</f>
        <v>8757.56</v>
      </c>
      <c r="AE29">
        <f t="shared" ref="AE29:AF31" si="25">ROUND(((EU29*0.8)),2)</f>
        <v>757.1</v>
      </c>
      <c r="AF29">
        <f t="shared" si="25"/>
        <v>1494.74</v>
      </c>
      <c r="AG29">
        <f>ROUND((AP29),2)</f>
        <v>0</v>
      </c>
      <c r="AH29">
        <f t="shared" ref="AH29:AI31" si="26">((EW29*0.8))</f>
        <v>164.8</v>
      </c>
      <c r="AI29">
        <f t="shared" si="26"/>
        <v>60.391999999999996</v>
      </c>
      <c r="AJ29">
        <f>(AS29)</f>
        <v>0</v>
      </c>
      <c r="AK29">
        <v>14962.6</v>
      </c>
      <c r="AL29">
        <v>2147.23</v>
      </c>
      <c r="AM29">
        <v>10946.95</v>
      </c>
      <c r="AN29">
        <v>946.38</v>
      </c>
      <c r="AO29">
        <v>1868.42</v>
      </c>
      <c r="AP29">
        <v>0</v>
      </c>
      <c r="AQ29">
        <v>206</v>
      </c>
      <c r="AR29">
        <v>75.489999999999995</v>
      </c>
      <c r="AS29">
        <v>0</v>
      </c>
      <c r="AT29">
        <v>110</v>
      </c>
      <c r="AU29">
        <v>73</v>
      </c>
      <c r="AV29">
        <v>1</v>
      </c>
      <c r="AW29">
        <v>1</v>
      </c>
      <c r="AZ29">
        <v>1</v>
      </c>
      <c r="BA29">
        <v>29.33</v>
      </c>
      <c r="BB29">
        <v>11.52</v>
      </c>
      <c r="BC29">
        <v>8.48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36</v>
      </c>
      <c r="BM29">
        <v>7001</v>
      </c>
      <c r="BN29">
        <v>0</v>
      </c>
      <c r="BO29" t="s">
        <v>3</v>
      </c>
      <c r="BP29">
        <v>0</v>
      </c>
      <c r="BQ29">
        <v>2</v>
      </c>
      <c r="BR29">
        <v>0</v>
      </c>
      <c r="BS29">
        <v>29.33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110</v>
      </c>
      <c r="CA29">
        <v>73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37</v>
      </c>
      <c r="CO29">
        <v>0</v>
      </c>
      <c r="CP29">
        <f>(P29+Q29+S29)</f>
        <v>521019.72</v>
      </c>
      <c r="CQ29">
        <f>AC29*BC29</f>
        <v>0</v>
      </c>
      <c r="CR29">
        <f>((((ET29*0.8))*BB29-((EU29*0.8))*BS29)+AE29*BS29)</f>
        <v>100886.97388000002</v>
      </c>
      <c r="CS29">
        <f>AE29*BS29</f>
        <v>22205.742999999999</v>
      </c>
      <c r="CT29">
        <f>AF29*BA29</f>
        <v>43840.724199999997</v>
      </c>
      <c r="CU29">
        <f t="shared" si="22"/>
        <v>0</v>
      </c>
      <c r="CV29">
        <f t="shared" si="22"/>
        <v>164.8</v>
      </c>
      <c r="CW29">
        <f t="shared" si="22"/>
        <v>60.391999999999996</v>
      </c>
      <c r="CX29">
        <f t="shared" si="22"/>
        <v>0</v>
      </c>
      <c r="CY29">
        <f>(((S29+R29)*AT29)/100)</f>
        <v>261544.00799999997</v>
      </c>
      <c r="CZ29">
        <f>(((S29+R29)*AU29)/100)</f>
        <v>173570.11439999996</v>
      </c>
      <c r="DC29" t="s">
        <v>3</v>
      </c>
      <c r="DD29" t="s">
        <v>38</v>
      </c>
      <c r="DE29" t="s">
        <v>39</v>
      </c>
      <c r="DF29" t="s">
        <v>39</v>
      </c>
      <c r="DG29" t="s">
        <v>39</v>
      </c>
      <c r="DH29" t="s">
        <v>3</v>
      </c>
      <c r="DI29" t="s">
        <v>39</v>
      </c>
      <c r="DJ29" t="s">
        <v>39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35</v>
      </c>
      <c r="DW29" t="s">
        <v>35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140625015</v>
      </c>
      <c r="EF29">
        <v>2</v>
      </c>
      <c r="EG29" t="s">
        <v>26</v>
      </c>
      <c r="EH29">
        <v>7</v>
      </c>
      <c r="EI29" t="s">
        <v>40</v>
      </c>
      <c r="EJ29">
        <v>1</v>
      </c>
      <c r="EK29">
        <v>7001</v>
      </c>
      <c r="EL29" t="s">
        <v>40</v>
      </c>
      <c r="EM29" t="s">
        <v>41</v>
      </c>
      <c r="EO29" t="s">
        <v>42</v>
      </c>
      <c r="EQ29">
        <v>131072</v>
      </c>
      <c r="ER29">
        <v>14962.6</v>
      </c>
      <c r="ES29">
        <v>2147.23</v>
      </c>
      <c r="ET29">
        <v>10946.95</v>
      </c>
      <c r="EU29">
        <v>946.38</v>
      </c>
      <c r="EV29">
        <v>1868.42</v>
      </c>
      <c r="EW29">
        <v>206</v>
      </c>
      <c r="EX29">
        <v>75.489999999999995</v>
      </c>
      <c r="EY29">
        <v>0</v>
      </c>
      <c r="FQ29">
        <v>0</v>
      </c>
      <c r="FR29">
        <f t="shared" si="23"/>
        <v>0</v>
      </c>
      <c r="FS29">
        <v>0</v>
      </c>
      <c r="FX29">
        <v>110</v>
      </c>
      <c r="FY29">
        <v>73</v>
      </c>
      <c r="GA29" t="s">
        <v>3</v>
      </c>
      <c r="GD29">
        <v>1</v>
      </c>
      <c r="GF29">
        <v>3466808</v>
      </c>
      <c r="GG29">
        <v>2</v>
      </c>
      <c r="GH29">
        <v>1</v>
      </c>
      <c r="GI29">
        <v>4</v>
      </c>
      <c r="GJ29">
        <v>0</v>
      </c>
      <c r="GK29">
        <v>0</v>
      </c>
      <c r="GL29">
        <f t="shared" si="24"/>
        <v>0</v>
      </c>
      <c r="GM29">
        <f>ROUND(O29+X29+Y29,2)+GX29</f>
        <v>956133.84</v>
      </c>
      <c r="GN29">
        <f>IF(OR(BI29=0,BI29=1),ROUND(O29+X29+Y29,2),0)</f>
        <v>956133.84</v>
      </c>
      <c r="GO29">
        <f>IF(BI29=2,ROUND(O29+X29+Y29,2),0)</f>
        <v>0</v>
      </c>
      <c r="GP29">
        <f>IF(BI29=4,ROUND(O29+X29+Y29,2)+GX29,0)</f>
        <v>0</v>
      </c>
      <c r="GR29">
        <v>0</v>
      </c>
      <c r="GS29">
        <v>3</v>
      </c>
      <c r="GT29">
        <v>0</v>
      </c>
      <c r="GU29" t="s">
        <v>3</v>
      </c>
      <c r="GV29">
        <f>ROUND((GT29),2)</f>
        <v>0</v>
      </c>
      <c r="GW29">
        <v>1</v>
      </c>
      <c r="GX29">
        <f>ROUND(HC29*I29,2)</f>
        <v>0</v>
      </c>
      <c r="HA29">
        <v>0</v>
      </c>
      <c r="HB29">
        <v>0</v>
      </c>
      <c r="HC29">
        <f>GV29*GW29</f>
        <v>0</v>
      </c>
      <c r="HE29" t="s">
        <v>3</v>
      </c>
      <c r="HF29" t="s">
        <v>3</v>
      </c>
      <c r="HM29" t="s">
        <v>3</v>
      </c>
      <c r="HN29" t="s">
        <v>43</v>
      </c>
      <c r="HO29" t="s">
        <v>44</v>
      </c>
      <c r="HP29" t="s">
        <v>40</v>
      </c>
      <c r="HQ29" t="s">
        <v>40</v>
      </c>
      <c r="IK29">
        <v>0</v>
      </c>
    </row>
    <row r="30" spans="1:245" x14ac:dyDescent="0.2">
      <c r="A30">
        <v>17</v>
      </c>
      <c r="B30">
        <v>1</v>
      </c>
      <c r="C30">
        <f>ROW(SmtRes!A32)</f>
        <v>32</v>
      </c>
      <c r="D30">
        <f>ROW(EtalonRes!A36)</f>
        <v>36</v>
      </c>
      <c r="E30" t="s">
        <v>45</v>
      </c>
      <c r="F30" t="s">
        <v>46</v>
      </c>
      <c r="G30" t="s">
        <v>47</v>
      </c>
      <c r="H30" t="s">
        <v>35</v>
      </c>
      <c r="I30">
        <f>ROUND(50/100,9)</f>
        <v>0.5</v>
      </c>
      <c r="J30">
        <v>0</v>
      </c>
      <c r="K30">
        <f>ROUND(50/100,9)</f>
        <v>0.5</v>
      </c>
      <c r="O30">
        <f>ROUND(CP30,2)</f>
        <v>92923.97</v>
      </c>
      <c r="P30">
        <f>ROUND(CQ30*I30,2)</f>
        <v>0</v>
      </c>
      <c r="Q30">
        <f>ROUND(CR30*I30,2)</f>
        <v>63554.96</v>
      </c>
      <c r="R30">
        <f>ROUND(CS30*I30,2)</f>
        <v>14296.62</v>
      </c>
      <c r="S30">
        <f>ROUND(CT30*I30,2)</f>
        <v>29369.01</v>
      </c>
      <c r="T30">
        <f>ROUND(CU30*I30,2)</f>
        <v>0</v>
      </c>
      <c r="U30">
        <f>CV30*I30</f>
        <v>110.4</v>
      </c>
      <c r="V30">
        <f>CW30*I30</f>
        <v>38.536000000000001</v>
      </c>
      <c r="W30">
        <f>ROUND(CX30*I30,2)</f>
        <v>0</v>
      </c>
      <c r="X30">
        <f t="shared" si="21"/>
        <v>48032.19</v>
      </c>
      <c r="Y30">
        <f t="shared" si="21"/>
        <v>31875.91</v>
      </c>
      <c r="AA30">
        <v>145262827</v>
      </c>
      <c r="AB30">
        <f>ROUND((AC30+AD30+AF30),2)</f>
        <v>13036.51</v>
      </c>
      <c r="AC30">
        <f>ROUND(((ES30*0)),2)</f>
        <v>0</v>
      </c>
      <c r="AD30">
        <f>ROUND(((((ET30*0.8))-((EU30*0.8)))+AE30),2)</f>
        <v>11033.85</v>
      </c>
      <c r="AE30">
        <f t="shared" si="25"/>
        <v>974.88</v>
      </c>
      <c r="AF30">
        <f t="shared" si="25"/>
        <v>2002.66</v>
      </c>
      <c r="AG30">
        <f>ROUND((AP30),2)</f>
        <v>0</v>
      </c>
      <c r="AH30">
        <f t="shared" si="26"/>
        <v>220.8</v>
      </c>
      <c r="AI30">
        <f t="shared" si="26"/>
        <v>77.072000000000003</v>
      </c>
      <c r="AJ30">
        <f>(AS30)</f>
        <v>0</v>
      </c>
      <c r="AK30">
        <v>19122.37</v>
      </c>
      <c r="AL30">
        <v>2826.74</v>
      </c>
      <c r="AM30">
        <v>13792.31</v>
      </c>
      <c r="AN30">
        <v>1218.5999999999999</v>
      </c>
      <c r="AO30">
        <v>2503.3200000000002</v>
      </c>
      <c r="AP30">
        <v>0</v>
      </c>
      <c r="AQ30">
        <v>276</v>
      </c>
      <c r="AR30">
        <v>96.34</v>
      </c>
      <c r="AS30">
        <v>0</v>
      </c>
      <c r="AT30">
        <v>110</v>
      </c>
      <c r="AU30">
        <v>73</v>
      </c>
      <c r="AV30">
        <v>1</v>
      </c>
      <c r="AW30">
        <v>1</v>
      </c>
      <c r="AZ30">
        <v>1</v>
      </c>
      <c r="BA30">
        <v>29.33</v>
      </c>
      <c r="BB30">
        <v>11.52</v>
      </c>
      <c r="BC30">
        <v>8.48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1</v>
      </c>
      <c r="BJ30" t="s">
        <v>48</v>
      </c>
      <c r="BM30">
        <v>7001</v>
      </c>
      <c r="BN30">
        <v>0</v>
      </c>
      <c r="BO30" t="s">
        <v>3</v>
      </c>
      <c r="BP30">
        <v>0</v>
      </c>
      <c r="BQ30">
        <v>2</v>
      </c>
      <c r="BR30">
        <v>0</v>
      </c>
      <c r="BS30">
        <v>29.33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110</v>
      </c>
      <c r="CA30">
        <v>73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37</v>
      </c>
      <c r="CO30">
        <v>0</v>
      </c>
      <c r="CP30">
        <f>(P30+Q30+S30)</f>
        <v>92923.97</v>
      </c>
      <c r="CQ30">
        <f>AC30*BC30</f>
        <v>0</v>
      </c>
      <c r="CR30">
        <f>((((ET30*0.8))*BB30-((EU30*0.8))*BS30)+AE30*BS30)</f>
        <v>127109.92895999999</v>
      </c>
      <c r="CS30">
        <f>AE30*BS30</f>
        <v>28593.230399999997</v>
      </c>
      <c r="CT30">
        <f>AF30*BA30</f>
        <v>58738.017800000001</v>
      </c>
      <c r="CU30">
        <f t="shared" si="22"/>
        <v>0</v>
      </c>
      <c r="CV30">
        <f t="shared" si="22"/>
        <v>220.8</v>
      </c>
      <c r="CW30">
        <f t="shared" si="22"/>
        <v>77.072000000000003</v>
      </c>
      <c r="CX30">
        <f t="shared" si="22"/>
        <v>0</v>
      </c>
      <c r="CY30">
        <f>(((S30+R30)*AT30)/100)</f>
        <v>48032.192999999999</v>
      </c>
      <c r="CZ30">
        <f>(((S30+R30)*AU30)/100)</f>
        <v>31875.909899999999</v>
      </c>
      <c r="DC30" t="s">
        <v>3</v>
      </c>
      <c r="DD30" t="s">
        <v>38</v>
      </c>
      <c r="DE30" t="s">
        <v>39</v>
      </c>
      <c r="DF30" t="s">
        <v>39</v>
      </c>
      <c r="DG30" t="s">
        <v>39</v>
      </c>
      <c r="DH30" t="s">
        <v>3</v>
      </c>
      <c r="DI30" t="s">
        <v>39</v>
      </c>
      <c r="DJ30" t="s">
        <v>39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35</v>
      </c>
      <c r="DW30" t="s">
        <v>35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140625015</v>
      </c>
      <c r="EF30">
        <v>2</v>
      </c>
      <c r="EG30" t="s">
        <v>26</v>
      </c>
      <c r="EH30">
        <v>7</v>
      </c>
      <c r="EI30" t="s">
        <v>40</v>
      </c>
      <c r="EJ30">
        <v>1</v>
      </c>
      <c r="EK30">
        <v>7001</v>
      </c>
      <c r="EL30" t="s">
        <v>40</v>
      </c>
      <c r="EM30" t="s">
        <v>41</v>
      </c>
      <c r="EO30" t="s">
        <v>42</v>
      </c>
      <c r="EQ30">
        <v>131072</v>
      </c>
      <c r="ER30">
        <v>19122.37</v>
      </c>
      <c r="ES30">
        <v>2826.74</v>
      </c>
      <c r="ET30">
        <v>13792.31</v>
      </c>
      <c r="EU30">
        <v>1218.5999999999999</v>
      </c>
      <c r="EV30">
        <v>2503.3200000000002</v>
      </c>
      <c r="EW30">
        <v>276</v>
      </c>
      <c r="EX30">
        <v>96.34</v>
      </c>
      <c r="EY30">
        <v>0</v>
      </c>
      <c r="FQ30">
        <v>0</v>
      </c>
      <c r="FR30">
        <f t="shared" si="23"/>
        <v>0</v>
      </c>
      <c r="FS30">
        <v>0</v>
      </c>
      <c r="FX30">
        <v>110</v>
      </c>
      <c r="FY30">
        <v>73</v>
      </c>
      <c r="GA30" t="s">
        <v>3</v>
      </c>
      <c r="GD30">
        <v>1</v>
      </c>
      <c r="GF30">
        <v>-1579859652</v>
      </c>
      <c r="GG30">
        <v>2</v>
      </c>
      <c r="GH30">
        <v>1</v>
      </c>
      <c r="GI30">
        <v>4</v>
      </c>
      <c r="GJ30">
        <v>0</v>
      </c>
      <c r="GK30">
        <v>0</v>
      </c>
      <c r="GL30">
        <f t="shared" si="24"/>
        <v>0</v>
      </c>
      <c r="GM30">
        <f>ROUND(O30+X30+Y30,2)+GX30</f>
        <v>172832.07</v>
      </c>
      <c r="GN30">
        <f>IF(OR(BI30=0,BI30=1),ROUND(O30+X30+Y30,2),0)</f>
        <v>172832.07</v>
      </c>
      <c r="GO30">
        <f>IF(BI30=2,ROUND(O30+X30+Y30,2),0)</f>
        <v>0</v>
      </c>
      <c r="GP30">
        <f>IF(BI30=4,ROUND(O30+X30+Y30,2)+GX30,0)</f>
        <v>0</v>
      </c>
      <c r="GR30">
        <v>0</v>
      </c>
      <c r="GS30">
        <v>3</v>
      </c>
      <c r="GT30">
        <v>0</v>
      </c>
      <c r="GU30" t="s">
        <v>3</v>
      </c>
      <c r="GV30">
        <f>ROUND((GT30),2)</f>
        <v>0</v>
      </c>
      <c r="GW30">
        <v>1</v>
      </c>
      <c r="GX30">
        <f>ROUND(HC30*I30,2)</f>
        <v>0</v>
      </c>
      <c r="HA30">
        <v>0</v>
      </c>
      <c r="HB30">
        <v>0</v>
      </c>
      <c r="HC30">
        <f>GV30*GW30</f>
        <v>0</v>
      </c>
      <c r="HE30" t="s">
        <v>3</v>
      </c>
      <c r="HF30" t="s">
        <v>3</v>
      </c>
      <c r="HM30" t="s">
        <v>3</v>
      </c>
      <c r="HN30" t="s">
        <v>43</v>
      </c>
      <c r="HO30" t="s">
        <v>44</v>
      </c>
      <c r="HP30" t="s">
        <v>40</v>
      </c>
      <c r="HQ30" t="s">
        <v>40</v>
      </c>
      <c r="IK30">
        <v>0</v>
      </c>
    </row>
    <row r="31" spans="1:245" x14ac:dyDescent="0.2">
      <c r="A31">
        <v>17</v>
      </c>
      <c r="B31">
        <v>1</v>
      </c>
      <c r="C31">
        <f>ROW(SmtRes!A39)</f>
        <v>39</v>
      </c>
      <c r="D31">
        <f>ROW(EtalonRes!A44)</f>
        <v>44</v>
      </c>
      <c r="E31" t="s">
        <v>49</v>
      </c>
      <c r="F31" t="s">
        <v>50</v>
      </c>
      <c r="G31" t="s">
        <v>51</v>
      </c>
      <c r="H31" t="s">
        <v>35</v>
      </c>
      <c r="I31">
        <f>ROUND(46/100,9)</f>
        <v>0.46</v>
      </c>
      <c r="J31">
        <v>0</v>
      </c>
      <c r="K31">
        <f>ROUND(46/100,9)</f>
        <v>0.46</v>
      </c>
      <c r="O31">
        <f>ROUND(CP31,2)</f>
        <v>34741.54</v>
      </c>
      <c r="P31">
        <f>ROUND(CQ31*I31,2)</f>
        <v>0</v>
      </c>
      <c r="Q31">
        <f>ROUND(CR31*I31,2)</f>
        <v>16573.21</v>
      </c>
      <c r="R31">
        <f>ROUND(CS31*I31,2)</f>
        <v>6369.88</v>
      </c>
      <c r="S31">
        <f>ROUND(CT31*I31,2)</f>
        <v>18168.330000000002</v>
      </c>
      <c r="T31">
        <f>ROUND(CU31*I31,2)</f>
        <v>0</v>
      </c>
      <c r="U31">
        <f>CV31*I31</f>
        <v>65.135999999999996</v>
      </c>
      <c r="V31">
        <f>CW31*I31</f>
        <v>16.144159999999999</v>
      </c>
      <c r="W31">
        <f>ROUND(CX31*I31,2)</f>
        <v>0</v>
      </c>
      <c r="X31">
        <f t="shared" si="21"/>
        <v>26992.03</v>
      </c>
      <c r="Y31">
        <f t="shared" si="21"/>
        <v>17912.89</v>
      </c>
      <c r="AA31">
        <v>145262827</v>
      </c>
      <c r="AB31">
        <f>ROUND((AC31+AD31+AF31),2)</f>
        <v>4474.1099999999997</v>
      </c>
      <c r="AC31">
        <f>ROUND(((ES31*0)),2)</f>
        <v>0</v>
      </c>
      <c r="AD31">
        <f>ROUND(((((ET31*0.8))-((EU31*0.8)))+AE31),2)</f>
        <v>3127.49</v>
      </c>
      <c r="AE31">
        <f t="shared" si="25"/>
        <v>472.13</v>
      </c>
      <c r="AF31">
        <f t="shared" si="25"/>
        <v>1346.62</v>
      </c>
      <c r="AG31">
        <f>ROUND((AP31),2)</f>
        <v>0</v>
      </c>
      <c r="AH31">
        <f t="shared" si="26"/>
        <v>141.6</v>
      </c>
      <c r="AI31">
        <f t="shared" si="26"/>
        <v>35.095999999999997</v>
      </c>
      <c r="AJ31">
        <f>(AS31)</f>
        <v>0</v>
      </c>
      <c r="AK31">
        <v>7482.55</v>
      </c>
      <c r="AL31">
        <v>1889.92</v>
      </c>
      <c r="AM31">
        <v>3909.36</v>
      </c>
      <c r="AN31">
        <v>590.16</v>
      </c>
      <c r="AO31">
        <v>1683.27</v>
      </c>
      <c r="AP31">
        <v>0</v>
      </c>
      <c r="AQ31">
        <v>177</v>
      </c>
      <c r="AR31">
        <v>43.87</v>
      </c>
      <c r="AS31">
        <v>0</v>
      </c>
      <c r="AT31">
        <v>110</v>
      </c>
      <c r="AU31">
        <v>73</v>
      </c>
      <c r="AV31">
        <v>1</v>
      </c>
      <c r="AW31">
        <v>1</v>
      </c>
      <c r="AZ31">
        <v>1</v>
      </c>
      <c r="BA31">
        <v>29.33</v>
      </c>
      <c r="BB31">
        <v>11.52</v>
      </c>
      <c r="BC31">
        <v>8.48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1</v>
      </c>
      <c r="BJ31" t="s">
        <v>52</v>
      </c>
      <c r="BM31">
        <v>7001</v>
      </c>
      <c r="BN31">
        <v>0</v>
      </c>
      <c r="BO31" t="s">
        <v>3</v>
      </c>
      <c r="BP31">
        <v>0</v>
      </c>
      <c r="BQ31">
        <v>2</v>
      </c>
      <c r="BR31">
        <v>0</v>
      </c>
      <c r="BS31">
        <v>29.33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110</v>
      </c>
      <c r="CA31">
        <v>73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37</v>
      </c>
      <c r="CO31">
        <v>0</v>
      </c>
      <c r="CP31">
        <f>(P31+Q31+S31)</f>
        <v>34741.54</v>
      </c>
      <c r="CQ31">
        <f>AC31*BC31</f>
        <v>0</v>
      </c>
      <c r="CR31">
        <f>((((ET31*0.8))*BB31-((EU31*0.8))*BS31)+AE31*BS31)</f>
        <v>36028.720420000005</v>
      </c>
      <c r="CS31">
        <f>AE31*BS31</f>
        <v>13847.572899999999</v>
      </c>
      <c r="CT31">
        <f>AF31*BA31</f>
        <v>39496.364599999994</v>
      </c>
      <c r="CU31">
        <f t="shared" si="22"/>
        <v>0</v>
      </c>
      <c r="CV31">
        <f t="shared" si="22"/>
        <v>141.6</v>
      </c>
      <c r="CW31">
        <f t="shared" si="22"/>
        <v>35.095999999999997</v>
      </c>
      <c r="CX31">
        <f t="shared" si="22"/>
        <v>0</v>
      </c>
      <c r="CY31">
        <f>(((S31+R31)*AT31)/100)</f>
        <v>26992.031000000003</v>
      </c>
      <c r="CZ31">
        <f>(((S31+R31)*AU31)/100)</f>
        <v>17912.893300000003</v>
      </c>
      <c r="DC31" t="s">
        <v>3</v>
      </c>
      <c r="DD31" t="s">
        <v>38</v>
      </c>
      <c r="DE31" t="s">
        <v>39</v>
      </c>
      <c r="DF31" t="s">
        <v>39</v>
      </c>
      <c r="DG31" t="s">
        <v>39</v>
      </c>
      <c r="DH31" t="s">
        <v>3</v>
      </c>
      <c r="DI31" t="s">
        <v>39</v>
      </c>
      <c r="DJ31" t="s">
        <v>39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35</v>
      </c>
      <c r="DW31" t="s">
        <v>35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140625015</v>
      </c>
      <c r="EF31">
        <v>2</v>
      </c>
      <c r="EG31" t="s">
        <v>26</v>
      </c>
      <c r="EH31">
        <v>7</v>
      </c>
      <c r="EI31" t="s">
        <v>40</v>
      </c>
      <c r="EJ31">
        <v>1</v>
      </c>
      <c r="EK31">
        <v>7001</v>
      </c>
      <c r="EL31" t="s">
        <v>40</v>
      </c>
      <c r="EM31" t="s">
        <v>41</v>
      </c>
      <c r="EO31" t="s">
        <v>42</v>
      </c>
      <c r="EQ31">
        <v>131072</v>
      </c>
      <c r="ER31">
        <v>7482.55</v>
      </c>
      <c r="ES31">
        <v>1889.92</v>
      </c>
      <c r="ET31">
        <v>3909.36</v>
      </c>
      <c r="EU31">
        <v>590.16</v>
      </c>
      <c r="EV31">
        <v>1683.27</v>
      </c>
      <c r="EW31">
        <v>177</v>
      </c>
      <c r="EX31">
        <v>43.87</v>
      </c>
      <c r="EY31">
        <v>0</v>
      </c>
      <c r="FQ31">
        <v>0</v>
      </c>
      <c r="FR31">
        <f t="shared" si="23"/>
        <v>0</v>
      </c>
      <c r="FS31">
        <v>0</v>
      </c>
      <c r="FX31">
        <v>110</v>
      </c>
      <c r="FY31">
        <v>73</v>
      </c>
      <c r="GA31" t="s">
        <v>3</v>
      </c>
      <c r="GD31">
        <v>1</v>
      </c>
      <c r="GF31">
        <v>-638673375</v>
      </c>
      <c r="GG31">
        <v>2</v>
      </c>
      <c r="GH31">
        <v>1</v>
      </c>
      <c r="GI31">
        <v>4</v>
      </c>
      <c r="GJ31">
        <v>0</v>
      </c>
      <c r="GK31">
        <v>0</v>
      </c>
      <c r="GL31">
        <f t="shared" si="24"/>
        <v>0</v>
      </c>
      <c r="GM31">
        <f>ROUND(O31+X31+Y31,2)+GX31</f>
        <v>79646.460000000006</v>
      </c>
      <c r="GN31">
        <f>IF(OR(BI31=0,BI31=1),ROUND(O31+X31+Y31,2),0)</f>
        <v>79646.460000000006</v>
      </c>
      <c r="GO31">
        <f>IF(BI31=2,ROUND(O31+X31+Y31,2),0)</f>
        <v>0</v>
      </c>
      <c r="GP31">
        <f>IF(BI31=4,ROUND(O31+X31+Y31,2)+GX31,0)</f>
        <v>0</v>
      </c>
      <c r="GR31">
        <v>0</v>
      </c>
      <c r="GS31">
        <v>3</v>
      </c>
      <c r="GT31">
        <v>0</v>
      </c>
      <c r="GU31" t="s">
        <v>3</v>
      </c>
      <c r="GV31">
        <f>ROUND((GT31),2)</f>
        <v>0</v>
      </c>
      <c r="GW31">
        <v>1</v>
      </c>
      <c r="GX31">
        <f>ROUND(HC31*I31,2)</f>
        <v>0</v>
      </c>
      <c r="HA31">
        <v>0</v>
      </c>
      <c r="HB31">
        <v>0</v>
      </c>
      <c r="HC31">
        <f>GV31*GW31</f>
        <v>0</v>
      </c>
      <c r="HE31" t="s">
        <v>3</v>
      </c>
      <c r="HF31" t="s">
        <v>3</v>
      </c>
      <c r="HM31" t="s">
        <v>3</v>
      </c>
      <c r="HN31" t="s">
        <v>43</v>
      </c>
      <c r="HO31" t="s">
        <v>44</v>
      </c>
      <c r="HP31" t="s">
        <v>40</v>
      </c>
      <c r="HQ31" t="s">
        <v>40</v>
      </c>
      <c r="IK31">
        <v>0</v>
      </c>
    </row>
    <row r="32" spans="1:245" x14ac:dyDescent="0.2">
      <c r="A32">
        <v>17</v>
      </c>
      <c r="B32">
        <v>1</v>
      </c>
      <c r="E32" t="s">
        <v>53</v>
      </c>
      <c r="F32" t="s">
        <v>54</v>
      </c>
      <c r="G32" t="s">
        <v>55</v>
      </c>
      <c r="H32" t="s">
        <v>56</v>
      </c>
      <c r="I32">
        <f>ROUND(442.8+112.5+27.6,9)</f>
        <v>582.9</v>
      </c>
      <c r="J32">
        <v>0</v>
      </c>
      <c r="K32">
        <f>ROUND(442.8+112.5+27.6,9)</f>
        <v>582.9</v>
      </c>
      <c r="O32">
        <f>0</f>
        <v>0</v>
      </c>
      <c r="P32">
        <f>0</f>
        <v>0</v>
      </c>
      <c r="Q32">
        <f>0</f>
        <v>0</v>
      </c>
      <c r="R32">
        <f>0</f>
        <v>0</v>
      </c>
      <c r="S32">
        <f>0</f>
        <v>0</v>
      </c>
      <c r="T32">
        <f>0</f>
        <v>0</v>
      </c>
      <c r="U32">
        <f>0</f>
        <v>0</v>
      </c>
      <c r="V32">
        <f>0</f>
        <v>0</v>
      </c>
      <c r="W32">
        <f>0</f>
        <v>0</v>
      </c>
      <c r="X32">
        <f>0</f>
        <v>0</v>
      </c>
      <c r="Y32">
        <f>0</f>
        <v>0</v>
      </c>
      <c r="AA32">
        <v>145262827</v>
      </c>
      <c r="AB32">
        <f>ROUND((AK32),2)</f>
        <v>10.71</v>
      </c>
      <c r="AC32">
        <f>0</f>
        <v>0</v>
      </c>
      <c r="AD32">
        <f>0</f>
        <v>0</v>
      </c>
      <c r="AE32">
        <f>0</f>
        <v>0</v>
      </c>
      <c r="AF32">
        <f>0</f>
        <v>0</v>
      </c>
      <c r="AG32">
        <f>0</f>
        <v>0</v>
      </c>
      <c r="AH32">
        <f>0</f>
        <v>0</v>
      </c>
      <c r="AI32">
        <f>0</f>
        <v>0</v>
      </c>
      <c r="AJ32">
        <f>0</f>
        <v>0</v>
      </c>
      <c r="AK32">
        <v>10.71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1</v>
      </c>
      <c r="AW32">
        <v>1</v>
      </c>
      <c r="AZ32">
        <v>11.52</v>
      </c>
      <c r="BA32">
        <v>1</v>
      </c>
      <c r="BB32">
        <v>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57</v>
      </c>
      <c r="BM32">
        <v>700004</v>
      </c>
      <c r="BN32">
        <v>0</v>
      </c>
      <c r="BO32" t="s">
        <v>3</v>
      </c>
      <c r="BP32">
        <v>0</v>
      </c>
      <c r="BQ32">
        <v>19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0</v>
      </c>
      <c r="CA32">
        <v>0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>AB32*AZ32</f>
        <v>123.37920000000001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56</v>
      </c>
      <c r="DW32" t="s">
        <v>56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140625282</v>
      </c>
      <c r="EF32">
        <v>19</v>
      </c>
      <c r="EG32" t="s">
        <v>58</v>
      </c>
      <c r="EH32">
        <v>106</v>
      </c>
      <c r="EI32" t="s">
        <v>58</v>
      </c>
      <c r="EJ32">
        <v>1</v>
      </c>
      <c r="EK32">
        <v>700004</v>
      </c>
      <c r="EL32" t="s">
        <v>58</v>
      </c>
      <c r="EM32" t="s">
        <v>59</v>
      </c>
      <c r="EO32" t="s">
        <v>3</v>
      </c>
      <c r="EQ32">
        <v>131072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FQ32">
        <v>0</v>
      </c>
      <c r="FR32">
        <f t="shared" si="23"/>
        <v>0</v>
      </c>
      <c r="FS32">
        <v>0</v>
      </c>
      <c r="FX32">
        <v>0</v>
      </c>
      <c r="FY32">
        <v>0</v>
      </c>
      <c r="GA32" t="s">
        <v>3</v>
      </c>
      <c r="GD32">
        <v>1</v>
      </c>
      <c r="GF32">
        <v>-1742713524</v>
      </c>
      <c r="GG32">
        <v>2</v>
      </c>
      <c r="GH32">
        <v>1</v>
      </c>
      <c r="GI32">
        <v>4</v>
      </c>
      <c r="GJ32">
        <v>2</v>
      </c>
      <c r="GK32">
        <v>0</v>
      </c>
      <c r="GL32">
        <f t="shared" si="24"/>
        <v>0</v>
      </c>
      <c r="GM32">
        <f>ROUND(CP32*I32,2)</f>
        <v>71917.740000000005</v>
      </c>
      <c r="GN32">
        <f>IF(OR(BI32=0,BI32=1),ROUND(CP32*I32,2),0)</f>
        <v>71917.740000000005</v>
      </c>
      <c r="GO32">
        <f>IF(BI32=2,ROUND(CP32*I32,2),0)</f>
        <v>0</v>
      </c>
      <c r="GP32">
        <f>IF(BI32=4,ROUND(CP32*I32,2)+GX32,0)</f>
        <v>0</v>
      </c>
      <c r="GR32">
        <v>0</v>
      </c>
      <c r="GS32">
        <v>3</v>
      </c>
      <c r="GT32">
        <v>0</v>
      </c>
      <c r="GU32" t="s">
        <v>3</v>
      </c>
      <c r="GV32">
        <f>0</f>
        <v>0</v>
      </c>
      <c r="GW32">
        <v>1</v>
      </c>
      <c r="GX32">
        <f>0</f>
        <v>0</v>
      </c>
      <c r="HA32">
        <v>0</v>
      </c>
      <c r="HB32">
        <v>0</v>
      </c>
      <c r="HC32">
        <v>0</v>
      </c>
      <c r="HD32">
        <f>GM32</f>
        <v>71917.740000000005</v>
      </c>
      <c r="HE32" t="s">
        <v>3</v>
      </c>
      <c r="HF32" t="s">
        <v>3</v>
      </c>
      <c r="HM32" t="s">
        <v>3</v>
      </c>
      <c r="HN32" t="s">
        <v>3</v>
      </c>
      <c r="HO32" t="s">
        <v>3</v>
      </c>
      <c r="HP32" t="s">
        <v>3</v>
      </c>
      <c r="HQ32" t="s">
        <v>3</v>
      </c>
      <c r="IK32">
        <v>0</v>
      </c>
    </row>
    <row r="33" spans="1:245" x14ac:dyDescent="0.2">
      <c r="A33">
        <v>17</v>
      </c>
      <c r="B33">
        <v>1</v>
      </c>
      <c r="E33" t="s">
        <v>60</v>
      </c>
      <c r="F33" t="s">
        <v>61</v>
      </c>
      <c r="G33" t="s">
        <v>62</v>
      </c>
      <c r="H33" t="s">
        <v>56</v>
      </c>
      <c r="I33">
        <f>ROUND(I32,9)</f>
        <v>582.9</v>
      </c>
      <c r="J33">
        <v>0</v>
      </c>
      <c r="K33">
        <f>ROUND(I32,9)</f>
        <v>582.9</v>
      </c>
      <c r="O33">
        <f>0</f>
        <v>0</v>
      </c>
      <c r="P33">
        <f>0</f>
        <v>0</v>
      </c>
      <c r="Q33">
        <f>0</f>
        <v>0</v>
      </c>
      <c r="R33">
        <f>0</f>
        <v>0</v>
      </c>
      <c r="S33">
        <f>0</f>
        <v>0</v>
      </c>
      <c r="T33">
        <f>0</f>
        <v>0</v>
      </c>
      <c r="U33">
        <f>0</f>
        <v>0</v>
      </c>
      <c r="V33">
        <f>0</f>
        <v>0</v>
      </c>
      <c r="W33">
        <f>0</f>
        <v>0</v>
      </c>
      <c r="X33">
        <f>0</f>
        <v>0</v>
      </c>
      <c r="Y33">
        <f>0</f>
        <v>0</v>
      </c>
      <c r="AA33">
        <v>145262827</v>
      </c>
      <c r="AB33">
        <f>ROUND((AK33),2)</f>
        <v>10.71</v>
      </c>
      <c r="AC33">
        <f>0</f>
        <v>0</v>
      </c>
      <c r="AD33">
        <f>0</f>
        <v>0</v>
      </c>
      <c r="AE33">
        <f>0</f>
        <v>0</v>
      </c>
      <c r="AF33">
        <f>0</f>
        <v>0</v>
      </c>
      <c r="AG33">
        <f>0</f>
        <v>0</v>
      </c>
      <c r="AH33">
        <f>0</f>
        <v>0</v>
      </c>
      <c r="AI33">
        <f>0</f>
        <v>0</v>
      </c>
      <c r="AJ33">
        <f>0</f>
        <v>0</v>
      </c>
      <c r="AK33">
        <v>10.71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1</v>
      </c>
      <c r="AW33">
        <v>1</v>
      </c>
      <c r="AZ33">
        <v>11.52</v>
      </c>
      <c r="BA33">
        <v>1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63</v>
      </c>
      <c r="BM33">
        <v>700004</v>
      </c>
      <c r="BN33">
        <v>0</v>
      </c>
      <c r="BO33" t="s">
        <v>3</v>
      </c>
      <c r="BP33">
        <v>0</v>
      </c>
      <c r="BQ33">
        <v>19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>AB33*AZ33</f>
        <v>123.37920000000001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56</v>
      </c>
      <c r="DW33" t="s">
        <v>56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140625282</v>
      </c>
      <c r="EF33">
        <v>19</v>
      </c>
      <c r="EG33" t="s">
        <v>58</v>
      </c>
      <c r="EH33">
        <v>106</v>
      </c>
      <c r="EI33" t="s">
        <v>58</v>
      </c>
      <c r="EJ33">
        <v>1</v>
      </c>
      <c r="EK33">
        <v>700004</v>
      </c>
      <c r="EL33" t="s">
        <v>58</v>
      </c>
      <c r="EM33" t="s">
        <v>59</v>
      </c>
      <c r="EO33" t="s">
        <v>3</v>
      </c>
      <c r="EQ33">
        <v>131072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23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-1776377752</v>
      </c>
      <c r="GG33">
        <v>2</v>
      </c>
      <c r="GH33">
        <v>1</v>
      </c>
      <c r="GI33">
        <v>4</v>
      </c>
      <c r="GJ33">
        <v>2</v>
      </c>
      <c r="GK33">
        <v>0</v>
      </c>
      <c r="GL33">
        <f t="shared" si="24"/>
        <v>0</v>
      </c>
      <c r="GM33">
        <f>ROUND(CP33*I33,2)</f>
        <v>71917.740000000005</v>
      </c>
      <c r="GN33">
        <f>IF(OR(BI33=0,BI33=1),ROUND(CP33*I33,2),0)</f>
        <v>71917.740000000005</v>
      </c>
      <c r="GO33">
        <f>IF(BI33=2,ROUND(CP33*I33,2),0)</f>
        <v>0</v>
      </c>
      <c r="GP33">
        <f>IF(BI33=4,ROUND(CP33*I33,2)+GX33,0)</f>
        <v>0</v>
      </c>
      <c r="GR33">
        <v>0</v>
      </c>
      <c r="GS33">
        <v>3</v>
      </c>
      <c r="GT33">
        <v>0</v>
      </c>
      <c r="GU33" t="s">
        <v>3</v>
      </c>
      <c r="GV33">
        <f>0</f>
        <v>0</v>
      </c>
      <c r="GW33">
        <v>1</v>
      </c>
      <c r="GX33">
        <f>0</f>
        <v>0</v>
      </c>
      <c r="HA33">
        <v>0</v>
      </c>
      <c r="HB33">
        <v>0</v>
      </c>
      <c r="HC33">
        <v>0</v>
      </c>
      <c r="HD33">
        <f>GM33</f>
        <v>71917.740000000005</v>
      </c>
      <c r="HE33" t="s">
        <v>3</v>
      </c>
      <c r="HF33" t="s">
        <v>3</v>
      </c>
      <c r="HM33" t="s">
        <v>3</v>
      </c>
      <c r="HN33" t="s">
        <v>3</v>
      </c>
      <c r="HO33" t="s">
        <v>3</v>
      </c>
      <c r="HP33" t="s">
        <v>3</v>
      </c>
      <c r="HQ33" t="s">
        <v>3</v>
      </c>
      <c r="IK33">
        <v>0</v>
      </c>
    </row>
    <row r="34" spans="1:245" x14ac:dyDescent="0.2">
      <c r="A34">
        <v>17</v>
      </c>
      <c r="B34">
        <v>1</v>
      </c>
      <c r="E34" t="s">
        <v>64</v>
      </c>
      <c r="F34" t="s">
        <v>65</v>
      </c>
      <c r="G34" t="s">
        <v>66</v>
      </c>
      <c r="H34" t="s">
        <v>56</v>
      </c>
      <c r="I34">
        <f>ROUND(ROUND(2.4*2*4448/1000,1),9)</f>
        <v>21.4</v>
      </c>
      <c r="J34">
        <v>0</v>
      </c>
      <c r="K34">
        <f>ROUND(ROUND(2.4*2*4448/1000,1),9)</f>
        <v>21.4</v>
      </c>
      <c r="O34">
        <f>0</f>
        <v>0</v>
      </c>
      <c r="P34">
        <f>0</f>
        <v>0</v>
      </c>
      <c r="Q34">
        <f>0</f>
        <v>0</v>
      </c>
      <c r="R34">
        <f>0</f>
        <v>0</v>
      </c>
      <c r="S34">
        <f>0</f>
        <v>0</v>
      </c>
      <c r="T34">
        <f>0</f>
        <v>0</v>
      </c>
      <c r="U34">
        <f>0</f>
        <v>0</v>
      </c>
      <c r="V34">
        <f>0</f>
        <v>0</v>
      </c>
      <c r="W34">
        <f>0</f>
        <v>0</v>
      </c>
      <c r="X34">
        <f>0</f>
        <v>0</v>
      </c>
      <c r="Y34">
        <f>0</f>
        <v>0</v>
      </c>
      <c r="AA34">
        <v>145262827</v>
      </c>
      <c r="AB34">
        <f>ROUND((AK34),2)</f>
        <v>3.28</v>
      </c>
      <c r="AC34">
        <f>0</f>
        <v>0</v>
      </c>
      <c r="AD34">
        <f>0</f>
        <v>0</v>
      </c>
      <c r="AE34">
        <f>0</f>
        <v>0</v>
      </c>
      <c r="AF34">
        <f>0</f>
        <v>0</v>
      </c>
      <c r="AG34">
        <f>0</f>
        <v>0</v>
      </c>
      <c r="AH34">
        <f>0</f>
        <v>0</v>
      </c>
      <c r="AI34">
        <f>0</f>
        <v>0</v>
      </c>
      <c r="AJ34">
        <f>0</f>
        <v>0</v>
      </c>
      <c r="AK34">
        <v>3.28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</v>
      </c>
      <c r="AW34">
        <v>1</v>
      </c>
      <c r="AZ34">
        <v>11.52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1</v>
      </c>
      <c r="BJ34" t="s">
        <v>67</v>
      </c>
      <c r="BM34">
        <v>700004</v>
      </c>
      <c r="BN34">
        <v>0</v>
      </c>
      <c r="BO34" t="s">
        <v>3</v>
      </c>
      <c r="BP34">
        <v>0</v>
      </c>
      <c r="BQ34">
        <v>19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>AB34*AZ34</f>
        <v>37.785599999999995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1013</v>
      </c>
      <c r="DV34" t="s">
        <v>56</v>
      </c>
      <c r="DW34" t="s">
        <v>56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140625282</v>
      </c>
      <c r="EF34">
        <v>19</v>
      </c>
      <c r="EG34" t="s">
        <v>58</v>
      </c>
      <c r="EH34">
        <v>106</v>
      </c>
      <c r="EI34" t="s">
        <v>58</v>
      </c>
      <c r="EJ34">
        <v>1</v>
      </c>
      <c r="EK34">
        <v>700004</v>
      </c>
      <c r="EL34" t="s">
        <v>58</v>
      </c>
      <c r="EM34" t="s">
        <v>59</v>
      </c>
      <c r="EO34" t="s">
        <v>3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FQ34">
        <v>0</v>
      </c>
      <c r="FR34">
        <f t="shared" si="23"/>
        <v>0</v>
      </c>
      <c r="FS34">
        <v>0</v>
      </c>
      <c r="FX34">
        <v>0</v>
      </c>
      <c r="FY34">
        <v>0</v>
      </c>
      <c r="GA34" t="s">
        <v>3</v>
      </c>
      <c r="GD34">
        <v>1</v>
      </c>
      <c r="GF34">
        <v>1072927856</v>
      </c>
      <c r="GG34">
        <v>2</v>
      </c>
      <c r="GH34">
        <v>1</v>
      </c>
      <c r="GI34">
        <v>4</v>
      </c>
      <c r="GJ34">
        <v>2</v>
      </c>
      <c r="GK34">
        <v>0</v>
      </c>
      <c r="GL34">
        <f t="shared" si="24"/>
        <v>0</v>
      </c>
      <c r="GM34">
        <f>ROUND(CP34*I34,2)</f>
        <v>808.61</v>
      </c>
      <c r="GN34">
        <f>IF(OR(BI34=0,BI34=1),ROUND(CP34*I34,2),0)</f>
        <v>808.61</v>
      </c>
      <c r="GO34">
        <f>IF(BI34=2,ROUND(CP34*I34,2),0)</f>
        <v>0</v>
      </c>
      <c r="GP34">
        <f>IF(BI34=4,ROUND(CP34*I34,2)+GX34,0)</f>
        <v>0</v>
      </c>
      <c r="GR34">
        <v>0</v>
      </c>
      <c r="GS34">
        <v>3</v>
      </c>
      <c r="GT34">
        <v>0</v>
      </c>
      <c r="GU34" t="s">
        <v>3</v>
      </c>
      <c r="GV34">
        <f>0</f>
        <v>0</v>
      </c>
      <c r="GW34">
        <v>1</v>
      </c>
      <c r="GX34">
        <f>0</f>
        <v>0</v>
      </c>
      <c r="HA34">
        <v>0</v>
      </c>
      <c r="HB34">
        <v>0</v>
      </c>
      <c r="HC34">
        <v>0</v>
      </c>
      <c r="HD34">
        <f>GM34</f>
        <v>808.61</v>
      </c>
      <c r="HE34" t="s">
        <v>3</v>
      </c>
      <c r="HF34" t="s">
        <v>3</v>
      </c>
      <c r="HM34" t="s">
        <v>3</v>
      </c>
      <c r="HN34" t="s">
        <v>3</v>
      </c>
      <c r="HO34" t="s">
        <v>3</v>
      </c>
      <c r="HP34" t="s">
        <v>3</v>
      </c>
      <c r="HQ34" t="s">
        <v>3</v>
      </c>
      <c r="IK34">
        <v>0</v>
      </c>
    </row>
    <row r="35" spans="1:245" x14ac:dyDescent="0.2">
      <c r="A35">
        <v>17</v>
      </c>
      <c r="B35">
        <v>1</v>
      </c>
      <c r="E35" t="s">
        <v>68</v>
      </c>
      <c r="F35" t="s">
        <v>69</v>
      </c>
      <c r="G35" t="s">
        <v>70</v>
      </c>
      <c r="H35" t="s">
        <v>56</v>
      </c>
      <c r="I35">
        <f>ROUND(I32,9)</f>
        <v>582.9</v>
      </c>
      <c r="J35">
        <v>0</v>
      </c>
      <c r="K35">
        <f>ROUND(I32,9)</f>
        <v>582.9</v>
      </c>
      <c r="O35">
        <f>0</f>
        <v>0</v>
      </c>
      <c r="P35">
        <f>0</f>
        <v>0</v>
      </c>
      <c r="Q35">
        <f>0</f>
        <v>0</v>
      </c>
      <c r="R35">
        <f>0</f>
        <v>0</v>
      </c>
      <c r="S35">
        <f>0</f>
        <v>0</v>
      </c>
      <c r="T35">
        <f>0</f>
        <v>0</v>
      </c>
      <c r="U35">
        <f>0</f>
        <v>0</v>
      </c>
      <c r="V35">
        <f>0</f>
        <v>0</v>
      </c>
      <c r="W35">
        <f>0</f>
        <v>0</v>
      </c>
      <c r="X35">
        <f>0</f>
        <v>0</v>
      </c>
      <c r="Y35">
        <f>0</f>
        <v>0</v>
      </c>
      <c r="AA35">
        <v>145262827</v>
      </c>
      <c r="AB35">
        <f>ROUND((AK35),2)</f>
        <v>4.8</v>
      </c>
      <c r="AC35">
        <f>0</f>
        <v>0</v>
      </c>
      <c r="AD35">
        <f>0</f>
        <v>0</v>
      </c>
      <c r="AE35">
        <f>0</f>
        <v>0</v>
      </c>
      <c r="AF35">
        <f>0</f>
        <v>0</v>
      </c>
      <c r="AG35">
        <f>0</f>
        <v>0</v>
      </c>
      <c r="AH35">
        <f>0</f>
        <v>0</v>
      </c>
      <c r="AI35">
        <f>0</f>
        <v>0</v>
      </c>
      <c r="AJ35">
        <f>0</f>
        <v>0</v>
      </c>
      <c r="AK35">
        <v>4.8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1</v>
      </c>
      <c r="AW35">
        <v>1</v>
      </c>
      <c r="AZ35">
        <v>11.52</v>
      </c>
      <c r="BA35">
        <v>1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1</v>
      </c>
      <c r="BJ35" t="s">
        <v>71</v>
      </c>
      <c r="BM35">
        <v>700011</v>
      </c>
      <c r="BN35">
        <v>0</v>
      </c>
      <c r="BO35" t="s">
        <v>3</v>
      </c>
      <c r="BP35">
        <v>0</v>
      </c>
      <c r="BQ35">
        <v>40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>AB35*AZ35</f>
        <v>55.295999999999999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56</v>
      </c>
      <c r="DW35" t="s">
        <v>56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140625621</v>
      </c>
      <c r="EF35">
        <v>40</v>
      </c>
      <c r="EG35" t="s">
        <v>72</v>
      </c>
      <c r="EH35">
        <v>107</v>
      </c>
      <c r="EI35" t="s">
        <v>73</v>
      </c>
      <c r="EJ35">
        <v>1</v>
      </c>
      <c r="EK35">
        <v>700011</v>
      </c>
      <c r="EL35" t="s">
        <v>74</v>
      </c>
      <c r="EM35" t="s">
        <v>75</v>
      </c>
      <c r="EO35" t="s">
        <v>3</v>
      </c>
      <c r="EQ35">
        <v>131072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23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-1153098272</v>
      </c>
      <c r="GG35">
        <v>2</v>
      </c>
      <c r="GH35">
        <v>1</v>
      </c>
      <c r="GI35">
        <v>4</v>
      </c>
      <c r="GJ35">
        <v>2</v>
      </c>
      <c r="GK35">
        <v>0</v>
      </c>
      <c r="GL35">
        <f t="shared" si="24"/>
        <v>0</v>
      </c>
      <c r="GM35">
        <f>ROUND(CP35*I35,2)</f>
        <v>32232.04</v>
      </c>
      <c r="GN35">
        <f>IF(OR(BI35=0,BI35=1),ROUND(CP35*I35,2),0)</f>
        <v>32232.04</v>
      </c>
      <c r="GO35">
        <f>IF(BI35=2,ROUND(CP35*I35,2),0)</f>
        <v>0</v>
      </c>
      <c r="GP35">
        <f>IF(BI35=4,ROUND(CP35*I35,2)+GX35,0)</f>
        <v>0</v>
      </c>
      <c r="GR35">
        <v>0</v>
      </c>
      <c r="GS35">
        <v>3</v>
      </c>
      <c r="GT35">
        <v>0</v>
      </c>
      <c r="GU35" t="s">
        <v>3</v>
      </c>
      <c r="GV35">
        <f>0</f>
        <v>0</v>
      </c>
      <c r="GW35">
        <v>1</v>
      </c>
      <c r="GX35">
        <f>0</f>
        <v>0</v>
      </c>
      <c r="HA35">
        <v>0</v>
      </c>
      <c r="HB35">
        <v>0</v>
      </c>
      <c r="HC35">
        <v>0</v>
      </c>
      <c r="HD35">
        <f>GM35</f>
        <v>32232.04</v>
      </c>
      <c r="HE35" t="s">
        <v>3</v>
      </c>
      <c r="HF35" t="s">
        <v>3</v>
      </c>
      <c r="HM35" t="s">
        <v>3</v>
      </c>
      <c r="HN35" t="s">
        <v>3</v>
      </c>
      <c r="HO35" t="s">
        <v>3</v>
      </c>
      <c r="HP35" t="s">
        <v>3</v>
      </c>
      <c r="HQ35" t="s">
        <v>3</v>
      </c>
      <c r="IK35">
        <v>0</v>
      </c>
    </row>
    <row r="36" spans="1:245" x14ac:dyDescent="0.2">
      <c r="A36">
        <v>17</v>
      </c>
      <c r="B36">
        <v>1</v>
      </c>
      <c r="E36" t="s">
        <v>76</v>
      </c>
      <c r="F36" t="s">
        <v>77</v>
      </c>
      <c r="G36" t="s">
        <v>78</v>
      </c>
      <c r="H36" t="s">
        <v>56</v>
      </c>
      <c r="I36">
        <f>ROUND(I34,9)</f>
        <v>21.4</v>
      </c>
      <c r="J36">
        <v>0</v>
      </c>
      <c r="K36">
        <f>ROUND(I34,9)</f>
        <v>21.4</v>
      </c>
      <c r="O36">
        <f>0</f>
        <v>0</v>
      </c>
      <c r="P36">
        <f>0</f>
        <v>0</v>
      </c>
      <c r="Q36">
        <f>0</f>
        <v>0</v>
      </c>
      <c r="R36">
        <f>0</f>
        <v>0</v>
      </c>
      <c r="S36">
        <f>0</f>
        <v>0</v>
      </c>
      <c r="T36">
        <f>0</f>
        <v>0</v>
      </c>
      <c r="U36">
        <f>0</f>
        <v>0</v>
      </c>
      <c r="V36">
        <f>0</f>
        <v>0</v>
      </c>
      <c r="W36">
        <f>0</f>
        <v>0</v>
      </c>
      <c r="X36">
        <f>0</f>
        <v>0</v>
      </c>
      <c r="Y36">
        <f>0</f>
        <v>0</v>
      </c>
      <c r="AA36">
        <v>145262827</v>
      </c>
      <c r="AB36">
        <f>ROUND((AK36),2)</f>
        <v>7.64</v>
      </c>
      <c r="AC36">
        <f>0</f>
        <v>0</v>
      </c>
      <c r="AD36">
        <f>0</f>
        <v>0</v>
      </c>
      <c r="AE36">
        <f>0</f>
        <v>0</v>
      </c>
      <c r="AF36">
        <f>0</f>
        <v>0</v>
      </c>
      <c r="AG36">
        <f>0</f>
        <v>0</v>
      </c>
      <c r="AH36">
        <f>0</f>
        <v>0</v>
      </c>
      <c r="AI36">
        <f>0</f>
        <v>0</v>
      </c>
      <c r="AJ36">
        <f>0</f>
        <v>0</v>
      </c>
      <c r="AK36">
        <v>7.64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1</v>
      </c>
      <c r="AW36">
        <v>1</v>
      </c>
      <c r="AZ36">
        <v>11.52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1</v>
      </c>
      <c r="BJ36" t="s">
        <v>79</v>
      </c>
      <c r="BM36">
        <v>700011</v>
      </c>
      <c r="BN36">
        <v>0</v>
      </c>
      <c r="BO36" t="s">
        <v>3</v>
      </c>
      <c r="BP36">
        <v>0</v>
      </c>
      <c r="BQ36">
        <v>40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>AB36*AZ36</f>
        <v>88.012799999999999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56</v>
      </c>
      <c r="DW36" t="s">
        <v>56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140625621</v>
      </c>
      <c r="EF36">
        <v>40</v>
      </c>
      <c r="EG36" t="s">
        <v>72</v>
      </c>
      <c r="EH36">
        <v>107</v>
      </c>
      <c r="EI36" t="s">
        <v>73</v>
      </c>
      <c r="EJ36">
        <v>1</v>
      </c>
      <c r="EK36">
        <v>700011</v>
      </c>
      <c r="EL36" t="s">
        <v>74</v>
      </c>
      <c r="EM36" t="s">
        <v>75</v>
      </c>
      <c r="EO36" t="s">
        <v>3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FQ36">
        <v>0</v>
      </c>
      <c r="FR36">
        <f t="shared" si="23"/>
        <v>0</v>
      </c>
      <c r="FS36">
        <v>0</v>
      </c>
      <c r="FX36">
        <v>0</v>
      </c>
      <c r="FY36">
        <v>0</v>
      </c>
      <c r="GA36" t="s">
        <v>3</v>
      </c>
      <c r="GD36">
        <v>1</v>
      </c>
      <c r="GF36">
        <v>401887334</v>
      </c>
      <c r="GG36">
        <v>2</v>
      </c>
      <c r="GH36">
        <v>1</v>
      </c>
      <c r="GI36">
        <v>4</v>
      </c>
      <c r="GJ36">
        <v>2</v>
      </c>
      <c r="GK36">
        <v>0</v>
      </c>
      <c r="GL36">
        <f t="shared" si="24"/>
        <v>0</v>
      </c>
      <c r="GM36">
        <f>ROUND(CP36*I36,2)</f>
        <v>1883.47</v>
      </c>
      <c r="GN36">
        <f>IF(OR(BI36=0,BI36=1),ROUND(CP36*I36,2),0)</f>
        <v>1883.47</v>
      </c>
      <c r="GO36">
        <f>IF(BI36=2,ROUND(CP36*I36,2),0)</f>
        <v>0</v>
      </c>
      <c r="GP36">
        <f>IF(BI36=4,ROUND(CP36*I36,2)+GX36,0)</f>
        <v>0</v>
      </c>
      <c r="GR36">
        <v>0</v>
      </c>
      <c r="GS36">
        <v>3</v>
      </c>
      <c r="GT36">
        <v>0</v>
      </c>
      <c r="GU36" t="s">
        <v>3</v>
      </c>
      <c r="GV36">
        <f>0</f>
        <v>0</v>
      </c>
      <c r="GW36">
        <v>1</v>
      </c>
      <c r="GX36">
        <f>0</f>
        <v>0</v>
      </c>
      <c r="HA36">
        <v>0</v>
      </c>
      <c r="HB36">
        <v>0</v>
      </c>
      <c r="HC36">
        <v>0</v>
      </c>
      <c r="HD36">
        <f>GM36</f>
        <v>1883.47</v>
      </c>
      <c r="HE36" t="s">
        <v>3</v>
      </c>
      <c r="HF36" t="s">
        <v>3</v>
      </c>
      <c r="HM36" t="s">
        <v>3</v>
      </c>
      <c r="HN36" t="s">
        <v>3</v>
      </c>
      <c r="HO36" t="s">
        <v>3</v>
      </c>
      <c r="HP36" t="s">
        <v>3</v>
      </c>
      <c r="HQ36" t="s">
        <v>3</v>
      </c>
      <c r="IK36">
        <v>0</v>
      </c>
    </row>
    <row r="37" spans="1:245" x14ac:dyDescent="0.2">
      <c r="A37">
        <v>17</v>
      </c>
      <c r="B37">
        <v>1</v>
      </c>
      <c r="E37" t="s">
        <v>80</v>
      </c>
      <c r="F37" t="s">
        <v>81</v>
      </c>
      <c r="G37" t="s">
        <v>82</v>
      </c>
      <c r="H37" t="s">
        <v>83</v>
      </c>
      <c r="I37">
        <f>ROUND(I36,9)</f>
        <v>21.4</v>
      </c>
      <c r="J37">
        <v>0</v>
      </c>
      <c r="K37">
        <f>ROUND(I36,9)</f>
        <v>21.4</v>
      </c>
      <c r="O37">
        <f>ROUND(CP37,2)</f>
        <v>12839.14</v>
      </c>
      <c r="P37">
        <f>ROUND(CQ37*I37,2)</f>
        <v>12839.14</v>
      </c>
      <c r="Q37">
        <f>ROUND(CR37*I37,2)</f>
        <v>0</v>
      </c>
      <c r="R37">
        <f>ROUND(CS37*I37,2)</f>
        <v>0</v>
      </c>
      <c r="S37">
        <f>ROUND(CT37*I37,2)</f>
        <v>0</v>
      </c>
      <c r="T37">
        <f>ROUND(CU37*I37,2)</f>
        <v>0</v>
      </c>
      <c r="U37">
        <f>CV37*I37</f>
        <v>0</v>
      </c>
      <c r="V37">
        <f>CW37*I37</f>
        <v>0</v>
      </c>
      <c r="W37">
        <f>ROUND(CX37*I37,2)</f>
        <v>0</v>
      </c>
      <c r="X37">
        <f>ROUND(CY37,2)</f>
        <v>0</v>
      </c>
      <c r="Y37">
        <f>ROUND(CZ37,2)</f>
        <v>0</v>
      </c>
      <c r="AA37">
        <v>145262827</v>
      </c>
      <c r="AB37">
        <f>ROUND((AC37+AD37+AF37),2)</f>
        <v>70.75</v>
      </c>
      <c r="AC37">
        <f>ROUND((ES37),2)</f>
        <v>70.75</v>
      </c>
      <c r="AD37">
        <f>ROUND((((ET37)-(EU37))+AE37),2)</f>
        <v>0</v>
      </c>
      <c r="AE37">
        <f>ROUND((EU37),2)</f>
        <v>0</v>
      </c>
      <c r="AF37">
        <f>ROUND((EV37),2)</f>
        <v>0</v>
      </c>
      <c r="AG37">
        <f>ROUND((AP37),2)</f>
        <v>0</v>
      </c>
      <c r="AH37">
        <f>(EW37)</f>
        <v>0</v>
      </c>
      <c r="AI37">
        <f>(EX37)</f>
        <v>0</v>
      </c>
      <c r="AJ37">
        <f>(AS37)</f>
        <v>0</v>
      </c>
      <c r="AK37">
        <v>70.75</v>
      </c>
      <c r="AL37">
        <v>70.75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8.48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1</v>
      </c>
      <c r="BJ37" t="s">
        <v>3</v>
      </c>
      <c r="BM37">
        <v>1100</v>
      </c>
      <c r="BN37">
        <v>0</v>
      </c>
      <c r="BO37" t="s">
        <v>3</v>
      </c>
      <c r="BP37">
        <v>0</v>
      </c>
      <c r="BQ37">
        <v>8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>(P37+Q37+S37)</f>
        <v>12839.14</v>
      </c>
      <c r="CQ37">
        <f>AC37*BC37</f>
        <v>599.96</v>
      </c>
      <c r="CR37">
        <f>(((ET37)*BB37-(EU37)*BS37)+AE37*BS37)</f>
        <v>0</v>
      </c>
      <c r="CS37">
        <f>AE37*BS37</f>
        <v>0</v>
      </c>
      <c r="CT37">
        <f>AF37*BA37</f>
        <v>0</v>
      </c>
      <c r="CU37">
        <f>AG37</f>
        <v>0</v>
      </c>
      <c r="CV37">
        <f>AH37</f>
        <v>0</v>
      </c>
      <c r="CW37">
        <f>AI37</f>
        <v>0</v>
      </c>
      <c r="CX37">
        <f>AJ37</f>
        <v>0</v>
      </c>
      <c r="CY37">
        <f>(((S37+R37)*AT37)/100)</f>
        <v>0</v>
      </c>
      <c r="CZ37">
        <f>(((S37+R37)*AU37)/100)</f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1013</v>
      </c>
      <c r="DV37" t="s">
        <v>83</v>
      </c>
      <c r="DW37" t="s">
        <v>83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140625274</v>
      </c>
      <c r="EF37">
        <v>8</v>
      </c>
      <c r="EG37" t="s">
        <v>84</v>
      </c>
      <c r="EH37">
        <v>0</v>
      </c>
      <c r="EI37" t="s">
        <v>3</v>
      </c>
      <c r="EJ37">
        <v>1</v>
      </c>
      <c r="EK37">
        <v>1100</v>
      </c>
      <c r="EL37" t="s">
        <v>85</v>
      </c>
      <c r="EM37" t="s">
        <v>86</v>
      </c>
      <c r="EO37" t="s">
        <v>3</v>
      </c>
      <c r="EQ37">
        <v>0</v>
      </c>
      <c r="ER37">
        <v>70.75</v>
      </c>
      <c r="ES37">
        <v>70.75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5</v>
      </c>
      <c r="FC37">
        <v>0</v>
      </c>
      <c r="FD37">
        <v>18</v>
      </c>
      <c r="FF37">
        <v>600</v>
      </c>
      <c r="FQ37">
        <v>0</v>
      </c>
      <c r="FR37">
        <f t="shared" si="23"/>
        <v>0</v>
      </c>
      <c r="FS37">
        <v>0</v>
      </c>
      <c r="FX37">
        <v>0</v>
      </c>
      <c r="FY37">
        <v>0</v>
      </c>
      <c r="GA37" t="s">
        <v>87</v>
      </c>
      <c r="GD37">
        <v>1</v>
      </c>
      <c r="GF37">
        <v>-1973007839</v>
      </c>
      <c r="GG37">
        <v>2</v>
      </c>
      <c r="GH37">
        <v>3</v>
      </c>
      <c r="GI37">
        <v>4</v>
      </c>
      <c r="GJ37">
        <v>0</v>
      </c>
      <c r="GK37">
        <v>0</v>
      </c>
      <c r="GL37">
        <f t="shared" si="24"/>
        <v>0</v>
      </c>
      <c r="GM37">
        <f>ROUND(O37+X37+Y37,2)+GX37</f>
        <v>12839.14</v>
      </c>
      <c r="GN37">
        <f>IF(OR(BI37=0,BI37=1),ROUND(O37+X37+Y37,2),0)</f>
        <v>12839.14</v>
      </c>
      <c r="GO37">
        <f>IF(BI37=2,ROUND(O37+X37+Y37,2),0)</f>
        <v>0</v>
      </c>
      <c r="GP37">
        <f>IF(BI37=4,ROUND(O37+X37+Y37,2)+GX37,0)</f>
        <v>0</v>
      </c>
      <c r="GR37">
        <v>1</v>
      </c>
      <c r="GS37">
        <v>1</v>
      </c>
      <c r="GT37">
        <v>0</v>
      </c>
      <c r="GU37" t="s">
        <v>3</v>
      </c>
      <c r="GV37">
        <f>ROUND((GT37),2)</f>
        <v>0</v>
      </c>
      <c r="GW37">
        <v>1</v>
      </c>
      <c r="GX37">
        <f>ROUND(HC37*I37,2)</f>
        <v>0</v>
      </c>
      <c r="HA37">
        <v>0</v>
      </c>
      <c r="HB37">
        <v>0</v>
      </c>
      <c r="HC37">
        <f>GV37*GW37</f>
        <v>0</v>
      </c>
      <c r="HE37" t="s">
        <v>88</v>
      </c>
      <c r="HF37" t="s">
        <v>88</v>
      </c>
      <c r="HM37" t="s">
        <v>3</v>
      </c>
      <c r="HN37" t="s">
        <v>3</v>
      </c>
      <c r="HO37" t="s">
        <v>3</v>
      </c>
      <c r="HP37" t="s">
        <v>3</v>
      </c>
      <c r="HQ37" t="s">
        <v>3</v>
      </c>
      <c r="IK37">
        <v>0</v>
      </c>
    </row>
    <row r="39" spans="1:245" x14ac:dyDescent="0.2">
      <c r="A39" s="2">
        <v>51</v>
      </c>
      <c r="B39" s="2">
        <f>B24</f>
        <v>1</v>
      </c>
      <c r="C39" s="2">
        <f>A24</f>
        <v>4</v>
      </c>
      <c r="D39" s="2">
        <f>ROW(A24)</f>
        <v>24</v>
      </c>
      <c r="E39" s="2"/>
      <c r="F39" s="2" t="str">
        <f>IF(F24&lt;&gt;"",F24,"")</f>
        <v>Новый раздел</v>
      </c>
      <c r="G39" s="2" t="str">
        <f>IF(G24&lt;&gt;"",G24,"")</f>
        <v>Демонтажные работы</v>
      </c>
      <c r="H39" s="2">
        <v>0</v>
      </c>
      <c r="I39" s="2"/>
      <c r="J39" s="2"/>
      <c r="K39" s="2"/>
      <c r="L39" s="2"/>
      <c r="M39" s="2"/>
      <c r="N39" s="2"/>
      <c r="O39" s="2">
        <f t="shared" ref="O39:T39" si="27">ROUND(AB39,2)</f>
        <v>829077.26</v>
      </c>
      <c r="P39" s="2">
        <f t="shared" si="27"/>
        <v>12839.14</v>
      </c>
      <c r="Q39" s="2">
        <f t="shared" si="27"/>
        <v>464550.41</v>
      </c>
      <c r="R39" s="2">
        <f t="shared" si="27"/>
        <v>100607.17</v>
      </c>
      <c r="S39" s="2">
        <f t="shared" si="27"/>
        <v>351687.71</v>
      </c>
      <c r="T39" s="2">
        <f t="shared" si="27"/>
        <v>0</v>
      </c>
      <c r="U39" s="2">
        <f>AH39</f>
        <v>1408.4384</v>
      </c>
      <c r="V39" s="2">
        <f>AI39</f>
        <v>272.09136000000001</v>
      </c>
      <c r="W39" s="2">
        <f>ROUND(AJ39,2)</f>
        <v>0</v>
      </c>
      <c r="X39" s="2">
        <f>ROUND(AK39,2)</f>
        <v>487281.7</v>
      </c>
      <c r="Y39" s="2">
        <f>ROUND(AL39,2)</f>
        <v>309689.93</v>
      </c>
      <c r="Z39" s="2"/>
      <c r="AA39" s="2"/>
      <c r="AB39" s="2">
        <f>ROUND(SUMIF(AA28:AA37,"=145262827",O28:O37),2)</f>
        <v>829077.26</v>
      </c>
      <c r="AC39" s="2">
        <f>ROUND(SUMIF(AA28:AA37,"=145262827",P28:P37),2)</f>
        <v>12839.14</v>
      </c>
      <c r="AD39" s="2">
        <f>ROUND(SUMIF(AA28:AA37,"=145262827",Q28:Q37),2)</f>
        <v>464550.41</v>
      </c>
      <c r="AE39" s="2">
        <f>ROUND(SUMIF(AA28:AA37,"=145262827",R28:R37),2)</f>
        <v>100607.17</v>
      </c>
      <c r="AF39" s="2">
        <f>ROUND(SUMIF(AA28:AA37,"=145262827",S28:S37),2)</f>
        <v>351687.71</v>
      </c>
      <c r="AG39" s="2">
        <f>ROUND(SUMIF(AA28:AA37,"=145262827",T28:T37),2)</f>
        <v>0</v>
      </c>
      <c r="AH39" s="2">
        <f>SUMIF(AA28:AA37,"=145262827",U28:U37)</f>
        <v>1408.4384</v>
      </c>
      <c r="AI39" s="2">
        <f>SUMIF(AA28:AA37,"=145262827",V28:V37)</f>
        <v>272.09136000000001</v>
      </c>
      <c r="AJ39" s="2">
        <f>ROUND(SUMIF(AA28:AA37,"=145262827",W28:W37),2)</f>
        <v>0</v>
      </c>
      <c r="AK39" s="2">
        <f>ROUND(SUMIF(AA28:AA37,"=145262827",X28:X37),2)</f>
        <v>487281.7</v>
      </c>
      <c r="AL39" s="2">
        <f>ROUND(SUMIF(AA28:AA37,"=145262827",Y28:Y37),2)</f>
        <v>309689.93</v>
      </c>
      <c r="AM39" s="2"/>
      <c r="AN39" s="2"/>
      <c r="AO39" s="2">
        <f t="shared" ref="AO39:BD39" si="28">ROUND(BX39,2)</f>
        <v>0</v>
      </c>
      <c r="AP39" s="2">
        <f t="shared" si="28"/>
        <v>0</v>
      </c>
      <c r="AQ39" s="2">
        <f t="shared" si="28"/>
        <v>0</v>
      </c>
      <c r="AR39" s="2">
        <f t="shared" si="28"/>
        <v>1804808.49</v>
      </c>
      <c r="AS39" s="2">
        <f t="shared" si="28"/>
        <v>1804808.49</v>
      </c>
      <c r="AT39" s="2">
        <f t="shared" si="28"/>
        <v>0</v>
      </c>
      <c r="AU39" s="2">
        <f t="shared" si="28"/>
        <v>0</v>
      </c>
      <c r="AV39" s="2">
        <f t="shared" si="28"/>
        <v>12839.14</v>
      </c>
      <c r="AW39" s="2">
        <f t="shared" si="28"/>
        <v>12839.14</v>
      </c>
      <c r="AX39" s="2">
        <f t="shared" si="28"/>
        <v>0</v>
      </c>
      <c r="AY39" s="2">
        <f t="shared" si="28"/>
        <v>12839.14</v>
      </c>
      <c r="AZ39" s="2">
        <f t="shared" si="28"/>
        <v>0</v>
      </c>
      <c r="BA39" s="2">
        <f t="shared" si="28"/>
        <v>0</v>
      </c>
      <c r="BB39" s="2">
        <f t="shared" si="28"/>
        <v>0</v>
      </c>
      <c r="BC39" s="2">
        <f t="shared" si="28"/>
        <v>0</v>
      </c>
      <c r="BD39" s="2">
        <f t="shared" si="28"/>
        <v>178759.6</v>
      </c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>
        <f>ROUND(SUMIF(AA28:AA37,"=145262827",FQ28:FQ37),2)</f>
        <v>0</v>
      </c>
      <c r="BY39" s="2">
        <f>ROUND(SUMIF(AA28:AA37,"=145262827",FR28:FR37),2)</f>
        <v>0</v>
      </c>
      <c r="BZ39" s="2">
        <f>ROUND(SUMIF(AA28:AA37,"=145262827",GL28:GL37),2)</f>
        <v>0</v>
      </c>
      <c r="CA39" s="2">
        <f>ROUND(SUMIF(AA28:AA37,"=145262827",GM28:GM37),2)</f>
        <v>1804808.49</v>
      </c>
      <c r="CB39" s="2">
        <f>ROUND(SUMIF(AA28:AA37,"=145262827",GN28:GN37),2)</f>
        <v>1804808.49</v>
      </c>
      <c r="CC39" s="2">
        <f>ROUND(SUMIF(AA28:AA37,"=145262827",GO28:GO37),2)</f>
        <v>0</v>
      </c>
      <c r="CD39" s="2">
        <f>ROUND(SUMIF(AA28:AA37,"=145262827",GP28:GP37),2)</f>
        <v>0</v>
      </c>
      <c r="CE39" s="2">
        <f>AC39-BX39</f>
        <v>12839.14</v>
      </c>
      <c r="CF39" s="2">
        <f>AC39-BY39</f>
        <v>12839.14</v>
      </c>
      <c r="CG39" s="2">
        <f>BX39-BZ39</f>
        <v>0</v>
      </c>
      <c r="CH39" s="2">
        <f>AC39-BX39-BY39+BZ39</f>
        <v>12839.14</v>
      </c>
      <c r="CI39" s="2">
        <f>BY39-BZ39</f>
        <v>0</v>
      </c>
      <c r="CJ39" s="2">
        <f>ROUND(SUMIF(AA28:AA37,"=145262827",GX28:GX37),2)</f>
        <v>0</v>
      </c>
      <c r="CK39" s="2">
        <f>ROUND(SUMIF(AA28:AA37,"=145262827",GY28:GY37),2)</f>
        <v>0</v>
      </c>
      <c r="CL39" s="2">
        <f>ROUND(SUMIF(AA28:AA37,"=145262827",GZ28:GZ37),2)</f>
        <v>0</v>
      </c>
      <c r="CM39" s="2">
        <f>ROUND(SUMIF(AA28:AA37,"=145262827",HD28:HD37),2)</f>
        <v>178759.6</v>
      </c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>
        <v>0</v>
      </c>
    </row>
    <row r="41" spans="1:245" x14ac:dyDescent="0.2">
      <c r="A41" s="4">
        <v>50</v>
      </c>
      <c r="B41" s="4">
        <v>0</v>
      </c>
      <c r="C41" s="4">
        <v>0</v>
      </c>
      <c r="D41" s="4">
        <v>1</v>
      </c>
      <c r="E41" s="4">
        <v>201</v>
      </c>
      <c r="F41" s="4">
        <f>ROUND(Source!O39,O41)</f>
        <v>829077.26</v>
      </c>
      <c r="G41" s="4" t="s">
        <v>89</v>
      </c>
      <c r="H41" s="4" t="s">
        <v>90</v>
      </c>
      <c r="I41" s="4"/>
      <c r="J41" s="4"/>
      <c r="K41" s="4">
        <v>201</v>
      </c>
      <c r="L41" s="4">
        <v>1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>
        <v>829077.26</v>
      </c>
      <c r="X41" s="4">
        <v>1</v>
      </c>
      <c r="Y41" s="4">
        <v>829077.26</v>
      </c>
      <c r="Z41" s="4"/>
      <c r="AA41" s="4"/>
      <c r="AB41" s="4"/>
    </row>
    <row r="42" spans="1:245" x14ac:dyDescent="0.2">
      <c r="A42" s="4">
        <v>50</v>
      </c>
      <c r="B42" s="4">
        <v>0</v>
      </c>
      <c r="C42" s="4">
        <v>0</v>
      </c>
      <c r="D42" s="4">
        <v>1</v>
      </c>
      <c r="E42" s="4">
        <v>202</v>
      </c>
      <c r="F42" s="4">
        <f>ROUND(Source!P39,O42)</f>
        <v>12839.14</v>
      </c>
      <c r="G42" s="4" t="s">
        <v>91</v>
      </c>
      <c r="H42" s="4" t="s">
        <v>92</v>
      </c>
      <c r="I42" s="4"/>
      <c r="J42" s="4"/>
      <c r="K42" s="4">
        <v>202</v>
      </c>
      <c r="L42" s="4">
        <v>2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>
        <v>12839.14</v>
      </c>
      <c r="X42" s="4">
        <v>1</v>
      </c>
      <c r="Y42" s="4">
        <v>12839.14</v>
      </c>
      <c r="Z42" s="4"/>
      <c r="AA42" s="4"/>
      <c r="AB42" s="4"/>
    </row>
    <row r="43" spans="1:245" x14ac:dyDescent="0.2">
      <c r="A43" s="4">
        <v>50</v>
      </c>
      <c r="B43" s="4">
        <v>0</v>
      </c>
      <c r="C43" s="4">
        <v>0</v>
      </c>
      <c r="D43" s="4">
        <v>1</v>
      </c>
      <c r="E43" s="4">
        <v>222</v>
      </c>
      <c r="F43" s="4">
        <f>ROUND(Source!AO39,O43)</f>
        <v>0</v>
      </c>
      <c r="G43" s="4" t="s">
        <v>93</v>
      </c>
      <c r="H43" s="4" t="s">
        <v>94</v>
      </c>
      <c r="I43" s="4"/>
      <c r="J43" s="4"/>
      <c r="K43" s="4">
        <v>222</v>
      </c>
      <c r="L43" s="4">
        <v>3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>
        <v>0</v>
      </c>
      <c r="X43" s="4">
        <v>1</v>
      </c>
      <c r="Y43" s="4">
        <v>0</v>
      </c>
      <c r="Z43" s="4"/>
      <c r="AA43" s="4"/>
      <c r="AB43" s="4"/>
    </row>
    <row r="44" spans="1:245" x14ac:dyDescent="0.2">
      <c r="A44" s="4">
        <v>50</v>
      </c>
      <c r="B44" s="4">
        <v>0</v>
      </c>
      <c r="C44" s="4">
        <v>0</v>
      </c>
      <c r="D44" s="4">
        <v>1</v>
      </c>
      <c r="E44" s="4">
        <v>225</v>
      </c>
      <c r="F44" s="4">
        <f>ROUND(Source!AV39,O44)</f>
        <v>12839.14</v>
      </c>
      <c r="G44" s="4" t="s">
        <v>95</v>
      </c>
      <c r="H44" s="4" t="s">
        <v>96</v>
      </c>
      <c r="I44" s="4"/>
      <c r="J44" s="4"/>
      <c r="K44" s="4">
        <v>225</v>
      </c>
      <c r="L44" s="4">
        <v>4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>
        <v>12839.14</v>
      </c>
      <c r="X44" s="4">
        <v>1</v>
      </c>
      <c r="Y44" s="4">
        <v>12839.14</v>
      </c>
      <c r="Z44" s="4"/>
      <c r="AA44" s="4"/>
      <c r="AB44" s="4"/>
    </row>
    <row r="45" spans="1:245" x14ac:dyDescent="0.2">
      <c r="A45" s="4">
        <v>50</v>
      </c>
      <c r="B45" s="4">
        <v>0</v>
      </c>
      <c r="C45" s="4">
        <v>0</v>
      </c>
      <c r="D45" s="4">
        <v>1</v>
      </c>
      <c r="E45" s="4">
        <v>226</v>
      </c>
      <c r="F45" s="4">
        <f>ROUND(Source!AW39,O45)</f>
        <v>12839.14</v>
      </c>
      <c r="G45" s="4" t="s">
        <v>97</v>
      </c>
      <c r="H45" s="4" t="s">
        <v>98</v>
      </c>
      <c r="I45" s="4"/>
      <c r="J45" s="4"/>
      <c r="K45" s="4">
        <v>226</v>
      </c>
      <c r="L45" s="4">
        <v>5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>
        <v>12839.14</v>
      </c>
      <c r="X45" s="4">
        <v>1</v>
      </c>
      <c r="Y45" s="4">
        <v>12839.14</v>
      </c>
      <c r="Z45" s="4"/>
      <c r="AA45" s="4"/>
      <c r="AB45" s="4"/>
    </row>
    <row r="46" spans="1:245" x14ac:dyDescent="0.2">
      <c r="A46" s="4">
        <v>50</v>
      </c>
      <c r="B46" s="4">
        <v>0</v>
      </c>
      <c r="C46" s="4">
        <v>0</v>
      </c>
      <c r="D46" s="4">
        <v>1</v>
      </c>
      <c r="E46" s="4">
        <v>227</v>
      </c>
      <c r="F46" s="4">
        <f>ROUND(Source!AX39,O46)</f>
        <v>0</v>
      </c>
      <c r="G46" s="4" t="s">
        <v>99</v>
      </c>
      <c r="H46" s="4" t="s">
        <v>100</v>
      </c>
      <c r="I46" s="4"/>
      <c r="J46" s="4"/>
      <c r="K46" s="4">
        <v>227</v>
      </c>
      <c r="L46" s="4">
        <v>6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>
        <v>0</v>
      </c>
      <c r="X46" s="4">
        <v>1</v>
      </c>
      <c r="Y46" s="4">
        <v>0</v>
      </c>
      <c r="Z46" s="4"/>
      <c r="AA46" s="4"/>
      <c r="AB46" s="4"/>
    </row>
    <row r="47" spans="1:245" x14ac:dyDescent="0.2">
      <c r="A47" s="4">
        <v>50</v>
      </c>
      <c r="B47" s="4">
        <v>0</v>
      </c>
      <c r="C47" s="4">
        <v>0</v>
      </c>
      <c r="D47" s="4">
        <v>1</v>
      </c>
      <c r="E47" s="4">
        <v>228</v>
      </c>
      <c r="F47" s="4">
        <f>ROUND(Source!AY39,O47)</f>
        <v>12839.14</v>
      </c>
      <c r="G47" s="4" t="s">
        <v>101</v>
      </c>
      <c r="H47" s="4" t="s">
        <v>102</v>
      </c>
      <c r="I47" s="4"/>
      <c r="J47" s="4"/>
      <c r="K47" s="4">
        <v>228</v>
      </c>
      <c r="L47" s="4">
        <v>7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>
        <v>12839.14</v>
      </c>
      <c r="X47" s="4">
        <v>1</v>
      </c>
      <c r="Y47" s="4">
        <v>12839.14</v>
      </c>
      <c r="Z47" s="4"/>
      <c r="AA47" s="4"/>
      <c r="AB47" s="4"/>
    </row>
    <row r="48" spans="1:245" x14ac:dyDescent="0.2">
      <c r="A48" s="4">
        <v>50</v>
      </c>
      <c r="B48" s="4">
        <v>0</v>
      </c>
      <c r="C48" s="4">
        <v>0</v>
      </c>
      <c r="D48" s="4">
        <v>1</v>
      </c>
      <c r="E48" s="4">
        <v>216</v>
      </c>
      <c r="F48" s="4">
        <f>ROUND(Source!AP39,O48)</f>
        <v>0</v>
      </c>
      <c r="G48" s="4" t="s">
        <v>103</v>
      </c>
      <c r="H48" s="4" t="s">
        <v>104</v>
      </c>
      <c r="I48" s="4"/>
      <c r="J48" s="4"/>
      <c r="K48" s="4">
        <v>216</v>
      </c>
      <c r="L48" s="4">
        <v>8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>
        <v>0</v>
      </c>
      <c r="X48" s="4">
        <v>1</v>
      </c>
      <c r="Y48" s="4">
        <v>0</v>
      </c>
      <c r="Z48" s="4"/>
      <c r="AA48" s="4"/>
      <c r="AB48" s="4"/>
    </row>
    <row r="49" spans="1:28" x14ac:dyDescent="0.2">
      <c r="A49" s="4">
        <v>50</v>
      </c>
      <c r="B49" s="4">
        <v>0</v>
      </c>
      <c r="C49" s="4">
        <v>0</v>
      </c>
      <c r="D49" s="4">
        <v>1</v>
      </c>
      <c r="E49" s="4">
        <v>223</v>
      </c>
      <c r="F49" s="4">
        <f>ROUND(Source!AQ39,O49)</f>
        <v>0</v>
      </c>
      <c r="G49" s="4" t="s">
        <v>105</v>
      </c>
      <c r="H49" s="4" t="s">
        <v>106</v>
      </c>
      <c r="I49" s="4"/>
      <c r="J49" s="4"/>
      <c r="K49" s="4">
        <v>223</v>
      </c>
      <c r="L49" s="4">
        <v>9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>
        <v>0</v>
      </c>
      <c r="X49" s="4">
        <v>1</v>
      </c>
      <c r="Y49" s="4">
        <v>0</v>
      </c>
      <c r="Z49" s="4"/>
      <c r="AA49" s="4"/>
      <c r="AB49" s="4"/>
    </row>
    <row r="50" spans="1:28" x14ac:dyDescent="0.2">
      <c r="A50" s="4">
        <v>50</v>
      </c>
      <c r="B50" s="4">
        <v>0</v>
      </c>
      <c r="C50" s="4">
        <v>0</v>
      </c>
      <c r="D50" s="4">
        <v>1</v>
      </c>
      <c r="E50" s="4">
        <v>229</v>
      </c>
      <c r="F50" s="4">
        <f>ROUND(Source!AZ39,O50)</f>
        <v>0</v>
      </c>
      <c r="G50" s="4" t="s">
        <v>107</v>
      </c>
      <c r="H50" s="4" t="s">
        <v>108</v>
      </c>
      <c r="I50" s="4"/>
      <c r="J50" s="4"/>
      <c r="K50" s="4">
        <v>229</v>
      </c>
      <c r="L50" s="4">
        <v>10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>
        <v>0</v>
      </c>
      <c r="X50" s="4">
        <v>1</v>
      </c>
      <c r="Y50" s="4">
        <v>0</v>
      </c>
      <c r="Z50" s="4"/>
      <c r="AA50" s="4"/>
      <c r="AB50" s="4"/>
    </row>
    <row r="51" spans="1:28" x14ac:dyDescent="0.2">
      <c r="A51" s="4">
        <v>50</v>
      </c>
      <c r="B51" s="4">
        <v>0</v>
      </c>
      <c r="C51" s="4">
        <v>0</v>
      </c>
      <c r="D51" s="4">
        <v>1</v>
      </c>
      <c r="E51" s="4">
        <v>203</v>
      </c>
      <c r="F51" s="4">
        <f>ROUND(Source!Q39,O51)</f>
        <v>464550.41</v>
      </c>
      <c r="G51" s="4" t="s">
        <v>109</v>
      </c>
      <c r="H51" s="4" t="s">
        <v>110</v>
      </c>
      <c r="I51" s="4"/>
      <c r="J51" s="4"/>
      <c r="K51" s="4">
        <v>203</v>
      </c>
      <c r="L51" s="4">
        <v>11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>
        <v>464550.41</v>
      </c>
      <c r="X51" s="4">
        <v>1</v>
      </c>
      <c r="Y51" s="4">
        <v>464550.41</v>
      </c>
      <c r="Z51" s="4"/>
      <c r="AA51" s="4"/>
      <c r="AB51" s="4"/>
    </row>
    <row r="52" spans="1:28" x14ac:dyDescent="0.2">
      <c r="A52" s="4">
        <v>50</v>
      </c>
      <c r="B52" s="4">
        <v>0</v>
      </c>
      <c r="C52" s="4">
        <v>0</v>
      </c>
      <c r="D52" s="4">
        <v>1</v>
      </c>
      <c r="E52" s="4">
        <v>231</v>
      </c>
      <c r="F52" s="4">
        <f>ROUND(Source!BB39,O52)</f>
        <v>0</v>
      </c>
      <c r="G52" s="4" t="s">
        <v>111</v>
      </c>
      <c r="H52" s="4" t="s">
        <v>112</v>
      </c>
      <c r="I52" s="4"/>
      <c r="J52" s="4"/>
      <c r="K52" s="4">
        <v>231</v>
      </c>
      <c r="L52" s="4">
        <v>12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>
        <v>0</v>
      </c>
      <c r="X52" s="4">
        <v>1</v>
      </c>
      <c r="Y52" s="4">
        <v>0</v>
      </c>
      <c r="Z52" s="4"/>
      <c r="AA52" s="4"/>
      <c r="AB52" s="4"/>
    </row>
    <row r="53" spans="1:28" x14ac:dyDescent="0.2">
      <c r="A53" s="4">
        <v>50</v>
      </c>
      <c r="B53" s="4">
        <v>0</v>
      </c>
      <c r="C53" s="4">
        <v>0</v>
      </c>
      <c r="D53" s="4">
        <v>1</v>
      </c>
      <c r="E53" s="4">
        <v>204</v>
      </c>
      <c r="F53" s="4">
        <f>ROUND(Source!R39,O53)</f>
        <v>100607.17</v>
      </c>
      <c r="G53" s="4" t="s">
        <v>113</v>
      </c>
      <c r="H53" s="4" t="s">
        <v>114</v>
      </c>
      <c r="I53" s="4"/>
      <c r="J53" s="4"/>
      <c r="K53" s="4">
        <v>204</v>
      </c>
      <c r="L53" s="4">
        <v>13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>
        <v>100607.17</v>
      </c>
      <c r="X53" s="4">
        <v>1</v>
      </c>
      <c r="Y53" s="4">
        <v>100607.17</v>
      </c>
      <c r="Z53" s="4"/>
      <c r="AA53" s="4"/>
      <c r="AB53" s="4"/>
    </row>
    <row r="54" spans="1:28" x14ac:dyDescent="0.2">
      <c r="A54" s="4">
        <v>50</v>
      </c>
      <c r="B54" s="4">
        <v>0</v>
      </c>
      <c r="C54" s="4">
        <v>0</v>
      </c>
      <c r="D54" s="4">
        <v>1</v>
      </c>
      <c r="E54" s="4">
        <v>205</v>
      </c>
      <c r="F54" s="4">
        <f>ROUND(Source!S39,O54)</f>
        <v>351687.71</v>
      </c>
      <c r="G54" s="4" t="s">
        <v>115</v>
      </c>
      <c r="H54" s="4" t="s">
        <v>116</v>
      </c>
      <c r="I54" s="4"/>
      <c r="J54" s="4"/>
      <c r="K54" s="4">
        <v>205</v>
      </c>
      <c r="L54" s="4">
        <v>14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>
        <v>351687.71</v>
      </c>
      <c r="X54" s="4">
        <v>1</v>
      </c>
      <c r="Y54" s="4">
        <v>351687.71</v>
      </c>
      <c r="Z54" s="4"/>
      <c r="AA54" s="4"/>
      <c r="AB54" s="4"/>
    </row>
    <row r="55" spans="1:28" x14ac:dyDescent="0.2">
      <c r="A55" s="4">
        <v>50</v>
      </c>
      <c r="B55" s="4">
        <v>0</v>
      </c>
      <c r="C55" s="4">
        <v>0</v>
      </c>
      <c r="D55" s="4">
        <v>1</v>
      </c>
      <c r="E55" s="4">
        <v>232</v>
      </c>
      <c r="F55" s="4">
        <f>ROUND(Source!BC39,O55)</f>
        <v>0</v>
      </c>
      <c r="G55" s="4" t="s">
        <v>117</v>
      </c>
      <c r="H55" s="4" t="s">
        <v>118</v>
      </c>
      <c r="I55" s="4"/>
      <c r="J55" s="4"/>
      <c r="K55" s="4">
        <v>232</v>
      </c>
      <c r="L55" s="4">
        <v>15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>
        <v>0</v>
      </c>
      <c r="X55" s="4">
        <v>1</v>
      </c>
      <c r="Y55" s="4">
        <v>0</v>
      </c>
      <c r="Z55" s="4"/>
      <c r="AA55" s="4"/>
      <c r="AB55" s="4"/>
    </row>
    <row r="56" spans="1:28" x14ac:dyDescent="0.2">
      <c r="A56" s="4">
        <v>50</v>
      </c>
      <c r="B56" s="4">
        <v>0</v>
      </c>
      <c r="C56" s="4">
        <v>0</v>
      </c>
      <c r="D56" s="4">
        <v>1</v>
      </c>
      <c r="E56" s="4">
        <v>214</v>
      </c>
      <c r="F56" s="4">
        <f>ROUND(Source!AS39,O56)</f>
        <v>1804808.49</v>
      </c>
      <c r="G56" s="4" t="s">
        <v>119</v>
      </c>
      <c r="H56" s="4" t="s">
        <v>120</v>
      </c>
      <c r="I56" s="4"/>
      <c r="J56" s="4"/>
      <c r="K56" s="4">
        <v>214</v>
      </c>
      <c r="L56" s="4">
        <v>16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>
        <v>1804808.49</v>
      </c>
      <c r="X56" s="4">
        <v>1</v>
      </c>
      <c r="Y56" s="4">
        <v>1804808.49</v>
      </c>
      <c r="Z56" s="4"/>
      <c r="AA56" s="4"/>
      <c r="AB56" s="4"/>
    </row>
    <row r="57" spans="1:28" x14ac:dyDescent="0.2">
      <c r="A57" s="4">
        <v>50</v>
      </c>
      <c r="B57" s="4">
        <v>0</v>
      </c>
      <c r="C57" s="4">
        <v>0</v>
      </c>
      <c r="D57" s="4">
        <v>1</v>
      </c>
      <c r="E57" s="4">
        <v>215</v>
      </c>
      <c r="F57" s="4">
        <f>ROUND(Source!AT39,O57)</f>
        <v>0</v>
      </c>
      <c r="G57" s="4" t="s">
        <v>121</v>
      </c>
      <c r="H57" s="4" t="s">
        <v>122</v>
      </c>
      <c r="I57" s="4"/>
      <c r="J57" s="4"/>
      <c r="K57" s="4">
        <v>215</v>
      </c>
      <c r="L57" s="4">
        <v>17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>
        <v>0</v>
      </c>
      <c r="X57" s="4">
        <v>1</v>
      </c>
      <c r="Y57" s="4">
        <v>0</v>
      </c>
      <c r="Z57" s="4"/>
      <c r="AA57" s="4"/>
      <c r="AB57" s="4"/>
    </row>
    <row r="58" spans="1:28" x14ac:dyDescent="0.2">
      <c r="A58" s="4">
        <v>50</v>
      </c>
      <c r="B58" s="4">
        <v>0</v>
      </c>
      <c r="C58" s="4">
        <v>0</v>
      </c>
      <c r="D58" s="4">
        <v>1</v>
      </c>
      <c r="E58" s="4">
        <v>217</v>
      </c>
      <c r="F58" s="4">
        <f>ROUND(Source!AU39,O58)</f>
        <v>0</v>
      </c>
      <c r="G58" s="4" t="s">
        <v>123</v>
      </c>
      <c r="H58" s="4" t="s">
        <v>124</v>
      </c>
      <c r="I58" s="4"/>
      <c r="J58" s="4"/>
      <c r="K58" s="4">
        <v>217</v>
      </c>
      <c r="L58" s="4">
        <v>18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>
        <v>0</v>
      </c>
      <c r="X58" s="4">
        <v>1</v>
      </c>
      <c r="Y58" s="4">
        <v>0</v>
      </c>
      <c r="Z58" s="4"/>
      <c r="AA58" s="4"/>
      <c r="AB58" s="4"/>
    </row>
    <row r="59" spans="1:28" x14ac:dyDescent="0.2">
      <c r="A59" s="4">
        <v>50</v>
      </c>
      <c r="B59" s="4">
        <v>0</v>
      </c>
      <c r="C59" s="4">
        <v>0</v>
      </c>
      <c r="D59" s="4">
        <v>1</v>
      </c>
      <c r="E59" s="4">
        <v>230</v>
      </c>
      <c r="F59" s="4">
        <f>ROUND(Source!BA39,O59)</f>
        <v>0</v>
      </c>
      <c r="G59" s="4" t="s">
        <v>125</v>
      </c>
      <c r="H59" s="4" t="s">
        <v>126</v>
      </c>
      <c r="I59" s="4"/>
      <c r="J59" s="4"/>
      <c r="K59" s="4">
        <v>230</v>
      </c>
      <c r="L59" s="4">
        <v>19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>
        <v>0</v>
      </c>
      <c r="X59" s="4">
        <v>1</v>
      </c>
      <c r="Y59" s="4">
        <v>0</v>
      </c>
      <c r="Z59" s="4"/>
      <c r="AA59" s="4"/>
      <c r="AB59" s="4"/>
    </row>
    <row r="60" spans="1:28" x14ac:dyDescent="0.2">
      <c r="A60" s="4">
        <v>50</v>
      </c>
      <c r="B60" s="4">
        <v>0</v>
      </c>
      <c r="C60" s="4">
        <v>0</v>
      </c>
      <c r="D60" s="4">
        <v>1</v>
      </c>
      <c r="E60" s="4">
        <v>206</v>
      </c>
      <c r="F60" s="4">
        <f>ROUND(Source!T39,O60)</f>
        <v>0</v>
      </c>
      <c r="G60" s="4" t="s">
        <v>127</v>
      </c>
      <c r="H60" s="4" t="s">
        <v>128</v>
      </c>
      <c r="I60" s="4"/>
      <c r="J60" s="4"/>
      <c r="K60" s="4">
        <v>206</v>
      </c>
      <c r="L60" s="4">
        <v>20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>
        <v>0</v>
      </c>
      <c r="X60" s="4">
        <v>1</v>
      </c>
      <c r="Y60" s="4">
        <v>0</v>
      </c>
      <c r="Z60" s="4"/>
      <c r="AA60" s="4"/>
      <c r="AB60" s="4"/>
    </row>
    <row r="61" spans="1:28" x14ac:dyDescent="0.2">
      <c r="A61" s="4">
        <v>50</v>
      </c>
      <c r="B61" s="4">
        <v>0</v>
      </c>
      <c r="C61" s="4">
        <v>0</v>
      </c>
      <c r="D61" s="4">
        <v>1</v>
      </c>
      <c r="E61" s="4">
        <v>207</v>
      </c>
      <c r="F61" s="4">
        <f>Source!U39</f>
        <v>1408.4384</v>
      </c>
      <c r="G61" s="4" t="s">
        <v>129</v>
      </c>
      <c r="H61" s="4" t="s">
        <v>130</v>
      </c>
      <c r="I61" s="4"/>
      <c r="J61" s="4"/>
      <c r="K61" s="4">
        <v>207</v>
      </c>
      <c r="L61" s="4">
        <v>21</v>
      </c>
      <c r="M61" s="4">
        <v>3</v>
      </c>
      <c r="N61" s="4" t="s">
        <v>3</v>
      </c>
      <c r="O61" s="4">
        <v>-1</v>
      </c>
      <c r="P61" s="4"/>
      <c r="Q61" s="4"/>
      <c r="R61" s="4"/>
      <c r="S61" s="4"/>
      <c r="T61" s="4"/>
      <c r="U61" s="4"/>
      <c r="V61" s="4"/>
      <c r="W61" s="4">
        <v>1408.4384</v>
      </c>
      <c r="X61" s="4">
        <v>1</v>
      </c>
      <c r="Y61" s="4">
        <v>1408.4384</v>
      </c>
      <c r="Z61" s="4"/>
      <c r="AA61" s="4"/>
      <c r="AB61" s="4"/>
    </row>
    <row r="62" spans="1:28" x14ac:dyDescent="0.2">
      <c r="A62" s="4">
        <v>50</v>
      </c>
      <c r="B62" s="4">
        <v>0</v>
      </c>
      <c r="C62" s="4">
        <v>0</v>
      </c>
      <c r="D62" s="4">
        <v>1</v>
      </c>
      <c r="E62" s="4">
        <v>208</v>
      </c>
      <c r="F62" s="4">
        <f>Source!V39</f>
        <v>272.09136000000001</v>
      </c>
      <c r="G62" s="4" t="s">
        <v>131</v>
      </c>
      <c r="H62" s="4" t="s">
        <v>132</v>
      </c>
      <c r="I62" s="4"/>
      <c r="J62" s="4"/>
      <c r="K62" s="4">
        <v>208</v>
      </c>
      <c r="L62" s="4">
        <v>22</v>
      </c>
      <c r="M62" s="4">
        <v>3</v>
      </c>
      <c r="N62" s="4" t="s">
        <v>3</v>
      </c>
      <c r="O62" s="4">
        <v>-1</v>
      </c>
      <c r="P62" s="4"/>
      <c r="Q62" s="4"/>
      <c r="R62" s="4"/>
      <c r="S62" s="4"/>
      <c r="T62" s="4"/>
      <c r="U62" s="4"/>
      <c r="V62" s="4"/>
      <c r="W62" s="4">
        <v>272.09136000000001</v>
      </c>
      <c r="X62" s="4">
        <v>1</v>
      </c>
      <c r="Y62" s="4">
        <v>272.09136000000001</v>
      </c>
      <c r="Z62" s="4"/>
      <c r="AA62" s="4"/>
      <c r="AB62" s="4"/>
    </row>
    <row r="63" spans="1:28" x14ac:dyDescent="0.2">
      <c r="A63" s="4">
        <v>50</v>
      </c>
      <c r="B63" s="4">
        <v>0</v>
      </c>
      <c r="C63" s="4">
        <v>0</v>
      </c>
      <c r="D63" s="4">
        <v>1</v>
      </c>
      <c r="E63" s="4">
        <v>209</v>
      </c>
      <c r="F63" s="4">
        <f>ROUND(Source!W39,O63)</f>
        <v>0</v>
      </c>
      <c r="G63" s="4" t="s">
        <v>133</v>
      </c>
      <c r="H63" s="4" t="s">
        <v>134</v>
      </c>
      <c r="I63" s="4"/>
      <c r="J63" s="4"/>
      <c r="K63" s="4">
        <v>209</v>
      </c>
      <c r="L63" s="4">
        <v>23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>
        <v>0</v>
      </c>
      <c r="X63" s="4">
        <v>1</v>
      </c>
      <c r="Y63" s="4">
        <v>0</v>
      </c>
      <c r="Z63" s="4"/>
      <c r="AA63" s="4"/>
      <c r="AB63" s="4"/>
    </row>
    <row r="64" spans="1:28" x14ac:dyDescent="0.2">
      <c r="A64" s="4">
        <v>50</v>
      </c>
      <c r="B64" s="4">
        <v>0</v>
      </c>
      <c r="C64" s="4">
        <v>0</v>
      </c>
      <c r="D64" s="4">
        <v>1</v>
      </c>
      <c r="E64" s="4">
        <v>233</v>
      </c>
      <c r="F64" s="4">
        <f>ROUND(Source!BD39,O64)</f>
        <v>178759.6</v>
      </c>
      <c r="G64" s="4" t="s">
        <v>135</v>
      </c>
      <c r="H64" s="4" t="s">
        <v>136</v>
      </c>
      <c r="I64" s="4"/>
      <c r="J64" s="4"/>
      <c r="K64" s="4">
        <v>233</v>
      </c>
      <c r="L64" s="4">
        <v>24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>
        <v>178759.6</v>
      </c>
      <c r="X64" s="4">
        <v>1</v>
      </c>
      <c r="Y64" s="4">
        <v>178759.6</v>
      </c>
      <c r="Z64" s="4"/>
      <c r="AA64" s="4"/>
      <c r="AB64" s="4"/>
    </row>
    <row r="65" spans="1:245" x14ac:dyDescent="0.2">
      <c r="A65" s="4">
        <v>50</v>
      </c>
      <c r="B65" s="4">
        <v>0</v>
      </c>
      <c r="C65" s="4">
        <v>0</v>
      </c>
      <c r="D65" s="4">
        <v>1</v>
      </c>
      <c r="E65" s="4">
        <v>210</v>
      </c>
      <c r="F65" s="4">
        <f>ROUND(Source!X39,O65)</f>
        <v>487281.7</v>
      </c>
      <c r="G65" s="4" t="s">
        <v>137</v>
      </c>
      <c r="H65" s="4" t="s">
        <v>138</v>
      </c>
      <c r="I65" s="4"/>
      <c r="J65" s="4"/>
      <c r="K65" s="4">
        <v>210</v>
      </c>
      <c r="L65" s="4">
        <v>25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>
        <v>487281.7</v>
      </c>
      <c r="X65" s="4">
        <v>1</v>
      </c>
      <c r="Y65" s="4">
        <v>487281.7</v>
      </c>
      <c r="Z65" s="4"/>
      <c r="AA65" s="4"/>
      <c r="AB65" s="4"/>
    </row>
    <row r="66" spans="1:245" x14ac:dyDescent="0.2">
      <c r="A66" s="4">
        <v>50</v>
      </c>
      <c r="B66" s="4">
        <v>0</v>
      </c>
      <c r="C66" s="4">
        <v>0</v>
      </c>
      <c r="D66" s="4">
        <v>1</v>
      </c>
      <c r="E66" s="4">
        <v>211</v>
      </c>
      <c r="F66" s="4">
        <f>ROUND(Source!Y39,O66)</f>
        <v>309689.93</v>
      </c>
      <c r="G66" s="4" t="s">
        <v>139</v>
      </c>
      <c r="H66" s="4" t="s">
        <v>140</v>
      </c>
      <c r="I66" s="4"/>
      <c r="J66" s="4"/>
      <c r="K66" s="4">
        <v>211</v>
      </c>
      <c r="L66" s="4">
        <v>26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>
        <v>309689.93</v>
      </c>
      <c r="X66" s="4">
        <v>1</v>
      </c>
      <c r="Y66" s="4">
        <v>309689.93</v>
      </c>
      <c r="Z66" s="4"/>
      <c r="AA66" s="4"/>
      <c r="AB66" s="4"/>
    </row>
    <row r="67" spans="1:245" x14ac:dyDescent="0.2">
      <c r="A67" s="4">
        <v>50</v>
      </c>
      <c r="B67" s="4">
        <v>0</v>
      </c>
      <c r="C67" s="4">
        <v>0</v>
      </c>
      <c r="D67" s="4">
        <v>1</v>
      </c>
      <c r="E67" s="4">
        <v>224</v>
      </c>
      <c r="F67" s="4">
        <f>ROUND(Source!AR39,O67)</f>
        <v>1804808.49</v>
      </c>
      <c r="G67" s="4" t="s">
        <v>141</v>
      </c>
      <c r="H67" s="4" t="s">
        <v>142</v>
      </c>
      <c r="I67" s="4"/>
      <c r="J67" s="4"/>
      <c r="K67" s="4">
        <v>224</v>
      </c>
      <c r="L67" s="4">
        <v>27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>
        <v>1804808.49</v>
      </c>
      <c r="X67" s="4">
        <v>1</v>
      </c>
      <c r="Y67" s="4">
        <v>1804808.49</v>
      </c>
      <c r="Z67" s="4"/>
      <c r="AA67" s="4"/>
      <c r="AB67" s="4"/>
    </row>
    <row r="69" spans="1:245" x14ac:dyDescent="0.2">
      <c r="A69" s="1">
        <v>4</v>
      </c>
      <c r="B69" s="1">
        <v>1</v>
      </c>
      <c r="C69" s="1"/>
      <c r="D69" s="1">
        <f>ROW(A110)</f>
        <v>110</v>
      </c>
      <c r="E69" s="1"/>
      <c r="F69" s="1" t="s">
        <v>19</v>
      </c>
      <c r="G69" s="1" t="s">
        <v>143</v>
      </c>
      <c r="H69" s="1" t="s">
        <v>3</v>
      </c>
      <c r="I69" s="1">
        <v>0</v>
      </c>
      <c r="J69" s="1"/>
      <c r="K69" s="1">
        <v>0</v>
      </c>
      <c r="L69" s="1"/>
      <c r="M69" s="1" t="s">
        <v>3</v>
      </c>
      <c r="N69" s="1"/>
      <c r="O69" s="1"/>
      <c r="P69" s="1"/>
      <c r="Q69" s="1"/>
      <c r="R69" s="1"/>
      <c r="S69" s="1">
        <v>0</v>
      </c>
      <c r="T69" s="1"/>
      <c r="U69" s="1" t="s">
        <v>3</v>
      </c>
      <c r="V69" s="1">
        <v>0</v>
      </c>
      <c r="W69" s="1"/>
      <c r="X69" s="1"/>
      <c r="Y69" s="1"/>
      <c r="Z69" s="1"/>
      <c r="AA69" s="1"/>
      <c r="AB69" s="1" t="s">
        <v>3</v>
      </c>
      <c r="AC69" s="1" t="s">
        <v>3</v>
      </c>
      <c r="AD69" s="1" t="s">
        <v>3</v>
      </c>
      <c r="AE69" s="1" t="s">
        <v>3</v>
      </c>
      <c r="AF69" s="1" t="s">
        <v>3</v>
      </c>
      <c r="AG69" s="1" t="s">
        <v>3</v>
      </c>
      <c r="AH69" s="1"/>
      <c r="AI69" s="1"/>
      <c r="AJ69" s="1"/>
      <c r="AK69" s="1"/>
      <c r="AL69" s="1"/>
      <c r="AM69" s="1"/>
      <c r="AN69" s="1"/>
      <c r="AO69" s="1"/>
      <c r="AP69" s="1" t="s">
        <v>3</v>
      </c>
      <c r="AQ69" s="1" t="s">
        <v>3</v>
      </c>
      <c r="AR69" s="1" t="s">
        <v>3</v>
      </c>
      <c r="AS69" s="1"/>
      <c r="AT69" s="1"/>
      <c r="AU69" s="1"/>
      <c r="AV69" s="1"/>
      <c r="AW69" s="1"/>
      <c r="AX69" s="1"/>
      <c r="AY69" s="1"/>
      <c r="AZ69" s="1" t="s">
        <v>3</v>
      </c>
      <c r="BA69" s="1"/>
      <c r="BB69" s="1" t="s">
        <v>3</v>
      </c>
      <c r="BC69" s="1" t="s">
        <v>3</v>
      </c>
      <c r="BD69" s="1" t="s">
        <v>3</v>
      </c>
      <c r="BE69" s="1" t="s">
        <v>3</v>
      </c>
      <c r="BF69" s="1" t="s">
        <v>3</v>
      </c>
      <c r="BG69" s="1" t="s">
        <v>3</v>
      </c>
      <c r="BH69" s="1" t="s">
        <v>3</v>
      </c>
      <c r="BI69" s="1" t="s">
        <v>3</v>
      </c>
      <c r="BJ69" s="1" t="s">
        <v>3</v>
      </c>
      <c r="BK69" s="1" t="s">
        <v>3</v>
      </c>
      <c r="BL69" s="1" t="s">
        <v>3</v>
      </c>
      <c r="BM69" s="1" t="s">
        <v>3</v>
      </c>
      <c r="BN69" s="1" t="s">
        <v>3</v>
      </c>
      <c r="BO69" s="1" t="s">
        <v>3</v>
      </c>
      <c r="BP69" s="1" t="s">
        <v>3</v>
      </c>
      <c r="BQ69" s="1"/>
      <c r="BR69" s="1"/>
      <c r="BS69" s="1"/>
      <c r="BT69" s="1"/>
      <c r="BU69" s="1"/>
      <c r="BV69" s="1"/>
      <c r="BW69" s="1"/>
      <c r="BX69" s="1">
        <v>0</v>
      </c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>
        <v>0</v>
      </c>
    </row>
    <row r="71" spans="1:245" x14ac:dyDescent="0.2">
      <c r="A71" s="2">
        <v>52</v>
      </c>
      <c r="B71" s="2">
        <f t="shared" ref="B71:G71" si="29">B110</f>
        <v>1</v>
      </c>
      <c r="C71" s="2">
        <f t="shared" si="29"/>
        <v>4</v>
      </c>
      <c r="D71" s="2">
        <f t="shared" si="29"/>
        <v>69</v>
      </c>
      <c r="E71" s="2">
        <f t="shared" si="29"/>
        <v>0</v>
      </c>
      <c r="F71" s="2" t="str">
        <f t="shared" si="29"/>
        <v>Новый раздел</v>
      </c>
      <c r="G71" s="2" t="str">
        <f t="shared" si="29"/>
        <v>Кровля</v>
      </c>
      <c r="H71" s="2"/>
      <c r="I71" s="2"/>
      <c r="J71" s="2"/>
      <c r="K71" s="2"/>
      <c r="L71" s="2"/>
      <c r="M71" s="2"/>
      <c r="N71" s="2"/>
      <c r="O71" s="2">
        <f t="shared" ref="O71:AT71" si="30">O110</f>
        <v>14036013.9</v>
      </c>
      <c r="P71" s="2">
        <f t="shared" si="30"/>
        <v>11469763.77</v>
      </c>
      <c r="Q71" s="2">
        <f t="shared" si="30"/>
        <v>903797.36</v>
      </c>
      <c r="R71" s="2">
        <f t="shared" si="30"/>
        <v>208186.18</v>
      </c>
      <c r="S71" s="2">
        <f t="shared" si="30"/>
        <v>1662452.77</v>
      </c>
      <c r="T71" s="2">
        <f t="shared" si="30"/>
        <v>0</v>
      </c>
      <c r="U71" s="2">
        <f t="shared" si="30"/>
        <v>6222.4303987000003</v>
      </c>
      <c r="V71" s="2">
        <f t="shared" si="30"/>
        <v>549.69761125000002</v>
      </c>
      <c r="W71" s="2">
        <f t="shared" si="30"/>
        <v>0</v>
      </c>
      <c r="X71" s="2">
        <f t="shared" si="30"/>
        <v>1761926.62</v>
      </c>
      <c r="Y71" s="2">
        <f t="shared" si="30"/>
        <v>1024004.43</v>
      </c>
      <c r="Z71" s="2">
        <f t="shared" si="30"/>
        <v>0</v>
      </c>
      <c r="AA71" s="2">
        <f t="shared" si="30"/>
        <v>0</v>
      </c>
      <c r="AB71" s="2">
        <f t="shared" si="30"/>
        <v>14036013.9</v>
      </c>
      <c r="AC71" s="2">
        <f t="shared" si="30"/>
        <v>11469763.77</v>
      </c>
      <c r="AD71" s="2">
        <f t="shared" si="30"/>
        <v>903797.36</v>
      </c>
      <c r="AE71" s="2">
        <f t="shared" si="30"/>
        <v>208186.18</v>
      </c>
      <c r="AF71" s="2">
        <f t="shared" si="30"/>
        <v>1662452.77</v>
      </c>
      <c r="AG71" s="2">
        <f t="shared" si="30"/>
        <v>0</v>
      </c>
      <c r="AH71" s="2">
        <f t="shared" si="30"/>
        <v>6222.4303987000003</v>
      </c>
      <c r="AI71" s="2">
        <f t="shared" si="30"/>
        <v>549.69761125000002</v>
      </c>
      <c r="AJ71" s="2">
        <f t="shared" si="30"/>
        <v>0</v>
      </c>
      <c r="AK71" s="2">
        <f t="shared" si="30"/>
        <v>1761926.62</v>
      </c>
      <c r="AL71" s="2">
        <f t="shared" si="30"/>
        <v>1024004.43</v>
      </c>
      <c r="AM71" s="2">
        <f t="shared" si="30"/>
        <v>0</v>
      </c>
      <c r="AN71" s="2">
        <f t="shared" si="30"/>
        <v>0</v>
      </c>
      <c r="AO71" s="2">
        <f t="shared" si="30"/>
        <v>0</v>
      </c>
      <c r="AP71" s="2">
        <f t="shared" si="30"/>
        <v>0</v>
      </c>
      <c r="AQ71" s="2">
        <f t="shared" si="30"/>
        <v>0</v>
      </c>
      <c r="AR71" s="2">
        <f t="shared" si="30"/>
        <v>16821944.949999999</v>
      </c>
      <c r="AS71" s="2">
        <f t="shared" si="30"/>
        <v>15038905.800000001</v>
      </c>
      <c r="AT71" s="2">
        <f t="shared" si="30"/>
        <v>1783039.15</v>
      </c>
      <c r="AU71" s="2">
        <f t="shared" ref="AU71:BZ71" si="31">AU110</f>
        <v>0</v>
      </c>
      <c r="AV71" s="2">
        <f t="shared" si="31"/>
        <v>11469763.77</v>
      </c>
      <c r="AW71" s="2">
        <f t="shared" si="31"/>
        <v>11469763.77</v>
      </c>
      <c r="AX71" s="2">
        <f t="shared" si="31"/>
        <v>0</v>
      </c>
      <c r="AY71" s="2">
        <f t="shared" si="31"/>
        <v>11469763.77</v>
      </c>
      <c r="AZ71" s="2">
        <f t="shared" si="31"/>
        <v>0</v>
      </c>
      <c r="BA71" s="2">
        <f t="shared" si="31"/>
        <v>0</v>
      </c>
      <c r="BB71" s="2">
        <f t="shared" si="31"/>
        <v>0</v>
      </c>
      <c r="BC71" s="2">
        <f t="shared" si="31"/>
        <v>0</v>
      </c>
      <c r="BD71" s="2">
        <f t="shared" si="31"/>
        <v>0</v>
      </c>
      <c r="BE71" s="2">
        <f t="shared" si="31"/>
        <v>0</v>
      </c>
      <c r="BF71" s="2">
        <f t="shared" si="31"/>
        <v>0</v>
      </c>
      <c r="BG71" s="2">
        <f t="shared" si="31"/>
        <v>0</v>
      </c>
      <c r="BH71" s="2">
        <f t="shared" si="31"/>
        <v>0</v>
      </c>
      <c r="BI71" s="2">
        <f t="shared" si="31"/>
        <v>0</v>
      </c>
      <c r="BJ71" s="2">
        <f t="shared" si="31"/>
        <v>0</v>
      </c>
      <c r="BK71" s="2">
        <f t="shared" si="31"/>
        <v>0</v>
      </c>
      <c r="BL71" s="2">
        <f t="shared" si="31"/>
        <v>0</v>
      </c>
      <c r="BM71" s="2">
        <f t="shared" si="31"/>
        <v>0</v>
      </c>
      <c r="BN71" s="2">
        <f t="shared" si="31"/>
        <v>0</v>
      </c>
      <c r="BO71" s="2">
        <f t="shared" si="31"/>
        <v>0</v>
      </c>
      <c r="BP71" s="2">
        <f t="shared" si="31"/>
        <v>0</v>
      </c>
      <c r="BQ71" s="2">
        <f t="shared" si="31"/>
        <v>0</v>
      </c>
      <c r="BR71" s="2">
        <f t="shared" si="31"/>
        <v>0</v>
      </c>
      <c r="BS71" s="2">
        <f t="shared" si="31"/>
        <v>0</v>
      </c>
      <c r="BT71" s="2">
        <f t="shared" si="31"/>
        <v>0</v>
      </c>
      <c r="BU71" s="2">
        <f t="shared" si="31"/>
        <v>0</v>
      </c>
      <c r="BV71" s="2">
        <f t="shared" si="31"/>
        <v>0</v>
      </c>
      <c r="BW71" s="2">
        <f t="shared" si="31"/>
        <v>0</v>
      </c>
      <c r="BX71" s="2">
        <f t="shared" si="31"/>
        <v>0</v>
      </c>
      <c r="BY71" s="2">
        <f t="shared" si="31"/>
        <v>0</v>
      </c>
      <c r="BZ71" s="2">
        <f t="shared" si="31"/>
        <v>0</v>
      </c>
      <c r="CA71" s="2">
        <f t="shared" ref="CA71:DF71" si="32">CA110</f>
        <v>16821944.949999999</v>
      </c>
      <c r="CB71" s="2">
        <f t="shared" si="32"/>
        <v>15038905.800000001</v>
      </c>
      <c r="CC71" s="2">
        <f t="shared" si="32"/>
        <v>1783039.15</v>
      </c>
      <c r="CD71" s="2">
        <f t="shared" si="32"/>
        <v>0</v>
      </c>
      <c r="CE71" s="2">
        <f t="shared" si="32"/>
        <v>11469763.77</v>
      </c>
      <c r="CF71" s="2">
        <f t="shared" si="32"/>
        <v>11469763.77</v>
      </c>
      <c r="CG71" s="2">
        <f t="shared" si="32"/>
        <v>0</v>
      </c>
      <c r="CH71" s="2">
        <f t="shared" si="32"/>
        <v>11469763.77</v>
      </c>
      <c r="CI71" s="2">
        <f t="shared" si="32"/>
        <v>0</v>
      </c>
      <c r="CJ71" s="2">
        <f t="shared" si="32"/>
        <v>0</v>
      </c>
      <c r="CK71" s="2">
        <f t="shared" si="32"/>
        <v>0</v>
      </c>
      <c r="CL71" s="2">
        <f t="shared" si="32"/>
        <v>0</v>
      </c>
      <c r="CM71" s="2">
        <f t="shared" si="32"/>
        <v>0</v>
      </c>
      <c r="CN71" s="2">
        <f t="shared" si="32"/>
        <v>0</v>
      </c>
      <c r="CO71" s="2">
        <f t="shared" si="32"/>
        <v>0</v>
      </c>
      <c r="CP71" s="2">
        <f t="shared" si="32"/>
        <v>0</v>
      </c>
      <c r="CQ71" s="2">
        <f t="shared" si="32"/>
        <v>0</v>
      </c>
      <c r="CR71" s="2">
        <f t="shared" si="32"/>
        <v>0</v>
      </c>
      <c r="CS71" s="2">
        <f t="shared" si="32"/>
        <v>0</v>
      </c>
      <c r="CT71" s="2">
        <f t="shared" si="32"/>
        <v>0</v>
      </c>
      <c r="CU71" s="2">
        <f t="shared" si="32"/>
        <v>0</v>
      </c>
      <c r="CV71" s="2">
        <f t="shared" si="32"/>
        <v>0</v>
      </c>
      <c r="CW71" s="2">
        <f t="shared" si="32"/>
        <v>0</v>
      </c>
      <c r="CX71" s="2">
        <f t="shared" si="32"/>
        <v>0</v>
      </c>
      <c r="CY71" s="2">
        <f t="shared" si="32"/>
        <v>0</v>
      </c>
      <c r="CZ71" s="2">
        <f t="shared" si="32"/>
        <v>0</v>
      </c>
      <c r="DA71" s="2">
        <f t="shared" si="32"/>
        <v>0</v>
      </c>
      <c r="DB71" s="2">
        <f t="shared" si="32"/>
        <v>0</v>
      </c>
      <c r="DC71" s="2">
        <f t="shared" si="32"/>
        <v>0</v>
      </c>
      <c r="DD71" s="2">
        <f t="shared" si="32"/>
        <v>0</v>
      </c>
      <c r="DE71" s="2">
        <f t="shared" si="32"/>
        <v>0</v>
      </c>
      <c r="DF71" s="2">
        <f t="shared" si="32"/>
        <v>0</v>
      </c>
      <c r="DG71" s="3">
        <f t="shared" ref="DG71:EL71" si="33">DG110</f>
        <v>0</v>
      </c>
      <c r="DH71" s="3">
        <f t="shared" si="33"/>
        <v>0</v>
      </c>
      <c r="DI71" s="3">
        <f t="shared" si="33"/>
        <v>0</v>
      </c>
      <c r="DJ71" s="3">
        <f t="shared" si="33"/>
        <v>0</v>
      </c>
      <c r="DK71" s="3">
        <f t="shared" si="33"/>
        <v>0</v>
      </c>
      <c r="DL71" s="3">
        <f t="shared" si="33"/>
        <v>0</v>
      </c>
      <c r="DM71" s="3">
        <f t="shared" si="33"/>
        <v>0</v>
      </c>
      <c r="DN71" s="3">
        <f t="shared" si="33"/>
        <v>0</v>
      </c>
      <c r="DO71" s="3">
        <f t="shared" si="33"/>
        <v>0</v>
      </c>
      <c r="DP71" s="3">
        <f t="shared" si="33"/>
        <v>0</v>
      </c>
      <c r="DQ71" s="3">
        <f t="shared" si="33"/>
        <v>0</v>
      </c>
      <c r="DR71" s="3">
        <f t="shared" si="33"/>
        <v>0</v>
      </c>
      <c r="DS71" s="3">
        <f t="shared" si="33"/>
        <v>0</v>
      </c>
      <c r="DT71" s="3">
        <f t="shared" si="33"/>
        <v>0</v>
      </c>
      <c r="DU71" s="3">
        <f t="shared" si="33"/>
        <v>0</v>
      </c>
      <c r="DV71" s="3">
        <f t="shared" si="33"/>
        <v>0</v>
      </c>
      <c r="DW71" s="3">
        <f t="shared" si="33"/>
        <v>0</v>
      </c>
      <c r="DX71" s="3">
        <f t="shared" si="33"/>
        <v>0</v>
      </c>
      <c r="DY71" s="3">
        <f t="shared" si="33"/>
        <v>0</v>
      </c>
      <c r="DZ71" s="3">
        <f t="shared" si="33"/>
        <v>0</v>
      </c>
      <c r="EA71" s="3">
        <f t="shared" si="33"/>
        <v>0</v>
      </c>
      <c r="EB71" s="3">
        <f t="shared" si="33"/>
        <v>0</v>
      </c>
      <c r="EC71" s="3">
        <f t="shared" si="33"/>
        <v>0</v>
      </c>
      <c r="ED71" s="3">
        <f t="shared" si="33"/>
        <v>0</v>
      </c>
      <c r="EE71" s="3">
        <f t="shared" si="33"/>
        <v>0</v>
      </c>
      <c r="EF71" s="3">
        <f t="shared" si="33"/>
        <v>0</v>
      </c>
      <c r="EG71" s="3">
        <f t="shared" si="33"/>
        <v>0</v>
      </c>
      <c r="EH71" s="3">
        <f t="shared" si="33"/>
        <v>0</v>
      </c>
      <c r="EI71" s="3">
        <f t="shared" si="33"/>
        <v>0</v>
      </c>
      <c r="EJ71" s="3">
        <f t="shared" si="33"/>
        <v>0</v>
      </c>
      <c r="EK71" s="3">
        <f t="shared" si="33"/>
        <v>0</v>
      </c>
      <c r="EL71" s="3">
        <f t="shared" si="33"/>
        <v>0</v>
      </c>
      <c r="EM71" s="3">
        <f t="shared" ref="EM71:FR71" si="34">EM110</f>
        <v>0</v>
      </c>
      <c r="EN71" s="3">
        <f t="shared" si="34"/>
        <v>0</v>
      </c>
      <c r="EO71" s="3">
        <f t="shared" si="34"/>
        <v>0</v>
      </c>
      <c r="EP71" s="3">
        <f t="shared" si="34"/>
        <v>0</v>
      </c>
      <c r="EQ71" s="3">
        <f t="shared" si="34"/>
        <v>0</v>
      </c>
      <c r="ER71" s="3">
        <f t="shared" si="34"/>
        <v>0</v>
      </c>
      <c r="ES71" s="3">
        <f t="shared" si="34"/>
        <v>0</v>
      </c>
      <c r="ET71" s="3">
        <f t="shared" si="34"/>
        <v>0</v>
      </c>
      <c r="EU71" s="3">
        <f t="shared" si="34"/>
        <v>0</v>
      </c>
      <c r="EV71" s="3">
        <f t="shared" si="34"/>
        <v>0</v>
      </c>
      <c r="EW71" s="3">
        <f t="shared" si="34"/>
        <v>0</v>
      </c>
      <c r="EX71" s="3">
        <f t="shared" si="34"/>
        <v>0</v>
      </c>
      <c r="EY71" s="3">
        <f t="shared" si="34"/>
        <v>0</v>
      </c>
      <c r="EZ71" s="3">
        <f t="shared" si="34"/>
        <v>0</v>
      </c>
      <c r="FA71" s="3">
        <f t="shared" si="34"/>
        <v>0</v>
      </c>
      <c r="FB71" s="3">
        <f t="shared" si="34"/>
        <v>0</v>
      </c>
      <c r="FC71" s="3">
        <f t="shared" si="34"/>
        <v>0</v>
      </c>
      <c r="FD71" s="3">
        <f t="shared" si="34"/>
        <v>0</v>
      </c>
      <c r="FE71" s="3">
        <f t="shared" si="34"/>
        <v>0</v>
      </c>
      <c r="FF71" s="3">
        <f t="shared" si="34"/>
        <v>0</v>
      </c>
      <c r="FG71" s="3">
        <f t="shared" si="34"/>
        <v>0</v>
      </c>
      <c r="FH71" s="3">
        <f t="shared" si="34"/>
        <v>0</v>
      </c>
      <c r="FI71" s="3">
        <f t="shared" si="34"/>
        <v>0</v>
      </c>
      <c r="FJ71" s="3">
        <f t="shared" si="34"/>
        <v>0</v>
      </c>
      <c r="FK71" s="3">
        <f t="shared" si="34"/>
        <v>0</v>
      </c>
      <c r="FL71" s="3">
        <f t="shared" si="34"/>
        <v>0</v>
      </c>
      <c r="FM71" s="3">
        <f t="shared" si="34"/>
        <v>0</v>
      </c>
      <c r="FN71" s="3">
        <f t="shared" si="34"/>
        <v>0</v>
      </c>
      <c r="FO71" s="3">
        <f t="shared" si="34"/>
        <v>0</v>
      </c>
      <c r="FP71" s="3">
        <f t="shared" si="34"/>
        <v>0</v>
      </c>
      <c r="FQ71" s="3">
        <f t="shared" si="34"/>
        <v>0</v>
      </c>
      <c r="FR71" s="3">
        <f t="shared" si="34"/>
        <v>0</v>
      </c>
      <c r="FS71" s="3">
        <f t="shared" ref="FS71:GX71" si="35">FS110</f>
        <v>0</v>
      </c>
      <c r="FT71" s="3">
        <f t="shared" si="35"/>
        <v>0</v>
      </c>
      <c r="FU71" s="3">
        <f t="shared" si="35"/>
        <v>0</v>
      </c>
      <c r="FV71" s="3">
        <f t="shared" si="35"/>
        <v>0</v>
      </c>
      <c r="FW71" s="3">
        <f t="shared" si="35"/>
        <v>0</v>
      </c>
      <c r="FX71" s="3">
        <f t="shared" si="35"/>
        <v>0</v>
      </c>
      <c r="FY71" s="3">
        <f t="shared" si="35"/>
        <v>0</v>
      </c>
      <c r="FZ71" s="3">
        <f t="shared" si="35"/>
        <v>0</v>
      </c>
      <c r="GA71" s="3">
        <f t="shared" si="35"/>
        <v>0</v>
      </c>
      <c r="GB71" s="3">
        <f t="shared" si="35"/>
        <v>0</v>
      </c>
      <c r="GC71" s="3">
        <f t="shared" si="35"/>
        <v>0</v>
      </c>
      <c r="GD71" s="3">
        <f t="shared" si="35"/>
        <v>0</v>
      </c>
      <c r="GE71" s="3">
        <f t="shared" si="35"/>
        <v>0</v>
      </c>
      <c r="GF71" s="3">
        <f t="shared" si="35"/>
        <v>0</v>
      </c>
      <c r="GG71" s="3">
        <f t="shared" si="35"/>
        <v>0</v>
      </c>
      <c r="GH71" s="3">
        <f t="shared" si="35"/>
        <v>0</v>
      </c>
      <c r="GI71" s="3">
        <f t="shared" si="35"/>
        <v>0</v>
      </c>
      <c r="GJ71" s="3">
        <f t="shared" si="35"/>
        <v>0</v>
      </c>
      <c r="GK71" s="3">
        <f t="shared" si="35"/>
        <v>0</v>
      </c>
      <c r="GL71" s="3">
        <f t="shared" si="35"/>
        <v>0</v>
      </c>
      <c r="GM71" s="3">
        <f t="shared" si="35"/>
        <v>0</v>
      </c>
      <c r="GN71" s="3">
        <f t="shared" si="35"/>
        <v>0</v>
      </c>
      <c r="GO71" s="3">
        <f t="shared" si="35"/>
        <v>0</v>
      </c>
      <c r="GP71" s="3">
        <f t="shared" si="35"/>
        <v>0</v>
      </c>
      <c r="GQ71" s="3">
        <f t="shared" si="35"/>
        <v>0</v>
      </c>
      <c r="GR71" s="3">
        <f t="shared" si="35"/>
        <v>0</v>
      </c>
      <c r="GS71" s="3">
        <f t="shared" si="35"/>
        <v>0</v>
      </c>
      <c r="GT71" s="3">
        <f t="shared" si="35"/>
        <v>0</v>
      </c>
      <c r="GU71" s="3">
        <f t="shared" si="35"/>
        <v>0</v>
      </c>
      <c r="GV71" s="3">
        <f t="shared" si="35"/>
        <v>0</v>
      </c>
      <c r="GW71" s="3">
        <f t="shared" si="35"/>
        <v>0</v>
      </c>
      <c r="GX71" s="3">
        <f t="shared" si="35"/>
        <v>0</v>
      </c>
    </row>
    <row r="73" spans="1:245" x14ac:dyDescent="0.2">
      <c r="A73">
        <v>17</v>
      </c>
      <c r="B73">
        <v>1</v>
      </c>
      <c r="C73">
        <f>ROW(SmtRes!A60)</f>
        <v>60</v>
      </c>
      <c r="D73">
        <f>ROW(EtalonRes!A67)</f>
        <v>67</v>
      </c>
      <c r="E73" t="s">
        <v>144</v>
      </c>
      <c r="F73" t="s">
        <v>145</v>
      </c>
      <c r="G73" t="s">
        <v>146</v>
      </c>
      <c r="H73" t="s">
        <v>24</v>
      </c>
      <c r="I73">
        <f>ROUND(ROUND(5052/1.1/100,2),9)</f>
        <v>45.93</v>
      </c>
      <c r="J73">
        <v>0</v>
      </c>
      <c r="K73">
        <f>ROUND(ROUND(5052/1.1/100,2),9)</f>
        <v>45.93</v>
      </c>
      <c r="O73">
        <f t="shared" ref="O73:O97" si="36">ROUND(CP73,2)</f>
        <v>929007.59</v>
      </c>
      <c r="P73">
        <f t="shared" ref="P73:P97" si="37">ROUND(CQ73*I73,2)</f>
        <v>60607.98</v>
      </c>
      <c r="Q73">
        <f t="shared" ref="Q73:Q97" si="38">ROUND(CR73*I73,2)</f>
        <v>401269.89</v>
      </c>
      <c r="R73">
        <f t="shared" ref="R73:R97" si="39">ROUND(CS73*I73,2)</f>
        <v>88290.7</v>
      </c>
      <c r="S73">
        <f t="shared" ref="S73:S97" si="40">ROUND(CT73*I73,2)</f>
        <v>467129.72</v>
      </c>
      <c r="T73">
        <f t="shared" ref="T73:T97" si="41">ROUND(CU73*I73,2)</f>
        <v>0</v>
      </c>
      <c r="U73">
        <f t="shared" ref="U73:U97" si="42">CV73*I73</f>
        <v>1822.2727499999999</v>
      </c>
      <c r="V73">
        <f t="shared" ref="V73:V97" si="43">CW73*I73</f>
        <v>213.57450000000003</v>
      </c>
      <c r="W73">
        <f t="shared" ref="W73:W97" si="44">ROUND(CX73*I73,2)</f>
        <v>0</v>
      </c>
      <c r="X73">
        <f t="shared" ref="X73:X97" si="45">ROUND(CY73,2)</f>
        <v>516540.99</v>
      </c>
      <c r="Y73">
        <f t="shared" ref="Y73:Y97" si="46">ROUND(CZ73,2)</f>
        <v>344360.66</v>
      </c>
      <c r="AA73">
        <v>145262827</v>
      </c>
      <c r="AB73">
        <f t="shared" ref="AB73:AB97" si="47">ROUND((AC73+AD73+AF73),2)</f>
        <v>1260.75</v>
      </c>
      <c r="AC73">
        <f t="shared" ref="AC73:AC92" si="48">ROUND((ES73),2)</f>
        <v>155.61000000000001</v>
      </c>
      <c r="AD73">
        <f>ROUND(((((ET73*1.25))-((EU73*1.25)))+AE73),2)</f>
        <v>758.38</v>
      </c>
      <c r="AE73">
        <f>ROUND(((EU73*1.25)),2)</f>
        <v>65.540000000000006</v>
      </c>
      <c r="AF73">
        <f>ROUND(((EV73*1.15)),2)</f>
        <v>346.76</v>
      </c>
      <c r="AG73">
        <f t="shared" ref="AG73:AG97" si="49">ROUND((AP73),2)</f>
        <v>0</v>
      </c>
      <c r="AH73">
        <f>((EW73*1.15))</f>
        <v>39.674999999999997</v>
      </c>
      <c r="AI73">
        <f>((EX73*1.25))</f>
        <v>4.6500000000000004</v>
      </c>
      <c r="AJ73">
        <f t="shared" ref="AJ73:AJ97" si="50">(AS73)</f>
        <v>0</v>
      </c>
      <c r="AK73">
        <v>1063.8399999999999</v>
      </c>
      <c r="AL73">
        <v>155.61000000000001</v>
      </c>
      <c r="AM73">
        <v>606.70000000000005</v>
      </c>
      <c r="AN73">
        <v>52.43</v>
      </c>
      <c r="AO73">
        <v>301.52999999999997</v>
      </c>
      <c r="AP73">
        <v>0</v>
      </c>
      <c r="AQ73">
        <v>34.5</v>
      </c>
      <c r="AR73">
        <v>3.72</v>
      </c>
      <c r="AS73">
        <v>0</v>
      </c>
      <c r="AT73">
        <v>93</v>
      </c>
      <c r="AU73">
        <v>62</v>
      </c>
      <c r="AV73">
        <v>1</v>
      </c>
      <c r="AW73">
        <v>1</v>
      </c>
      <c r="AZ73">
        <v>1</v>
      </c>
      <c r="BA73">
        <v>29.33</v>
      </c>
      <c r="BB73">
        <v>11.52</v>
      </c>
      <c r="BC73">
        <v>8.48</v>
      </c>
      <c r="BD73" t="s">
        <v>3</v>
      </c>
      <c r="BE73" t="s">
        <v>3</v>
      </c>
      <c r="BF73" t="s">
        <v>3</v>
      </c>
      <c r="BG73" t="s">
        <v>3</v>
      </c>
      <c r="BH73">
        <v>0</v>
      </c>
      <c r="BI73">
        <v>1</v>
      </c>
      <c r="BJ73" t="s">
        <v>147</v>
      </c>
      <c r="BM73">
        <v>9001</v>
      </c>
      <c r="BN73">
        <v>0</v>
      </c>
      <c r="BO73" t="s">
        <v>3</v>
      </c>
      <c r="BP73">
        <v>0</v>
      </c>
      <c r="BQ73">
        <v>2</v>
      </c>
      <c r="BR73">
        <v>0</v>
      </c>
      <c r="BS73">
        <v>29.33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</v>
      </c>
      <c r="BZ73">
        <v>93</v>
      </c>
      <c r="CA73">
        <v>62</v>
      </c>
      <c r="CB73" t="s">
        <v>3</v>
      </c>
      <c r="CE73">
        <v>0</v>
      </c>
      <c r="CF73">
        <v>0</v>
      </c>
      <c r="CG73">
        <v>0</v>
      </c>
      <c r="CM73">
        <v>0</v>
      </c>
      <c r="CN73" t="s">
        <v>597</v>
      </c>
      <c r="CO73">
        <v>0</v>
      </c>
      <c r="CP73">
        <f t="shared" ref="CP73:CP97" si="51">(P73+Q73+S73)</f>
        <v>929007.59</v>
      </c>
      <c r="CQ73">
        <f t="shared" ref="CQ73:CQ97" si="52">AC73*BC73</f>
        <v>1319.5728000000001</v>
      </c>
      <c r="CR73">
        <f>((((ET73*1.25))*BB73-((EU73*1.25))*BS73)+AE73*BS73)</f>
        <v>8736.5533250000008</v>
      </c>
      <c r="CS73">
        <f t="shared" ref="CS73:CS97" si="53">AE73*BS73</f>
        <v>1922.2882</v>
      </c>
      <c r="CT73">
        <f t="shared" ref="CT73:CT97" si="54">AF73*BA73</f>
        <v>10170.470799999999</v>
      </c>
      <c r="CU73">
        <f t="shared" ref="CU73:CU97" si="55">AG73</f>
        <v>0</v>
      </c>
      <c r="CV73">
        <f t="shared" ref="CV73:CV97" si="56">AH73</f>
        <v>39.674999999999997</v>
      </c>
      <c r="CW73">
        <f t="shared" ref="CW73:CW97" si="57">AI73</f>
        <v>4.6500000000000004</v>
      </c>
      <c r="CX73">
        <f t="shared" ref="CX73:CX97" si="58">AJ73</f>
        <v>0</v>
      </c>
      <c r="CY73">
        <f t="shared" ref="CY73:CY97" si="59">(((S73+R73)*AT73)/100)</f>
        <v>516540.99059999996</v>
      </c>
      <c r="CZ73">
        <f t="shared" ref="CZ73:CZ97" si="60">(((S73+R73)*AU73)/100)</f>
        <v>344360.66039999994</v>
      </c>
      <c r="DC73" t="s">
        <v>3</v>
      </c>
      <c r="DD73" t="s">
        <v>3</v>
      </c>
      <c r="DE73" t="s">
        <v>148</v>
      </c>
      <c r="DF73" t="s">
        <v>148</v>
      </c>
      <c r="DG73" t="s">
        <v>149</v>
      </c>
      <c r="DH73" t="s">
        <v>3</v>
      </c>
      <c r="DI73" t="s">
        <v>149</v>
      </c>
      <c r="DJ73" t="s">
        <v>148</v>
      </c>
      <c r="DK73" t="s">
        <v>3</v>
      </c>
      <c r="DL73" t="s">
        <v>3</v>
      </c>
      <c r="DM73" t="s">
        <v>3</v>
      </c>
      <c r="DN73">
        <v>0</v>
      </c>
      <c r="DO73">
        <v>0</v>
      </c>
      <c r="DP73">
        <v>1</v>
      </c>
      <c r="DQ73">
        <v>1</v>
      </c>
      <c r="DU73">
        <v>1005</v>
      </c>
      <c r="DV73" t="s">
        <v>24</v>
      </c>
      <c r="DW73" t="s">
        <v>24</v>
      </c>
      <c r="DX73">
        <v>100</v>
      </c>
      <c r="DZ73" t="s">
        <v>3</v>
      </c>
      <c r="EA73" t="s">
        <v>3</v>
      </c>
      <c r="EB73" t="s">
        <v>3</v>
      </c>
      <c r="EC73" t="s">
        <v>3</v>
      </c>
      <c r="EE73">
        <v>140625026</v>
      </c>
      <c r="EF73">
        <v>2</v>
      </c>
      <c r="EG73" t="s">
        <v>26</v>
      </c>
      <c r="EH73">
        <v>9</v>
      </c>
      <c r="EI73" t="s">
        <v>150</v>
      </c>
      <c r="EJ73">
        <v>1</v>
      </c>
      <c r="EK73">
        <v>9001</v>
      </c>
      <c r="EL73" t="s">
        <v>150</v>
      </c>
      <c r="EM73" t="s">
        <v>151</v>
      </c>
      <c r="EO73" t="s">
        <v>152</v>
      </c>
      <c r="EQ73">
        <v>131072</v>
      </c>
      <c r="ER73">
        <v>1063.8399999999999</v>
      </c>
      <c r="ES73">
        <v>155.61000000000001</v>
      </c>
      <c r="ET73">
        <v>606.70000000000005</v>
      </c>
      <c r="EU73">
        <v>52.43</v>
      </c>
      <c r="EV73">
        <v>301.52999999999997</v>
      </c>
      <c r="EW73">
        <v>34.5</v>
      </c>
      <c r="EX73">
        <v>3.72</v>
      </c>
      <c r="EY73">
        <v>0</v>
      </c>
      <c r="FQ73">
        <v>0</v>
      </c>
      <c r="FR73">
        <f t="shared" ref="FR73:FR97" si="61">ROUND(IF(BI73=3,GM73,0),2)</f>
        <v>0</v>
      </c>
      <c r="FS73">
        <v>0</v>
      </c>
      <c r="FX73">
        <v>93</v>
      </c>
      <c r="FY73">
        <v>62</v>
      </c>
      <c r="GA73" t="s">
        <v>3</v>
      </c>
      <c r="GD73">
        <v>1</v>
      </c>
      <c r="GF73">
        <v>412605983</v>
      </c>
      <c r="GG73">
        <v>2</v>
      </c>
      <c r="GH73">
        <v>1</v>
      </c>
      <c r="GI73">
        <v>4</v>
      </c>
      <c r="GJ73">
        <v>0</v>
      </c>
      <c r="GK73">
        <v>0</v>
      </c>
      <c r="GL73">
        <f t="shared" ref="GL73:GL97" si="62">ROUND(IF(AND(BH73=3,BI73=3,FS73&lt;&gt;0),P73,0),2)</f>
        <v>0</v>
      </c>
      <c r="GM73">
        <f t="shared" ref="GM73:GM97" si="63">ROUND(O73+X73+Y73,2)+GX73</f>
        <v>1789909.24</v>
      </c>
      <c r="GN73">
        <f t="shared" ref="GN73:GN97" si="64">IF(OR(BI73=0,BI73=1),ROUND(O73+X73+Y73,2),0)</f>
        <v>1789909.24</v>
      </c>
      <c r="GO73">
        <f t="shared" ref="GO73:GO97" si="65">IF(BI73=2,ROUND(O73+X73+Y73,2),0)</f>
        <v>0</v>
      </c>
      <c r="GP73">
        <f t="shared" ref="GP73:GP97" si="66">IF(BI73=4,ROUND(O73+X73+Y73,2)+GX73,0)</f>
        <v>0</v>
      </c>
      <c r="GR73">
        <v>0</v>
      </c>
      <c r="GS73">
        <v>3</v>
      </c>
      <c r="GT73">
        <v>0</v>
      </c>
      <c r="GU73" t="s">
        <v>3</v>
      </c>
      <c r="GV73">
        <f t="shared" ref="GV73:GV97" si="67">ROUND((GT73),2)</f>
        <v>0</v>
      </c>
      <c r="GW73">
        <v>1</v>
      </c>
      <c r="GX73">
        <f t="shared" ref="GX73:GX97" si="68">ROUND(HC73*I73,2)</f>
        <v>0</v>
      </c>
      <c r="HA73">
        <v>0</v>
      </c>
      <c r="HB73">
        <v>0</v>
      </c>
      <c r="HC73">
        <f t="shared" ref="HC73:HC97" si="69">GV73*GW73</f>
        <v>0</v>
      </c>
      <c r="HE73" t="s">
        <v>3</v>
      </c>
      <c r="HF73" t="s">
        <v>3</v>
      </c>
      <c r="HM73" t="s">
        <v>3</v>
      </c>
      <c r="HN73" t="s">
        <v>153</v>
      </c>
      <c r="HO73" t="s">
        <v>154</v>
      </c>
      <c r="HP73" t="s">
        <v>150</v>
      </c>
      <c r="HQ73" t="s">
        <v>150</v>
      </c>
      <c r="IK73">
        <v>0</v>
      </c>
    </row>
    <row r="74" spans="1:245" x14ac:dyDescent="0.2">
      <c r="A74">
        <v>17</v>
      </c>
      <c r="B74">
        <v>1</v>
      </c>
      <c r="E74" t="s">
        <v>155</v>
      </c>
      <c r="F74" t="s">
        <v>156</v>
      </c>
      <c r="G74" t="s">
        <v>157</v>
      </c>
      <c r="H74" t="s">
        <v>158</v>
      </c>
      <c r="I74">
        <v>5052</v>
      </c>
      <c r="J74">
        <v>0</v>
      </c>
      <c r="K74">
        <v>5052</v>
      </c>
      <c r="O74">
        <f t="shared" si="36"/>
        <v>5068085.57</v>
      </c>
      <c r="P74">
        <f t="shared" si="37"/>
        <v>5068085.57</v>
      </c>
      <c r="Q74">
        <f t="shared" si="38"/>
        <v>0</v>
      </c>
      <c r="R74">
        <f t="shared" si="39"/>
        <v>0</v>
      </c>
      <c r="S74">
        <f t="shared" si="40"/>
        <v>0</v>
      </c>
      <c r="T74">
        <f t="shared" si="41"/>
        <v>0</v>
      </c>
      <c r="U74">
        <f t="shared" si="42"/>
        <v>0</v>
      </c>
      <c r="V74">
        <f t="shared" si="43"/>
        <v>0</v>
      </c>
      <c r="W74">
        <f t="shared" si="44"/>
        <v>0</v>
      </c>
      <c r="X74">
        <f t="shared" si="45"/>
        <v>0</v>
      </c>
      <c r="Y74">
        <f t="shared" si="46"/>
        <v>0</v>
      </c>
      <c r="AA74">
        <v>145262827</v>
      </c>
      <c r="AB74">
        <f t="shared" si="47"/>
        <v>118.3</v>
      </c>
      <c r="AC74">
        <f t="shared" si="48"/>
        <v>118.3</v>
      </c>
      <c r="AD74">
        <f>ROUND((((ET74)-(EU74))+AE74),2)</f>
        <v>0</v>
      </c>
      <c r="AE74">
        <f t="shared" ref="AE74:AF76" si="70">ROUND((EU74),2)</f>
        <v>0</v>
      </c>
      <c r="AF74">
        <f t="shared" si="70"/>
        <v>0</v>
      </c>
      <c r="AG74">
        <f t="shared" si="49"/>
        <v>0</v>
      </c>
      <c r="AH74">
        <f t="shared" ref="AH74:AI76" si="71">(EW74)</f>
        <v>0</v>
      </c>
      <c r="AI74">
        <f t="shared" si="71"/>
        <v>0</v>
      </c>
      <c r="AJ74">
        <f t="shared" si="50"/>
        <v>0</v>
      </c>
      <c r="AK74">
        <v>118.29999999999998</v>
      </c>
      <c r="AL74">
        <v>118.29999999999998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1</v>
      </c>
      <c r="AW74">
        <v>1</v>
      </c>
      <c r="AZ74">
        <v>1</v>
      </c>
      <c r="BA74">
        <v>1</v>
      </c>
      <c r="BB74">
        <v>1</v>
      </c>
      <c r="BC74">
        <v>8.48</v>
      </c>
      <c r="BD74" t="s">
        <v>3</v>
      </c>
      <c r="BE74" t="s">
        <v>3</v>
      </c>
      <c r="BF74" t="s">
        <v>3</v>
      </c>
      <c r="BG74" t="s">
        <v>3</v>
      </c>
      <c r="BH74">
        <v>3</v>
      </c>
      <c r="BI74">
        <v>1</v>
      </c>
      <c r="BJ74" t="s">
        <v>3</v>
      </c>
      <c r="BM74">
        <v>1100</v>
      </c>
      <c r="BN74">
        <v>0</v>
      </c>
      <c r="BO74" t="s">
        <v>3</v>
      </c>
      <c r="BP74">
        <v>0</v>
      </c>
      <c r="BQ74">
        <v>8</v>
      </c>
      <c r="BR74">
        <v>0</v>
      </c>
      <c r="BS74">
        <v>1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3</v>
      </c>
      <c r="BZ74">
        <v>0</v>
      </c>
      <c r="CA74">
        <v>0</v>
      </c>
      <c r="CB74" t="s">
        <v>3</v>
      </c>
      <c r="CE74">
        <v>0</v>
      </c>
      <c r="CF74">
        <v>0</v>
      </c>
      <c r="CG74">
        <v>0</v>
      </c>
      <c r="CM74">
        <v>0</v>
      </c>
      <c r="CN74" t="s">
        <v>3</v>
      </c>
      <c r="CO74">
        <v>0</v>
      </c>
      <c r="CP74">
        <f t="shared" si="51"/>
        <v>5068085.57</v>
      </c>
      <c r="CQ74">
        <f t="shared" si="52"/>
        <v>1003.1840000000001</v>
      </c>
      <c r="CR74">
        <f>(((ET74)*BB74-(EU74)*BS74)+AE74*BS74)</f>
        <v>0</v>
      </c>
      <c r="CS74">
        <f t="shared" si="53"/>
        <v>0</v>
      </c>
      <c r="CT74">
        <f t="shared" si="54"/>
        <v>0</v>
      </c>
      <c r="CU74">
        <f t="shared" si="55"/>
        <v>0</v>
      </c>
      <c r="CV74">
        <f t="shared" si="56"/>
        <v>0</v>
      </c>
      <c r="CW74">
        <f t="shared" si="57"/>
        <v>0</v>
      </c>
      <c r="CX74">
        <f t="shared" si="58"/>
        <v>0</v>
      </c>
      <c r="CY74">
        <f t="shared" si="59"/>
        <v>0</v>
      </c>
      <c r="CZ74">
        <f t="shared" si="60"/>
        <v>0</v>
      </c>
      <c r="DC74" t="s">
        <v>3</v>
      </c>
      <c r="DD74" t="s">
        <v>3</v>
      </c>
      <c r="DE74" t="s">
        <v>3</v>
      </c>
      <c r="DF74" t="s">
        <v>3</v>
      </c>
      <c r="DG74" t="s">
        <v>3</v>
      </c>
      <c r="DH74" t="s">
        <v>3</v>
      </c>
      <c r="DI74" t="s">
        <v>3</v>
      </c>
      <c r="DJ74" t="s">
        <v>3</v>
      </c>
      <c r="DK74" t="s">
        <v>3</v>
      </c>
      <c r="DL74" t="s">
        <v>3</v>
      </c>
      <c r="DM74" t="s">
        <v>3</v>
      </c>
      <c r="DN74">
        <v>0</v>
      </c>
      <c r="DO74">
        <v>0</v>
      </c>
      <c r="DP74">
        <v>1</v>
      </c>
      <c r="DQ74">
        <v>1</v>
      </c>
      <c r="DU74">
        <v>1005</v>
      </c>
      <c r="DV74" t="s">
        <v>158</v>
      </c>
      <c r="DW74" t="s">
        <v>158</v>
      </c>
      <c r="DX74">
        <v>1</v>
      </c>
      <c r="DZ74" t="s">
        <v>3</v>
      </c>
      <c r="EA74" t="s">
        <v>3</v>
      </c>
      <c r="EB74" t="s">
        <v>3</v>
      </c>
      <c r="EC74" t="s">
        <v>3</v>
      </c>
      <c r="EE74">
        <v>140625274</v>
      </c>
      <c r="EF74">
        <v>8</v>
      </c>
      <c r="EG74" t="s">
        <v>84</v>
      </c>
      <c r="EH74">
        <v>0</v>
      </c>
      <c r="EI74" t="s">
        <v>3</v>
      </c>
      <c r="EJ74">
        <v>1</v>
      </c>
      <c r="EK74">
        <v>1100</v>
      </c>
      <c r="EL74" t="s">
        <v>85</v>
      </c>
      <c r="EM74" t="s">
        <v>86</v>
      </c>
      <c r="EO74" t="s">
        <v>3</v>
      </c>
      <c r="EQ74">
        <v>131072</v>
      </c>
      <c r="ER74">
        <v>118.29999999999998</v>
      </c>
      <c r="ES74">
        <v>118.29999999999998</v>
      </c>
      <c r="ET74">
        <v>0</v>
      </c>
      <c r="EU74">
        <v>0</v>
      </c>
      <c r="EV74">
        <v>0</v>
      </c>
      <c r="EW74">
        <v>0</v>
      </c>
      <c r="EX74">
        <v>0</v>
      </c>
      <c r="EY74">
        <v>0</v>
      </c>
      <c r="EZ74">
        <v>5</v>
      </c>
      <c r="FC74">
        <v>1</v>
      </c>
      <c r="FD74">
        <v>18</v>
      </c>
      <c r="FF74">
        <v>1124</v>
      </c>
      <c r="FQ74">
        <v>0</v>
      </c>
      <c r="FR74">
        <f t="shared" si="61"/>
        <v>0</v>
      </c>
      <c r="FS74">
        <v>0</v>
      </c>
      <c r="FX74">
        <v>0</v>
      </c>
      <c r="FY74">
        <v>0</v>
      </c>
      <c r="GA74" t="s">
        <v>159</v>
      </c>
      <c r="GD74">
        <v>1</v>
      </c>
      <c r="GF74">
        <v>1652816921</v>
      </c>
      <c r="GG74">
        <v>2</v>
      </c>
      <c r="GH74">
        <v>3</v>
      </c>
      <c r="GI74">
        <v>4</v>
      </c>
      <c r="GJ74">
        <v>0</v>
      </c>
      <c r="GK74">
        <v>0</v>
      </c>
      <c r="GL74">
        <f t="shared" si="62"/>
        <v>0</v>
      </c>
      <c r="GM74">
        <f t="shared" si="63"/>
        <v>5068085.57</v>
      </c>
      <c r="GN74">
        <f t="shared" si="64"/>
        <v>5068085.57</v>
      </c>
      <c r="GO74">
        <f t="shared" si="65"/>
        <v>0</v>
      </c>
      <c r="GP74">
        <f t="shared" si="66"/>
        <v>0</v>
      </c>
      <c r="GR74">
        <v>1</v>
      </c>
      <c r="GS74">
        <v>1</v>
      </c>
      <c r="GT74">
        <v>0</v>
      </c>
      <c r="GU74" t="s">
        <v>3</v>
      </c>
      <c r="GV74">
        <f t="shared" si="67"/>
        <v>0</v>
      </c>
      <c r="GW74">
        <v>1</v>
      </c>
      <c r="GX74">
        <f t="shared" si="68"/>
        <v>0</v>
      </c>
      <c r="HA74">
        <v>0</v>
      </c>
      <c r="HB74">
        <v>0</v>
      </c>
      <c r="HC74">
        <f t="shared" si="69"/>
        <v>0</v>
      </c>
      <c r="HE74" t="s">
        <v>53</v>
      </c>
      <c r="HF74" t="s">
        <v>32</v>
      </c>
      <c r="HM74" t="s">
        <v>3</v>
      </c>
      <c r="HN74" t="s">
        <v>3</v>
      </c>
      <c r="HO74" t="s">
        <v>3</v>
      </c>
      <c r="HP74" t="s">
        <v>3</v>
      </c>
      <c r="HQ74" t="s">
        <v>3</v>
      </c>
      <c r="IK74">
        <v>0</v>
      </c>
    </row>
    <row r="75" spans="1:245" x14ac:dyDescent="0.2">
      <c r="A75">
        <v>17</v>
      </c>
      <c r="B75">
        <v>1</v>
      </c>
      <c r="E75" t="s">
        <v>160</v>
      </c>
      <c r="F75" t="s">
        <v>156</v>
      </c>
      <c r="G75" t="s">
        <v>161</v>
      </c>
      <c r="H75" t="s">
        <v>162</v>
      </c>
      <c r="I75">
        <f>ROUND(4593*7,9)</f>
        <v>32151</v>
      </c>
      <c r="J75">
        <v>0</v>
      </c>
      <c r="K75">
        <f>ROUND(4593*7,9)</f>
        <v>32151</v>
      </c>
      <c r="O75">
        <f t="shared" si="36"/>
        <v>59980.91</v>
      </c>
      <c r="P75">
        <f t="shared" si="37"/>
        <v>59980.91</v>
      </c>
      <c r="Q75">
        <f t="shared" si="38"/>
        <v>0</v>
      </c>
      <c r="R75">
        <f t="shared" si="39"/>
        <v>0</v>
      </c>
      <c r="S75">
        <f t="shared" si="40"/>
        <v>0</v>
      </c>
      <c r="T75">
        <f t="shared" si="41"/>
        <v>0</v>
      </c>
      <c r="U75">
        <f t="shared" si="42"/>
        <v>0</v>
      </c>
      <c r="V75">
        <f t="shared" si="43"/>
        <v>0</v>
      </c>
      <c r="W75">
        <f t="shared" si="44"/>
        <v>0</v>
      </c>
      <c r="X75">
        <f t="shared" si="45"/>
        <v>0</v>
      </c>
      <c r="Y75">
        <f t="shared" si="46"/>
        <v>0</v>
      </c>
      <c r="AA75">
        <v>145262827</v>
      </c>
      <c r="AB75">
        <f t="shared" si="47"/>
        <v>0.22</v>
      </c>
      <c r="AC75">
        <f t="shared" si="48"/>
        <v>0.22</v>
      </c>
      <c r="AD75">
        <f>ROUND((((ET75)-(EU75))+AE75),2)</f>
        <v>0</v>
      </c>
      <c r="AE75">
        <f t="shared" si="70"/>
        <v>0</v>
      </c>
      <c r="AF75">
        <f t="shared" si="70"/>
        <v>0</v>
      </c>
      <c r="AG75">
        <f t="shared" si="49"/>
        <v>0</v>
      </c>
      <c r="AH75">
        <f t="shared" si="71"/>
        <v>0</v>
      </c>
      <c r="AI75">
        <f t="shared" si="71"/>
        <v>0</v>
      </c>
      <c r="AJ75">
        <f t="shared" si="50"/>
        <v>0</v>
      </c>
      <c r="AK75">
        <v>0.22</v>
      </c>
      <c r="AL75">
        <v>0.22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1</v>
      </c>
      <c r="AW75">
        <v>1</v>
      </c>
      <c r="AZ75">
        <v>1</v>
      </c>
      <c r="BA75">
        <v>1</v>
      </c>
      <c r="BB75">
        <v>1</v>
      </c>
      <c r="BC75">
        <v>8.48</v>
      </c>
      <c r="BD75" t="s">
        <v>3</v>
      </c>
      <c r="BE75" t="s">
        <v>3</v>
      </c>
      <c r="BF75" t="s">
        <v>3</v>
      </c>
      <c r="BG75" t="s">
        <v>3</v>
      </c>
      <c r="BH75">
        <v>3</v>
      </c>
      <c r="BI75">
        <v>1</v>
      </c>
      <c r="BJ75" t="s">
        <v>3</v>
      </c>
      <c r="BM75">
        <v>1100</v>
      </c>
      <c r="BN75">
        <v>0</v>
      </c>
      <c r="BO75" t="s">
        <v>3</v>
      </c>
      <c r="BP75">
        <v>0</v>
      </c>
      <c r="BQ75">
        <v>8</v>
      </c>
      <c r="BR75">
        <v>0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</v>
      </c>
      <c r="BZ75">
        <v>0</v>
      </c>
      <c r="CA75">
        <v>0</v>
      </c>
      <c r="CB75" t="s">
        <v>3</v>
      </c>
      <c r="CE75">
        <v>0</v>
      </c>
      <c r="CF75">
        <v>0</v>
      </c>
      <c r="CG75">
        <v>0</v>
      </c>
      <c r="CM75">
        <v>0</v>
      </c>
      <c r="CN75" t="s">
        <v>3</v>
      </c>
      <c r="CO75">
        <v>0</v>
      </c>
      <c r="CP75">
        <f t="shared" si="51"/>
        <v>59980.91</v>
      </c>
      <c r="CQ75">
        <f t="shared" si="52"/>
        <v>1.8656000000000001</v>
      </c>
      <c r="CR75">
        <f>(((ET75)*BB75-(EU75)*BS75)+AE75*BS75)</f>
        <v>0</v>
      </c>
      <c r="CS75">
        <f t="shared" si="53"/>
        <v>0</v>
      </c>
      <c r="CT75">
        <f t="shared" si="54"/>
        <v>0</v>
      </c>
      <c r="CU75">
        <f t="shared" si="55"/>
        <v>0</v>
      </c>
      <c r="CV75">
        <f t="shared" si="56"/>
        <v>0</v>
      </c>
      <c r="CW75">
        <f t="shared" si="57"/>
        <v>0</v>
      </c>
      <c r="CX75">
        <f t="shared" si="58"/>
        <v>0</v>
      </c>
      <c r="CY75">
        <f t="shared" si="59"/>
        <v>0</v>
      </c>
      <c r="CZ75">
        <f t="shared" si="60"/>
        <v>0</v>
      </c>
      <c r="DC75" t="s">
        <v>3</v>
      </c>
      <c r="DD75" t="s">
        <v>3</v>
      </c>
      <c r="DE75" t="s">
        <v>3</v>
      </c>
      <c r="DF75" t="s">
        <v>3</v>
      </c>
      <c r="DG75" t="s">
        <v>3</v>
      </c>
      <c r="DH75" t="s">
        <v>3</v>
      </c>
      <c r="DI75" t="s">
        <v>3</v>
      </c>
      <c r="DJ75" t="s">
        <v>3</v>
      </c>
      <c r="DK75" t="s">
        <v>3</v>
      </c>
      <c r="DL75" t="s">
        <v>3</v>
      </c>
      <c r="DM75" t="s">
        <v>3</v>
      </c>
      <c r="DN75">
        <v>0</v>
      </c>
      <c r="DO75">
        <v>0</v>
      </c>
      <c r="DP75">
        <v>1</v>
      </c>
      <c r="DQ75">
        <v>1</v>
      </c>
      <c r="DU75">
        <v>1013</v>
      </c>
      <c r="DV75" t="s">
        <v>162</v>
      </c>
      <c r="DW75" t="s">
        <v>162</v>
      </c>
      <c r="DX75">
        <v>1</v>
      </c>
      <c r="DZ75" t="s">
        <v>3</v>
      </c>
      <c r="EA75" t="s">
        <v>3</v>
      </c>
      <c r="EB75" t="s">
        <v>3</v>
      </c>
      <c r="EC75" t="s">
        <v>3</v>
      </c>
      <c r="EE75">
        <v>140625274</v>
      </c>
      <c r="EF75">
        <v>8</v>
      </c>
      <c r="EG75" t="s">
        <v>84</v>
      </c>
      <c r="EH75">
        <v>0</v>
      </c>
      <c r="EI75" t="s">
        <v>3</v>
      </c>
      <c r="EJ75">
        <v>1</v>
      </c>
      <c r="EK75">
        <v>1100</v>
      </c>
      <c r="EL75" t="s">
        <v>85</v>
      </c>
      <c r="EM75" t="s">
        <v>86</v>
      </c>
      <c r="EO75" t="s">
        <v>3</v>
      </c>
      <c r="EQ75">
        <v>131072</v>
      </c>
      <c r="ER75">
        <v>0.22</v>
      </c>
      <c r="ES75">
        <v>0.22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5</v>
      </c>
      <c r="FC75">
        <v>1</v>
      </c>
      <c r="FD75">
        <v>18</v>
      </c>
      <c r="FF75">
        <v>2.15</v>
      </c>
      <c r="FQ75">
        <v>0</v>
      </c>
      <c r="FR75">
        <f t="shared" si="61"/>
        <v>0</v>
      </c>
      <c r="FS75">
        <v>0</v>
      </c>
      <c r="FX75">
        <v>0</v>
      </c>
      <c r="FY75">
        <v>0</v>
      </c>
      <c r="GA75" t="s">
        <v>163</v>
      </c>
      <c r="GD75">
        <v>1</v>
      </c>
      <c r="GF75">
        <v>875454591</v>
      </c>
      <c r="GG75">
        <v>2</v>
      </c>
      <c r="GH75">
        <v>3</v>
      </c>
      <c r="GI75">
        <v>4</v>
      </c>
      <c r="GJ75">
        <v>0</v>
      </c>
      <c r="GK75">
        <v>0</v>
      </c>
      <c r="GL75">
        <f t="shared" si="62"/>
        <v>0</v>
      </c>
      <c r="GM75">
        <f t="shared" si="63"/>
        <v>59980.91</v>
      </c>
      <c r="GN75">
        <f t="shared" si="64"/>
        <v>59980.91</v>
      </c>
      <c r="GO75">
        <f t="shared" si="65"/>
        <v>0</v>
      </c>
      <c r="GP75">
        <f t="shared" si="66"/>
        <v>0</v>
      </c>
      <c r="GR75">
        <v>1</v>
      </c>
      <c r="GS75">
        <v>1</v>
      </c>
      <c r="GT75">
        <v>0</v>
      </c>
      <c r="GU75" t="s">
        <v>3</v>
      </c>
      <c r="GV75">
        <f t="shared" si="67"/>
        <v>0</v>
      </c>
      <c r="GW75">
        <v>1</v>
      </c>
      <c r="GX75">
        <f t="shared" si="68"/>
        <v>0</v>
      </c>
      <c r="HA75">
        <v>0</v>
      </c>
      <c r="HB75">
        <v>0</v>
      </c>
      <c r="HC75">
        <f t="shared" si="69"/>
        <v>0</v>
      </c>
      <c r="HE75" t="s">
        <v>53</v>
      </c>
      <c r="HF75" t="s">
        <v>32</v>
      </c>
      <c r="HM75" t="s">
        <v>3</v>
      </c>
      <c r="HN75" t="s">
        <v>3</v>
      </c>
      <c r="HO75" t="s">
        <v>3</v>
      </c>
      <c r="HP75" t="s">
        <v>3</v>
      </c>
      <c r="HQ75" t="s">
        <v>3</v>
      </c>
      <c r="IK75">
        <v>0</v>
      </c>
    </row>
    <row r="76" spans="1:245" x14ac:dyDescent="0.2">
      <c r="A76">
        <v>17</v>
      </c>
      <c r="B76">
        <v>1</v>
      </c>
      <c r="E76" t="s">
        <v>164</v>
      </c>
      <c r="F76" t="s">
        <v>156</v>
      </c>
      <c r="G76" t="s">
        <v>165</v>
      </c>
      <c r="H76" t="s">
        <v>162</v>
      </c>
      <c r="I76">
        <f>ROUND(614+2760,9)</f>
        <v>3374</v>
      </c>
      <c r="J76">
        <v>0</v>
      </c>
      <c r="K76">
        <f>ROUND(614+2760,9)</f>
        <v>3374</v>
      </c>
      <c r="O76">
        <f t="shared" si="36"/>
        <v>72387.149999999994</v>
      </c>
      <c r="P76">
        <f t="shared" si="37"/>
        <v>72387.149999999994</v>
      </c>
      <c r="Q76">
        <f t="shared" si="38"/>
        <v>0</v>
      </c>
      <c r="R76">
        <f t="shared" si="39"/>
        <v>0</v>
      </c>
      <c r="S76">
        <f t="shared" si="40"/>
        <v>0</v>
      </c>
      <c r="T76">
        <f t="shared" si="41"/>
        <v>0</v>
      </c>
      <c r="U76">
        <f t="shared" si="42"/>
        <v>0</v>
      </c>
      <c r="V76">
        <f t="shared" si="43"/>
        <v>0</v>
      </c>
      <c r="W76">
        <f t="shared" si="44"/>
        <v>0</v>
      </c>
      <c r="X76">
        <f t="shared" si="45"/>
        <v>0</v>
      </c>
      <c r="Y76">
        <f t="shared" si="46"/>
        <v>0</v>
      </c>
      <c r="AA76">
        <v>145262827</v>
      </c>
      <c r="AB76">
        <f t="shared" si="47"/>
        <v>2.5299999999999998</v>
      </c>
      <c r="AC76">
        <f t="shared" si="48"/>
        <v>2.5299999999999998</v>
      </c>
      <c r="AD76">
        <f>ROUND((((ET76)-(EU76))+AE76),2)</f>
        <v>0</v>
      </c>
      <c r="AE76">
        <f t="shared" si="70"/>
        <v>0</v>
      </c>
      <c r="AF76">
        <f t="shared" si="70"/>
        <v>0</v>
      </c>
      <c r="AG76">
        <f t="shared" si="49"/>
        <v>0</v>
      </c>
      <c r="AH76">
        <f t="shared" si="71"/>
        <v>0</v>
      </c>
      <c r="AI76">
        <f t="shared" si="71"/>
        <v>0</v>
      </c>
      <c r="AJ76">
        <f t="shared" si="50"/>
        <v>0</v>
      </c>
      <c r="AK76">
        <v>2.5299999999999998</v>
      </c>
      <c r="AL76">
        <v>2.5299999999999998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1</v>
      </c>
      <c r="AW76">
        <v>1</v>
      </c>
      <c r="AZ76">
        <v>1</v>
      </c>
      <c r="BA76">
        <v>1</v>
      </c>
      <c r="BB76">
        <v>1</v>
      </c>
      <c r="BC76">
        <v>8.48</v>
      </c>
      <c r="BD76" t="s">
        <v>3</v>
      </c>
      <c r="BE76" t="s">
        <v>3</v>
      </c>
      <c r="BF76" t="s">
        <v>3</v>
      </c>
      <c r="BG76" t="s">
        <v>3</v>
      </c>
      <c r="BH76">
        <v>3</v>
      </c>
      <c r="BI76">
        <v>1</v>
      </c>
      <c r="BJ76" t="s">
        <v>3</v>
      </c>
      <c r="BM76">
        <v>1100</v>
      </c>
      <c r="BN76">
        <v>0</v>
      </c>
      <c r="BO76" t="s">
        <v>3</v>
      </c>
      <c r="BP76">
        <v>0</v>
      </c>
      <c r="BQ76">
        <v>8</v>
      </c>
      <c r="BR76">
        <v>0</v>
      </c>
      <c r="BS76">
        <v>1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</v>
      </c>
      <c r="BZ76">
        <v>0</v>
      </c>
      <c r="CA76">
        <v>0</v>
      </c>
      <c r="CB76" t="s">
        <v>3</v>
      </c>
      <c r="CE76">
        <v>0</v>
      </c>
      <c r="CF76">
        <v>0</v>
      </c>
      <c r="CG76">
        <v>0</v>
      </c>
      <c r="CM76">
        <v>0</v>
      </c>
      <c r="CN76" t="s">
        <v>3</v>
      </c>
      <c r="CO76">
        <v>0</v>
      </c>
      <c r="CP76">
        <f t="shared" si="51"/>
        <v>72387.149999999994</v>
      </c>
      <c r="CQ76">
        <f t="shared" si="52"/>
        <v>21.4544</v>
      </c>
      <c r="CR76">
        <f>(((ET76)*BB76-(EU76)*BS76)+AE76*BS76)</f>
        <v>0</v>
      </c>
      <c r="CS76">
        <f t="shared" si="53"/>
        <v>0</v>
      </c>
      <c r="CT76">
        <f t="shared" si="54"/>
        <v>0</v>
      </c>
      <c r="CU76">
        <f t="shared" si="55"/>
        <v>0</v>
      </c>
      <c r="CV76">
        <f t="shared" si="56"/>
        <v>0</v>
      </c>
      <c r="CW76">
        <f t="shared" si="57"/>
        <v>0</v>
      </c>
      <c r="CX76">
        <f t="shared" si="58"/>
        <v>0</v>
      </c>
      <c r="CY76">
        <f t="shared" si="59"/>
        <v>0</v>
      </c>
      <c r="CZ76">
        <f t="shared" si="60"/>
        <v>0</v>
      </c>
      <c r="DC76" t="s">
        <v>3</v>
      </c>
      <c r="DD76" t="s">
        <v>3</v>
      </c>
      <c r="DE76" t="s">
        <v>3</v>
      </c>
      <c r="DF76" t="s">
        <v>3</v>
      </c>
      <c r="DG76" t="s">
        <v>3</v>
      </c>
      <c r="DH76" t="s">
        <v>3</v>
      </c>
      <c r="DI76" t="s">
        <v>3</v>
      </c>
      <c r="DJ76" t="s">
        <v>3</v>
      </c>
      <c r="DK76" t="s">
        <v>3</v>
      </c>
      <c r="DL76" t="s">
        <v>3</v>
      </c>
      <c r="DM76" t="s">
        <v>3</v>
      </c>
      <c r="DN76">
        <v>0</v>
      </c>
      <c r="DO76">
        <v>0</v>
      </c>
      <c r="DP76">
        <v>1</v>
      </c>
      <c r="DQ76">
        <v>1</v>
      </c>
      <c r="DU76">
        <v>1013</v>
      </c>
      <c r="DV76" t="s">
        <v>162</v>
      </c>
      <c r="DW76" t="s">
        <v>162</v>
      </c>
      <c r="DX76">
        <v>1</v>
      </c>
      <c r="DZ76" t="s">
        <v>3</v>
      </c>
      <c r="EA76" t="s">
        <v>3</v>
      </c>
      <c r="EB76" t="s">
        <v>3</v>
      </c>
      <c r="EC76" t="s">
        <v>3</v>
      </c>
      <c r="EE76">
        <v>140625274</v>
      </c>
      <c r="EF76">
        <v>8</v>
      </c>
      <c r="EG76" t="s">
        <v>84</v>
      </c>
      <c r="EH76">
        <v>0</v>
      </c>
      <c r="EI76" t="s">
        <v>3</v>
      </c>
      <c r="EJ76">
        <v>1</v>
      </c>
      <c r="EK76">
        <v>1100</v>
      </c>
      <c r="EL76" t="s">
        <v>85</v>
      </c>
      <c r="EM76" t="s">
        <v>86</v>
      </c>
      <c r="EO76" t="s">
        <v>3</v>
      </c>
      <c r="EQ76">
        <v>131072</v>
      </c>
      <c r="ER76">
        <v>3.23</v>
      </c>
      <c r="ES76">
        <v>2.5299999999999998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5</v>
      </c>
      <c r="FC76">
        <v>1</v>
      </c>
      <c r="FD76">
        <v>18</v>
      </c>
      <c r="FF76">
        <v>24.01</v>
      </c>
      <c r="FQ76">
        <v>0</v>
      </c>
      <c r="FR76">
        <f t="shared" si="61"/>
        <v>0</v>
      </c>
      <c r="FS76">
        <v>0</v>
      </c>
      <c r="FX76">
        <v>0</v>
      </c>
      <c r="FY76">
        <v>0</v>
      </c>
      <c r="GA76" t="s">
        <v>166</v>
      </c>
      <c r="GD76">
        <v>1</v>
      </c>
      <c r="GF76">
        <v>-869896603</v>
      </c>
      <c r="GG76">
        <v>2</v>
      </c>
      <c r="GH76">
        <v>3</v>
      </c>
      <c r="GI76">
        <v>4</v>
      </c>
      <c r="GJ76">
        <v>0</v>
      </c>
      <c r="GK76">
        <v>0</v>
      </c>
      <c r="GL76">
        <f t="shared" si="62"/>
        <v>0</v>
      </c>
      <c r="GM76">
        <f t="shared" si="63"/>
        <v>72387.149999999994</v>
      </c>
      <c r="GN76">
        <f t="shared" si="64"/>
        <v>72387.149999999994</v>
      </c>
      <c r="GO76">
        <f t="shared" si="65"/>
        <v>0</v>
      </c>
      <c r="GP76">
        <f t="shared" si="66"/>
        <v>0</v>
      </c>
      <c r="GR76">
        <v>1</v>
      </c>
      <c r="GS76">
        <v>1</v>
      </c>
      <c r="GT76">
        <v>0</v>
      </c>
      <c r="GU76" t="s">
        <v>3</v>
      </c>
      <c r="GV76">
        <f t="shared" si="67"/>
        <v>0</v>
      </c>
      <c r="GW76">
        <v>1</v>
      </c>
      <c r="GX76">
        <f t="shared" si="68"/>
        <v>0</v>
      </c>
      <c r="HA76">
        <v>0</v>
      </c>
      <c r="HB76">
        <v>0</v>
      </c>
      <c r="HC76">
        <f t="shared" si="69"/>
        <v>0</v>
      </c>
      <c r="HE76" t="s">
        <v>53</v>
      </c>
      <c r="HF76" t="s">
        <v>32</v>
      </c>
      <c r="HM76" t="s">
        <v>3</v>
      </c>
      <c r="HN76" t="s">
        <v>3</v>
      </c>
      <c r="HO76" t="s">
        <v>3</v>
      </c>
      <c r="HP76" t="s">
        <v>3</v>
      </c>
      <c r="HQ76" t="s">
        <v>3</v>
      </c>
      <c r="IK76">
        <v>0</v>
      </c>
    </row>
    <row r="77" spans="1:245" x14ac:dyDescent="0.2">
      <c r="A77">
        <v>17</v>
      </c>
      <c r="B77">
        <v>1</v>
      </c>
      <c r="C77">
        <f>ROW(SmtRes!A69)</f>
        <v>69</v>
      </c>
      <c r="D77">
        <f>ROW(EtalonRes!A79)</f>
        <v>79</v>
      </c>
      <c r="E77" t="s">
        <v>167</v>
      </c>
      <c r="F77" t="s">
        <v>168</v>
      </c>
      <c r="G77" t="s">
        <v>169</v>
      </c>
      <c r="H77" t="s">
        <v>170</v>
      </c>
      <c r="I77">
        <f>ROUND(181/100,9)</f>
        <v>1.81</v>
      </c>
      <c r="J77">
        <v>0</v>
      </c>
      <c r="K77">
        <f>ROUND(181/100,9)</f>
        <v>1.81</v>
      </c>
      <c r="O77">
        <f t="shared" si="36"/>
        <v>439434.07</v>
      </c>
      <c r="P77">
        <f t="shared" si="37"/>
        <v>353374.96</v>
      </c>
      <c r="Q77">
        <f t="shared" si="38"/>
        <v>377.8</v>
      </c>
      <c r="R77">
        <f t="shared" si="39"/>
        <v>150.77000000000001</v>
      </c>
      <c r="S77">
        <f t="shared" si="40"/>
        <v>85681.31</v>
      </c>
      <c r="T77">
        <f t="shared" si="41"/>
        <v>0</v>
      </c>
      <c r="U77">
        <f t="shared" si="42"/>
        <v>322.08194324999999</v>
      </c>
      <c r="V77">
        <f t="shared" si="43"/>
        <v>0.42987500000000001</v>
      </c>
      <c r="W77">
        <f t="shared" si="44"/>
        <v>0</v>
      </c>
      <c r="X77">
        <f t="shared" si="45"/>
        <v>93556.97</v>
      </c>
      <c r="Y77">
        <f t="shared" si="46"/>
        <v>48924.29</v>
      </c>
      <c r="AA77">
        <v>145262827</v>
      </c>
      <c r="AB77">
        <f t="shared" si="47"/>
        <v>24655.06</v>
      </c>
      <c r="AC77">
        <f t="shared" si="48"/>
        <v>23022.97</v>
      </c>
      <c r="AD77">
        <f>ROUND(((((ET77*1.25))-((EU77*1.25)))+AE77),2)</f>
        <v>18.12</v>
      </c>
      <c r="AE77">
        <f>ROUND(((EU77*1.25)),2)</f>
        <v>2.84</v>
      </c>
      <c r="AF77">
        <f>ROUND((((EV77*(1+(0.005*(30-15))))*1.15)),2)</f>
        <v>1613.97</v>
      </c>
      <c r="AG77">
        <f t="shared" si="49"/>
        <v>0</v>
      </c>
      <c r="AH77">
        <f>(((EW77*(1+(0.005*(30-15))))*1.15))</f>
        <v>177.94582499999999</v>
      </c>
      <c r="AI77">
        <f>((EX77*1.25))</f>
        <v>0.23749999999999999</v>
      </c>
      <c r="AJ77">
        <f t="shared" si="50"/>
        <v>0</v>
      </c>
      <c r="AK77">
        <v>24343</v>
      </c>
      <c r="AL77">
        <v>23022.97</v>
      </c>
      <c r="AM77">
        <v>14.49</v>
      </c>
      <c r="AN77">
        <v>2.27</v>
      </c>
      <c r="AO77">
        <v>1305.54</v>
      </c>
      <c r="AP77">
        <v>0</v>
      </c>
      <c r="AQ77">
        <v>143.94</v>
      </c>
      <c r="AR77">
        <v>0.19</v>
      </c>
      <c r="AS77">
        <v>0</v>
      </c>
      <c r="AT77">
        <v>109</v>
      </c>
      <c r="AU77">
        <v>57</v>
      </c>
      <c r="AV77">
        <v>1</v>
      </c>
      <c r="AW77">
        <v>1</v>
      </c>
      <c r="AZ77">
        <v>1</v>
      </c>
      <c r="BA77">
        <v>29.33</v>
      </c>
      <c r="BB77">
        <v>11.52</v>
      </c>
      <c r="BC77">
        <v>8.48</v>
      </c>
      <c r="BD77" t="s">
        <v>3</v>
      </c>
      <c r="BE77" t="s">
        <v>3</v>
      </c>
      <c r="BF77" t="s">
        <v>3</v>
      </c>
      <c r="BG77" t="s">
        <v>3</v>
      </c>
      <c r="BH77">
        <v>0</v>
      </c>
      <c r="BI77">
        <v>1</v>
      </c>
      <c r="BJ77" t="s">
        <v>171</v>
      </c>
      <c r="BM77">
        <v>12001</v>
      </c>
      <c r="BN77">
        <v>0</v>
      </c>
      <c r="BO77" t="s">
        <v>3</v>
      </c>
      <c r="BP77">
        <v>0</v>
      </c>
      <c r="BQ77">
        <v>2</v>
      </c>
      <c r="BR77">
        <v>0</v>
      </c>
      <c r="BS77">
        <v>29.33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109</v>
      </c>
      <c r="CA77">
        <v>57</v>
      </c>
      <c r="CB77" t="s">
        <v>3</v>
      </c>
      <c r="CE77">
        <v>0</v>
      </c>
      <c r="CF77">
        <v>0</v>
      </c>
      <c r="CG77">
        <v>0</v>
      </c>
      <c r="CM77">
        <v>0</v>
      </c>
      <c r="CN77" t="s">
        <v>598</v>
      </c>
      <c r="CO77">
        <v>0</v>
      </c>
      <c r="CP77">
        <f t="shared" si="51"/>
        <v>439434.07</v>
      </c>
      <c r="CQ77">
        <f t="shared" si="52"/>
        <v>195234.78560000003</v>
      </c>
      <c r="CR77">
        <f>((((ET77*1.25))*BB77-((EU77*1.25))*BS77)+AE77*BS77)</f>
        <v>208.72932500000002</v>
      </c>
      <c r="CS77">
        <f t="shared" si="53"/>
        <v>83.297199999999989</v>
      </c>
      <c r="CT77">
        <f t="shared" si="54"/>
        <v>47337.740099999995</v>
      </c>
      <c r="CU77">
        <f t="shared" si="55"/>
        <v>0</v>
      </c>
      <c r="CV77">
        <f t="shared" si="56"/>
        <v>177.94582499999999</v>
      </c>
      <c r="CW77">
        <f t="shared" si="57"/>
        <v>0.23749999999999999</v>
      </c>
      <c r="CX77">
        <f t="shared" si="58"/>
        <v>0</v>
      </c>
      <c r="CY77">
        <f t="shared" si="59"/>
        <v>93556.967200000014</v>
      </c>
      <c r="CZ77">
        <f t="shared" si="60"/>
        <v>48924.285600000003</v>
      </c>
      <c r="DC77" t="s">
        <v>3</v>
      </c>
      <c r="DD77" t="s">
        <v>3</v>
      </c>
      <c r="DE77" t="s">
        <v>148</v>
      </c>
      <c r="DF77" t="s">
        <v>148</v>
      </c>
      <c r="DG77" t="s">
        <v>172</v>
      </c>
      <c r="DH77" t="s">
        <v>3</v>
      </c>
      <c r="DI77" t="s">
        <v>172</v>
      </c>
      <c r="DJ77" t="s">
        <v>148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1003</v>
      </c>
      <c r="DV77" t="s">
        <v>170</v>
      </c>
      <c r="DW77" t="s">
        <v>170</v>
      </c>
      <c r="DX77">
        <v>100</v>
      </c>
      <c r="DZ77" t="s">
        <v>3</v>
      </c>
      <c r="EA77" t="s">
        <v>3</v>
      </c>
      <c r="EB77" t="s">
        <v>3</v>
      </c>
      <c r="EC77" t="s">
        <v>3</v>
      </c>
      <c r="EE77">
        <v>140625032</v>
      </c>
      <c r="EF77">
        <v>2</v>
      </c>
      <c r="EG77" t="s">
        <v>26</v>
      </c>
      <c r="EH77">
        <v>12</v>
      </c>
      <c r="EI77" t="s">
        <v>173</v>
      </c>
      <c r="EJ77">
        <v>1</v>
      </c>
      <c r="EK77">
        <v>12001</v>
      </c>
      <c r="EL77" t="s">
        <v>173</v>
      </c>
      <c r="EM77" t="s">
        <v>174</v>
      </c>
      <c r="EO77" t="s">
        <v>175</v>
      </c>
      <c r="EQ77">
        <v>0</v>
      </c>
      <c r="ER77">
        <v>24343</v>
      </c>
      <c r="ES77">
        <v>23022.97</v>
      </c>
      <c r="ET77">
        <v>14.49</v>
      </c>
      <c r="EU77">
        <v>2.27</v>
      </c>
      <c r="EV77">
        <v>1305.54</v>
      </c>
      <c r="EW77">
        <v>143.94</v>
      </c>
      <c r="EX77">
        <v>0.19</v>
      </c>
      <c r="EY77">
        <v>0</v>
      </c>
      <c r="FQ77">
        <v>0</v>
      </c>
      <c r="FR77">
        <f t="shared" si="61"/>
        <v>0</v>
      </c>
      <c r="FS77">
        <v>0</v>
      </c>
      <c r="FX77">
        <v>109</v>
      </c>
      <c r="FY77">
        <v>57</v>
      </c>
      <c r="GA77" t="s">
        <v>3</v>
      </c>
      <c r="GD77">
        <v>1</v>
      </c>
      <c r="GF77">
        <v>993660961</v>
      </c>
      <c r="GG77">
        <v>2</v>
      </c>
      <c r="GH77">
        <v>1</v>
      </c>
      <c r="GI77">
        <v>4</v>
      </c>
      <c r="GJ77">
        <v>0</v>
      </c>
      <c r="GK77">
        <v>0</v>
      </c>
      <c r="GL77">
        <f t="shared" si="62"/>
        <v>0</v>
      </c>
      <c r="GM77">
        <f t="shared" si="63"/>
        <v>581915.32999999996</v>
      </c>
      <c r="GN77">
        <f t="shared" si="64"/>
        <v>581915.32999999996</v>
      </c>
      <c r="GO77">
        <f t="shared" si="65"/>
        <v>0</v>
      </c>
      <c r="GP77">
        <f t="shared" si="66"/>
        <v>0</v>
      </c>
      <c r="GR77">
        <v>0</v>
      </c>
      <c r="GS77">
        <v>3</v>
      </c>
      <c r="GT77">
        <v>0</v>
      </c>
      <c r="GU77" t="s">
        <v>3</v>
      </c>
      <c r="GV77">
        <f t="shared" si="67"/>
        <v>0</v>
      </c>
      <c r="GW77">
        <v>1</v>
      </c>
      <c r="GX77">
        <f t="shared" si="68"/>
        <v>0</v>
      </c>
      <c r="HA77">
        <v>0</v>
      </c>
      <c r="HB77">
        <v>0</v>
      </c>
      <c r="HC77">
        <f t="shared" si="69"/>
        <v>0</v>
      </c>
      <c r="HE77" t="s">
        <v>3</v>
      </c>
      <c r="HF77" t="s">
        <v>3</v>
      </c>
      <c r="HM77" t="s">
        <v>3</v>
      </c>
      <c r="HN77" t="s">
        <v>176</v>
      </c>
      <c r="HO77" t="s">
        <v>177</v>
      </c>
      <c r="HP77" t="s">
        <v>173</v>
      </c>
      <c r="HQ77" t="s">
        <v>173</v>
      </c>
      <c r="IK77">
        <v>0</v>
      </c>
    </row>
    <row r="78" spans="1:245" x14ac:dyDescent="0.2">
      <c r="A78">
        <v>18</v>
      </c>
      <c r="B78">
        <v>1</v>
      </c>
      <c r="C78">
        <v>67</v>
      </c>
      <c r="E78" t="s">
        <v>178</v>
      </c>
      <c r="F78" t="s">
        <v>179</v>
      </c>
      <c r="G78" t="s">
        <v>180</v>
      </c>
      <c r="H78" t="s">
        <v>181</v>
      </c>
      <c r="I78">
        <f>I77*J78</f>
        <v>-161.09</v>
      </c>
      <c r="J78">
        <v>-89</v>
      </c>
      <c r="K78">
        <v>-89</v>
      </c>
      <c r="O78">
        <f t="shared" si="36"/>
        <v>-21911.33</v>
      </c>
      <c r="P78">
        <f t="shared" si="37"/>
        <v>-21911.33</v>
      </c>
      <c r="Q78">
        <f t="shared" si="38"/>
        <v>0</v>
      </c>
      <c r="R78">
        <f t="shared" si="39"/>
        <v>0</v>
      </c>
      <c r="S78">
        <f t="shared" si="40"/>
        <v>0</v>
      </c>
      <c r="T78">
        <f t="shared" si="41"/>
        <v>0</v>
      </c>
      <c r="U78">
        <f t="shared" si="42"/>
        <v>0</v>
      </c>
      <c r="V78">
        <f t="shared" si="43"/>
        <v>0</v>
      </c>
      <c r="W78">
        <f t="shared" si="44"/>
        <v>0</v>
      </c>
      <c r="X78">
        <f t="shared" si="45"/>
        <v>0</v>
      </c>
      <c r="Y78">
        <f t="shared" si="46"/>
        <v>0</v>
      </c>
      <c r="AA78">
        <v>145262827</v>
      </c>
      <c r="AB78">
        <f t="shared" si="47"/>
        <v>16.04</v>
      </c>
      <c r="AC78">
        <f t="shared" si="48"/>
        <v>16.04</v>
      </c>
      <c r="AD78">
        <f t="shared" ref="AD78:AD86" si="72">ROUND((((ET78)-(EU78))+AE78),2)</f>
        <v>0</v>
      </c>
      <c r="AE78">
        <f t="shared" ref="AE78:AE86" si="73">ROUND((EU78),2)</f>
        <v>0</v>
      </c>
      <c r="AF78">
        <f t="shared" ref="AF78:AF86" si="74">ROUND((EV78),2)</f>
        <v>0</v>
      </c>
      <c r="AG78">
        <f t="shared" si="49"/>
        <v>0</v>
      </c>
      <c r="AH78">
        <f t="shared" ref="AH78:AH86" si="75">(EW78)</f>
        <v>0</v>
      </c>
      <c r="AI78">
        <f t="shared" ref="AI78:AI86" si="76">(EX78)</f>
        <v>0</v>
      </c>
      <c r="AJ78">
        <f t="shared" si="50"/>
        <v>0</v>
      </c>
      <c r="AK78">
        <v>16.04</v>
      </c>
      <c r="AL78">
        <v>16.04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109</v>
      </c>
      <c r="AU78">
        <v>57</v>
      </c>
      <c r="AV78">
        <v>1</v>
      </c>
      <c r="AW78">
        <v>1</v>
      </c>
      <c r="AZ78">
        <v>1</v>
      </c>
      <c r="BA78">
        <v>1</v>
      </c>
      <c r="BB78">
        <v>1</v>
      </c>
      <c r="BC78">
        <v>8.48</v>
      </c>
      <c r="BD78" t="s">
        <v>3</v>
      </c>
      <c r="BE78" t="s">
        <v>3</v>
      </c>
      <c r="BF78" t="s">
        <v>3</v>
      </c>
      <c r="BG78" t="s">
        <v>3</v>
      </c>
      <c r="BH78">
        <v>3</v>
      </c>
      <c r="BI78">
        <v>1</v>
      </c>
      <c r="BJ78" t="s">
        <v>182</v>
      </c>
      <c r="BM78">
        <v>12001</v>
      </c>
      <c r="BN78">
        <v>0</v>
      </c>
      <c r="BO78" t="s">
        <v>3</v>
      </c>
      <c r="BP78">
        <v>0</v>
      </c>
      <c r="BQ78">
        <v>2</v>
      </c>
      <c r="BR78">
        <v>1</v>
      </c>
      <c r="BS78">
        <v>1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</v>
      </c>
      <c r="BZ78">
        <v>109</v>
      </c>
      <c r="CA78">
        <v>57</v>
      </c>
      <c r="CB78" t="s">
        <v>3</v>
      </c>
      <c r="CE78">
        <v>0</v>
      </c>
      <c r="CF78">
        <v>0</v>
      </c>
      <c r="CG78">
        <v>0</v>
      </c>
      <c r="CM78">
        <v>0</v>
      </c>
      <c r="CN78" t="s">
        <v>3</v>
      </c>
      <c r="CO78">
        <v>0</v>
      </c>
      <c r="CP78">
        <f t="shared" si="51"/>
        <v>-21911.33</v>
      </c>
      <c r="CQ78">
        <f t="shared" si="52"/>
        <v>136.01920000000001</v>
      </c>
      <c r="CR78">
        <f t="shared" ref="CR78:CR86" si="77">(((ET78)*BB78-(EU78)*BS78)+AE78*BS78)</f>
        <v>0</v>
      </c>
      <c r="CS78">
        <f t="shared" si="53"/>
        <v>0</v>
      </c>
      <c r="CT78">
        <f t="shared" si="54"/>
        <v>0</v>
      </c>
      <c r="CU78">
        <f t="shared" si="55"/>
        <v>0</v>
      </c>
      <c r="CV78">
        <f t="shared" si="56"/>
        <v>0</v>
      </c>
      <c r="CW78">
        <f t="shared" si="57"/>
        <v>0</v>
      </c>
      <c r="CX78">
        <f t="shared" si="58"/>
        <v>0</v>
      </c>
      <c r="CY78">
        <f t="shared" si="59"/>
        <v>0</v>
      </c>
      <c r="CZ78">
        <f t="shared" si="60"/>
        <v>0</v>
      </c>
      <c r="DC78" t="s">
        <v>3</v>
      </c>
      <c r="DD78" t="s">
        <v>3</v>
      </c>
      <c r="DE78" t="s">
        <v>3</v>
      </c>
      <c r="DF78" t="s">
        <v>3</v>
      </c>
      <c r="DG78" t="s">
        <v>3</v>
      </c>
      <c r="DH78" t="s">
        <v>3</v>
      </c>
      <c r="DI78" t="s">
        <v>3</v>
      </c>
      <c r="DJ78" t="s">
        <v>3</v>
      </c>
      <c r="DK78" t="s">
        <v>3</v>
      </c>
      <c r="DL78" t="s">
        <v>3</v>
      </c>
      <c r="DM78" t="s">
        <v>3</v>
      </c>
      <c r="DN78">
        <v>0</v>
      </c>
      <c r="DO78">
        <v>0</v>
      </c>
      <c r="DP78">
        <v>1</v>
      </c>
      <c r="DQ78">
        <v>1</v>
      </c>
      <c r="DU78">
        <v>1003</v>
      </c>
      <c r="DV78" t="s">
        <v>181</v>
      </c>
      <c r="DW78" t="s">
        <v>181</v>
      </c>
      <c r="DX78">
        <v>1</v>
      </c>
      <c r="DZ78" t="s">
        <v>3</v>
      </c>
      <c r="EA78" t="s">
        <v>3</v>
      </c>
      <c r="EB78" t="s">
        <v>3</v>
      </c>
      <c r="EC78" t="s">
        <v>3</v>
      </c>
      <c r="EE78">
        <v>140625032</v>
      </c>
      <c r="EF78">
        <v>2</v>
      </c>
      <c r="EG78" t="s">
        <v>26</v>
      </c>
      <c r="EH78">
        <v>12</v>
      </c>
      <c r="EI78" t="s">
        <v>173</v>
      </c>
      <c r="EJ78">
        <v>1</v>
      </c>
      <c r="EK78">
        <v>12001</v>
      </c>
      <c r="EL78" t="s">
        <v>173</v>
      </c>
      <c r="EM78" t="s">
        <v>174</v>
      </c>
      <c r="EO78" t="s">
        <v>3</v>
      </c>
      <c r="EQ78">
        <v>0</v>
      </c>
      <c r="ER78">
        <v>16.04</v>
      </c>
      <c r="ES78">
        <v>16.04</v>
      </c>
      <c r="ET78">
        <v>0</v>
      </c>
      <c r="EU78">
        <v>0</v>
      </c>
      <c r="EV78">
        <v>0</v>
      </c>
      <c r="EW78">
        <v>0</v>
      </c>
      <c r="EX78">
        <v>0</v>
      </c>
      <c r="FQ78">
        <v>0</v>
      </c>
      <c r="FR78">
        <f t="shared" si="61"/>
        <v>0</v>
      </c>
      <c r="FS78">
        <v>0</v>
      </c>
      <c r="FX78">
        <v>109</v>
      </c>
      <c r="FY78">
        <v>57</v>
      </c>
      <c r="GA78" t="s">
        <v>3</v>
      </c>
      <c r="GD78">
        <v>1</v>
      </c>
      <c r="GF78">
        <v>1864074679</v>
      </c>
      <c r="GG78">
        <v>2</v>
      </c>
      <c r="GH78">
        <v>1</v>
      </c>
      <c r="GI78">
        <v>4</v>
      </c>
      <c r="GJ78">
        <v>0</v>
      </c>
      <c r="GK78">
        <v>0</v>
      </c>
      <c r="GL78">
        <f t="shared" si="62"/>
        <v>0</v>
      </c>
      <c r="GM78">
        <f t="shared" si="63"/>
        <v>-21911.33</v>
      </c>
      <c r="GN78">
        <f t="shared" si="64"/>
        <v>-21911.33</v>
      </c>
      <c r="GO78">
        <f t="shared" si="65"/>
        <v>0</v>
      </c>
      <c r="GP78">
        <f t="shared" si="66"/>
        <v>0</v>
      </c>
      <c r="GR78">
        <v>0</v>
      </c>
      <c r="GS78">
        <v>3</v>
      </c>
      <c r="GT78">
        <v>0</v>
      </c>
      <c r="GU78" t="s">
        <v>3</v>
      </c>
      <c r="GV78">
        <f t="shared" si="67"/>
        <v>0</v>
      </c>
      <c r="GW78">
        <v>1</v>
      </c>
      <c r="GX78">
        <f t="shared" si="68"/>
        <v>0</v>
      </c>
      <c r="HA78">
        <v>0</v>
      </c>
      <c r="HB78">
        <v>0</v>
      </c>
      <c r="HC78">
        <f t="shared" si="69"/>
        <v>0</v>
      </c>
      <c r="HE78" t="s">
        <v>3</v>
      </c>
      <c r="HF78" t="s">
        <v>3</v>
      </c>
      <c r="HM78" t="s">
        <v>3</v>
      </c>
      <c r="HN78" t="s">
        <v>176</v>
      </c>
      <c r="HO78" t="s">
        <v>177</v>
      </c>
      <c r="HP78" t="s">
        <v>173</v>
      </c>
      <c r="HQ78" t="s">
        <v>173</v>
      </c>
      <c r="IK78">
        <v>0</v>
      </c>
    </row>
    <row r="79" spans="1:245" x14ac:dyDescent="0.2">
      <c r="A79">
        <v>18</v>
      </c>
      <c r="B79">
        <v>1</v>
      </c>
      <c r="C79">
        <v>68</v>
      </c>
      <c r="E79" t="s">
        <v>183</v>
      </c>
      <c r="F79" t="s">
        <v>184</v>
      </c>
      <c r="G79" t="s">
        <v>185</v>
      </c>
      <c r="H79" t="s">
        <v>162</v>
      </c>
      <c r="I79">
        <f>I77*J79</f>
        <v>-23.53</v>
      </c>
      <c r="J79">
        <v>-13</v>
      </c>
      <c r="K79">
        <v>-13</v>
      </c>
      <c r="O79">
        <f t="shared" si="36"/>
        <v>-6313.27</v>
      </c>
      <c r="P79">
        <f t="shared" si="37"/>
        <v>-6313.27</v>
      </c>
      <c r="Q79">
        <f t="shared" si="38"/>
        <v>0</v>
      </c>
      <c r="R79">
        <f t="shared" si="39"/>
        <v>0</v>
      </c>
      <c r="S79">
        <f t="shared" si="40"/>
        <v>0</v>
      </c>
      <c r="T79">
        <f t="shared" si="41"/>
        <v>0</v>
      </c>
      <c r="U79">
        <f t="shared" si="42"/>
        <v>0</v>
      </c>
      <c r="V79">
        <f t="shared" si="43"/>
        <v>0</v>
      </c>
      <c r="W79">
        <f t="shared" si="44"/>
        <v>0</v>
      </c>
      <c r="X79">
        <f t="shared" si="45"/>
        <v>0</v>
      </c>
      <c r="Y79">
        <f t="shared" si="46"/>
        <v>0</v>
      </c>
      <c r="AA79">
        <v>145262827</v>
      </c>
      <c r="AB79">
        <f t="shared" si="47"/>
        <v>31.64</v>
      </c>
      <c r="AC79">
        <f t="shared" si="48"/>
        <v>31.64</v>
      </c>
      <c r="AD79">
        <f t="shared" si="72"/>
        <v>0</v>
      </c>
      <c r="AE79">
        <f t="shared" si="73"/>
        <v>0</v>
      </c>
      <c r="AF79">
        <f t="shared" si="74"/>
        <v>0</v>
      </c>
      <c r="AG79">
        <f t="shared" si="49"/>
        <v>0</v>
      </c>
      <c r="AH79">
        <f t="shared" si="75"/>
        <v>0</v>
      </c>
      <c r="AI79">
        <f t="shared" si="76"/>
        <v>0</v>
      </c>
      <c r="AJ79">
        <f t="shared" si="50"/>
        <v>0</v>
      </c>
      <c r="AK79">
        <v>31.64</v>
      </c>
      <c r="AL79">
        <v>31.64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109</v>
      </c>
      <c r="AU79">
        <v>57</v>
      </c>
      <c r="AV79">
        <v>1</v>
      </c>
      <c r="AW79">
        <v>1</v>
      </c>
      <c r="AZ79">
        <v>1</v>
      </c>
      <c r="BA79">
        <v>1</v>
      </c>
      <c r="BB79">
        <v>1</v>
      </c>
      <c r="BC79">
        <v>8.48</v>
      </c>
      <c r="BD79" t="s">
        <v>3</v>
      </c>
      <c r="BE79" t="s">
        <v>3</v>
      </c>
      <c r="BF79" t="s">
        <v>3</v>
      </c>
      <c r="BG79" t="s">
        <v>3</v>
      </c>
      <c r="BH79">
        <v>3</v>
      </c>
      <c r="BI79">
        <v>1</v>
      </c>
      <c r="BJ79" t="s">
        <v>186</v>
      </c>
      <c r="BM79">
        <v>12001</v>
      </c>
      <c r="BN79">
        <v>0</v>
      </c>
      <c r="BO79" t="s">
        <v>3</v>
      </c>
      <c r="BP79">
        <v>0</v>
      </c>
      <c r="BQ79">
        <v>2</v>
      </c>
      <c r="BR79">
        <v>1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109</v>
      </c>
      <c r="CA79">
        <v>57</v>
      </c>
      <c r="CB79" t="s">
        <v>3</v>
      </c>
      <c r="CE79">
        <v>0</v>
      </c>
      <c r="CF79">
        <v>0</v>
      </c>
      <c r="CG79">
        <v>0</v>
      </c>
      <c r="CM79">
        <v>0</v>
      </c>
      <c r="CN79" t="s">
        <v>3</v>
      </c>
      <c r="CO79">
        <v>0</v>
      </c>
      <c r="CP79">
        <f t="shared" si="51"/>
        <v>-6313.27</v>
      </c>
      <c r="CQ79">
        <f t="shared" si="52"/>
        <v>268.30720000000002</v>
      </c>
      <c r="CR79">
        <f t="shared" si="77"/>
        <v>0</v>
      </c>
      <c r="CS79">
        <f t="shared" si="53"/>
        <v>0</v>
      </c>
      <c r="CT79">
        <f t="shared" si="54"/>
        <v>0</v>
      </c>
      <c r="CU79">
        <f t="shared" si="55"/>
        <v>0</v>
      </c>
      <c r="CV79">
        <f t="shared" si="56"/>
        <v>0</v>
      </c>
      <c r="CW79">
        <f t="shared" si="57"/>
        <v>0</v>
      </c>
      <c r="CX79">
        <f t="shared" si="58"/>
        <v>0</v>
      </c>
      <c r="CY79">
        <f t="shared" si="59"/>
        <v>0</v>
      </c>
      <c r="CZ79">
        <f t="shared" si="60"/>
        <v>0</v>
      </c>
      <c r="DC79" t="s">
        <v>3</v>
      </c>
      <c r="DD79" t="s">
        <v>3</v>
      </c>
      <c r="DE79" t="s">
        <v>3</v>
      </c>
      <c r="DF79" t="s">
        <v>3</v>
      </c>
      <c r="DG79" t="s">
        <v>3</v>
      </c>
      <c r="DH79" t="s">
        <v>3</v>
      </c>
      <c r="DI79" t="s">
        <v>3</v>
      </c>
      <c r="DJ79" t="s">
        <v>3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1013</v>
      </c>
      <c r="DV79" t="s">
        <v>162</v>
      </c>
      <c r="DW79" t="s">
        <v>162</v>
      </c>
      <c r="DX79">
        <v>1</v>
      </c>
      <c r="DZ79" t="s">
        <v>3</v>
      </c>
      <c r="EA79" t="s">
        <v>3</v>
      </c>
      <c r="EB79" t="s">
        <v>3</v>
      </c>
      <c r="EC79" t="s">
        <v>3</v>
      </c>
      <c r="EE79">
        <v>140625032</v>
      </c>
      <c r="EF79">
        <v>2</v>
      </c>
      <c r="EG79" t="s">
        <v>26</v>
      </c>
      <c r="EH79">
        <v>12</v>
      </c>
      <c r="EI79" t="s">
        <v>173</v>
      </c>
      <c r="EJ79">
        <v>1</v>
      </c>
      <c r="EK79">
        <v>12001</v>
      </c>
      <c r="EL79" t="s">
        <v>173</v>
      </c>
      <c r="EM79" t="s">
        <v>174</v>
      </c>
      <c r="EO79" t="s">
        <v>3</v>
      </c>
      <c r="EQ79">
        <v>0</v>
      </c>
      <c r="ER79">
        <v>31.64</v>
      </c>
      <c r="ES79">
        <v>31.64</v>
      </c>
      <c r="ET79">
        <v>0</v>
      </c>
      <c r="EU79">
        <v>0</v>
      </c>
      <c r="EV79">
        <v>0</v>
      </c>
      <c r="EW79">
        <v>0</v>
      </c>
      <c r="EX79">
        <v>0</v>
      </c>
      <c r="FQ79">
        <v>0</v>
      </c>
      <c r="FR79">
        <f t="shared" si="61"/>
        <v>0</v>
      </c>
      <c r="FS79">
        <v>0</v>
      </c>
      <c r="FX79">
        <v>109</v>
      </c>
      <c r="FY79">
        <v>57</v>
      </c>
      <c r="GA79" t="s">
        <v>3</v>
      </c>
      <c r="GD79">
        <v>1</v>
      </c>
      <c r="GF79">
        <v>1783194047</v>
      </c>
      <c r="GG79">
        <v>2</v>
      </c>
      <c r="GH79">
        <v>1</v>
      </c>
      <c r="GI79">
        <v>4</v>
      </c>
      <c r="GJ79">
        <v>0</v>
      </c>
      <c r="GK79">
        <v>0</v>
      </c>
      <c r="GL79">
        <f t="shared" si="62"/>
        <v>0</v>
      </c>
      <c r="GM79">
        <f t="shared" si="63"/>
        <v>-6313.27</v>
      </c>
      <c r="GN79">
        <f t="shared" si="64"/>
        <v>-6313.27</v>
      </c>
      <c r="GO79">
        <f t="shared" si="65"/>
        <v>0</v>
      </c>
      <c r="GP79">
        <f t="shared" si="66"/>
        <v>0</v>
      </c>
      <c r="GR79">
        <v>0</v>
      </c>
      <c r="GS79">
        <v>3</v>
      </c>
      <c r="GT79">
        <v>0</v>
      </c>
      <c r="GU79" t="s">
        <v>3</v>
      </c>
      <c r="GV79">
        <f t="shared" si="67"/>
        <v>0</v>
      </c>
      <c r="GW79">
        <v>1</v>
      </c>
      <c r="GX79">
        <f t="shared" si="68"/>
        <v>0</v>
      </c>
      <c r="HA79">
        <v>0</v>
      </c>
      <c r="HB79">
        <v>0</v>
      </c>
      <c r="HC79">
        <f t="shared" si="69"/>
        <v>0</v>
      </c>
      <c r="HE79" t="s">
        <v>3</v>
      </c>
      <c r="HF79" t="s">
        <v>3</v>
      </c>
      <c r="HM79" t="s">
        <v>3</v>
      </c>
      <c r="HN79" t="s">
        <v>176</v>
      </c>
      <c r="HO79" t="s">
        <v>177</v>
      </c>
      <c r="HP79" t="s">
        <v>173</v>
      </c>
      <c r="HQ79" t="s">
        <v>173</v>
      </c>
      <c r="IK79">
        <v>0</v>
      </c>
    </row>
    <row r="80" spans="1:245" x14ac:dyDescent="0.2">
      <c r="A80">
        <v>18</v>
      </c>
      <c r="B80">
        <v>1</v>
      </c>
      <c r="C80">
        <v>69</v>
      </c>
      <c r="E80" t="s">
        <v>187</v>
      </c>
      <c r="F80" t="s">
        <v>188</v>
      </c>
      <c r="G80" t="s">
        <v>189</v>
      </c>
      <c r="H80" t="s">
        <v>162</v>
      </c>
      <c r="I80">
        <f>I77*J80</f>
        <v>-295.02999999999997</v>
      </c>
      <c r="J80">
        <v>-162.99999999999997</v>
      </c>
      <c r="K80">
        <v>-163</v>
      </c>
      <c r="O80">
        <f t="shared" si="36"/>
        <v>-322363.94</v>
      </c>
      <c r="P80">
        <f t="shared" si="37"/>
        <v>-322363.94</v>
      </c>
      <c r="Q80">
        <f t="shared" si="38"/>
        <v>0</v>
      </c>
      <c r="R80">
        <f t="shared" si="39"/>
        <v>0</v>
      </c>
      <c r="S80">
        <f t="shared" si="40"/>
        <v>0</v>
      </c>
      <c r="T80">
        <f t="shared" si="41"/>
        <v>0</v>
      </c>
      <c r="U80">
        <f t="shared" si="42"/>
        <v>0</v>
      </c>
      <c r="V80">
        <f t="shared" si="43"/>
        <v>0</v>
      </c>
      <c r="W80">
        <f t="shared" si="44"/>
        <v>0</v>
      </c>
      <c r="X80">
        <f t="shared" si="45"/>
        <v>0</v>
      </c>
      <c r="Y80">
        <f t="shared" si="46"/>
        <v>0</v>
      </c>
      <c r="AA80">
        <v>145262827</v>
      </c>
      <c r="AB80">
        <f t="shared" si="47"/>
        <v>128.85</v>
      </c>
      <c r="AC80">
        <f t="shared" si="48"/>
        <v>128.85</v>
      </c>
      <c r="AD80">
        <f t="shared" si="72"/>
        <v>0</v>
      </c>
      <c r="AE80">
        <f t="shared" si="73"/>
        <v>0</v>
      </c>
      <c r="AF80">
        <f t="shared" si="74"/>
        <v>0</v>
      </c>
      <c r="AG80">
        <f t="shared" si="49"/>
        <v>0</v>
      </c>
      <c r="AH80">
        <f t="shared" si="75"/>
        <v>0</v>
      </c>
      <c r="AI80">
        <f t="shared" si="76"/>
        <v>0</v>
      </c>
      <c r="AJ80">
        <f t="shared" si="50"/>
        <v>0</v>
      </c>
      <c r="AK80">
        <v>128.85</v>
      </c>
      <c r="AL80">
        <v>128.85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109</v>
      </c>
      <c r="AU80">
        <v>57</v>
      </c>
      <c r="AV80">
        <v>1</v>
      </c>
      <c r="AW80">
        <v>1</v>
      </c>
      <c r="AZ80">
        <v>1</v>
      </c>
      <c r="BA80">
        <v>1</v>
      </c>
      <c r="BB80">
        <v>1</v>
      </c>
      <c r="BC80">
        <v>8.48</v>
      </c>
      <c r="BD80" t="s">
        <v>3</v>
      </c>
      <c r="BE80" t="s">
        <v>3</v>
      </c>
      <c r="BF80" t="s">
        <v>3</v>
      </c>
      <c r="BG80" t="s">
        <v>3</v>
      </c>
      <c r="BH80">
        <v>3</v>
      </c>
      <c r="BI80">
        <v>1</v>
      </c>
      <c r="BJ80" t="s">
        <v>190</v>
      </c>
      <c r="BM80">
        <v>12001</v>
      </c>
      <c r="BN80">
        <v>0</v>
      </c>
      <c r="BO80" t="s">
        <v>3</v>
      </c>
      <c r="BP80">
        <v>0</v>
      </c>
      <c r="BQ80">
        <v>2</v>
      </c>
      <c r="BR80">
        <v>1</v>
      </c>
      <c r="BS80">
        <v>1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3</v>
      </c>
      <c r="BZ80">
        <v>109</v>
      </c>
      <c r="CA80">
        <v>57</v>
      </c>
      <c r="CB80" t="s">
        <v>3</v>
      </c>
      <c r="CE80">
        <v>0</v>
      </c>
      <c r="CF80">
        <v>0</v>
      </c>
      <c r="CG80">
        <v>0</v>
      </c>
      <c r="CM80">
        <v>0</v>
      </c>
      <c r="CN80" t="s">
        <v>3</v>
      </c>
      <c r="CO80">
        <v>0</v>
      </c>
      <c r="CP80">
        <f t="shared" si="51"/>
        <v>-322363.94</v>
      </c>
      <c r="CQ80">
        <f t="shared" si="52"/>
        <v>1092.6479999999999</v>
      </c>
      <c r="CR80">
        <f t="shared" si="77"/>
        <v>0</v>
      </c>
      <c r="CS80">
        <f t="shared" si="53"/>
        <v>0</v>
      </c>
      <c r="CT80">
        <f t="shared" si="54"/>
        <v>0</v>
      </c>
      <c r="CU80">
        <f t="shared" si="55"/>
        <v>0</v>
      </c>
      <c r="CV80">
        <f t="shared" si="56"/>
        <v>0</v>
      </c>
      <c r="CW80">
        <f t="shared" si="57"/>
        <v>0</v>
      </c>
      <c r="CX80">
        <f t="shared" si="58"/>
        <v>0</v>
      </c>
      <c r="CY80">
        <f t="shared" si="59"/>
        <v>0</v>
      </c>
      <c r="CZ80">
        <f t="shared" si="60"/>
        <v>0</v>
      </c>
      <c r="DC80" t="s">
        <v>3</v>
      </c>
      <c r="DD80" t="s">
        <v>3</v>
      </c>
      <c r="DE80" t="s">
        <v>3</v>
      </c>
      <c r="DF80" t="s">
        <v>3</v>
      </c>
      <c r="DG80" t="s">
        <v>3</v>
      </c>
      <c r="DH80" t="s">
        <v>3</v>
      </c>
      <c r="DI80" t="s">
        <v>3</v>
      </c>
      <c r="DJ80" t="s">
        <v>3</v>
      </c>
      <c r="DK80" t="s">
        <v>3</v>
      </c>
      <c r="DL80" t="s">
        <v>3</v>
      </c>
      <c r="DM80" t="s">
        <v>3</v>
      </c>
      <c r="DN80">
        <v>0</v>
      </c>
      <c r="DO80">
        <v>0</v>
      </c>
      <c r="DP80">
        <v>1</v>
      </c>
      <c r="DQ80">
        <v>1</v>
      </c>
      <c r="DU80">
        <v>1013</v>
      </c>
      <c r="DV80" t="s">
        <v>162</v>
      </c>
      <c r="DW80" t="s">
        <v>162</v>
      </c>
      <c r="DX80">
        <v>1</v>
      </c>
      <c r="DZ80" t="s">
        <v>3</v>
      </c>
      <c r="EA80" t="s">
        <v>3</v>
      </c>
      <c r="EB80" t="s">
        <v>3</v>
      </c>
      <c r="EC80" t="s">
        <v>3</v>
      </c>
      <c r="EE80">
        <v>140625032</v>
      </c>
      <c r="EF80">
        <v>2</v>
      </c>
      <c r="EG80" t="s">
        <v>26</v>
      </c>
      <c r="EH80">
        <v>12</v>
      </c>
      <c r="EI80" t="s">
        <v>173</v>
      </c>
      <c r="EJ80">
        <v>1</v>
      </c>
      <c r="EK80">
        <v>12001</v>
      </c>
      <c r="EL80" t="s">
        <v>173</v>
      </c>
      <c r="EM80" t="s">
        <v>174</v>
      </c>
      <c r="EO80" t="s">
        <v>3</v>
      </c>
      <c r="EQ80">
        <v>0</v>
      </c>
      <c r="ER80">
        <v>128.85</v>
      </c>
      <c r="ES80">
        <v>128.85</v>
      </c>
      <c r="ET80">
        <v>0</v>
      </c>
      <c r="EU80">
        <v>0</v>
      </c>
      <c r="EV80">
        <v>0</v>
      </c>
      <c r="EW80">
        <v>0</v>
      </c>
      <c r="EX80">
        <v>0</v>
      </c>
      <c r="FQ80">
        <v>0</v>
      </c>
      <c r="FR80">
        <f t="shared" si="61"/>
        <v>0</v>
      </c>
      <c r="FS80">
        <v>0</v>
      </c>
      <c r="FX80">
        <v>109</v>
      </c>
      <c r="FY80">
        <v>57</v>
      </c>
      <c r="GA80" t="s">
        <v>3</v>
      </c>
      <c r="GD80">
        <v>1</v>
      </c>
      <c r="GF80">
        <v>-827027620</v>
      </c>
      <c r="GG80">
        <v>2</v>
      </c>
      <c r="GH80">
        <v>1</v>
      </c>
      <c r="GI80">
        <v>4</v>
      </c>
      <c r="GJ80">
        <v>0</v>
      </c>
      <c r="GK80">
        <v>0</v>
      </c>
      <c r="GL80">
        <f t="shared" si="62"/>
        <v>0</v>
      </c>
      <c r="GM80">
        <f t="shared" si="63"/>
        <v>-322363.94</v>
      </c>
      <c r="GN80">
        <f t="shared" si="64"/>
        <v>-322363.94</v>
      </c>
      <c r="GO80">
        <f t="shared" si="65"/>
        <v>0</v>
      </c>
      <c r="GP80">
        <f t="shared" si="66"/>
        <v>0</v>
      </c>
      <c r="GR80">
        <v>0</v>
      </c>
      <c r="GS80">
        <v>3</v>
      </c>
      <c r="GT80">
        <v>0</v>
      </c>
      <c r="GU80" t="s">
        <v>3</v>
      </c>
      <c r="GV80">
        <f t="shared" si="67"/>
        <v>0</v>
      </c>
      <c r="GW80">
        <v>1</v>
      </c>
      <c r="GX80">
        <f t="shared" si="68"/>
        <v>0</v>
      </c>
      <c r="HA80">
        <v>0</v>
      </c>
      <c r="HB80">
        <v>0</v>
      </c>
      <c r="HC80">
        <f t="shared" si="69"/>
        <v>0</v>
      </c>
      <c r="HE80" t="s">
        <v>3</v>
      </c>
      <c r="HF80" t="s">
        <v>3</v>
      </c>
      <c r="HM80" t="s">
        <v>3</v>
      </c>
      <c r="HN80" t="s">
        <v>176</v>
      </c>
      <c r="HO80" t="s">
        <v>177</v>
      </c>
      <c r="HP80" t="s">
        <v>173</v>
      </c>
      <c r="HQ80" t="s">
        <v>173</v>
      </c>
      <c r="IK80">
        <v>0</v>
      </c>
    </row>
    <row r="81" spans="1:245" x14ac:dyDescent="0.2">
      <c r="A81">
        <v>17</v>
      </c>
      <c r="B81">
        <v>1</v>
      </c>
      <c r="E81" t="s">
        <v>191</v>
      </c>
      <c r="F81" t="s">
        <v>156</v>
      </c>
      <c r="G81" t="s">
        <v>192</v>
      </c>
      <c r="H81" t="s">
        <v>162</v>
      </c>
      <c r="I81">
        <f>ROUND(ROUND(181/3,0),9)</f>
        <v>60</v>
      </c>
      <c r="J81">
        <v>0</v>
      </c>
      <c r="K81">
        <f>ROUND(ROUND(181/3,0),9)</f>
        <v>60</v>
      </c>
      <c r="O81">
        <f t="shared" si="36"/>
        <v>71756.06</v>
      </c>
      <c r="P81">
        <f t="shared" si="37"/>
        <v>71756.06</v>
      </c>
      <c r="Q81">
        <f t="shared" si="38"/>
        <v>0</v>
      </c>
      <c r="R81">
        <f t="shared" si="39"/>
        <v>0</v>
      </c>
      <c r="S81">
        <f t="shared" si="40"/>
        <v>0</v>
      </c>
      <c r="T81">
        <f t="shared" si="41"/>
        <v>0</v>
      </c>
      <c r="U81">
        <f t="shared" si="42"/>
        <v>0</v>
      </c>
      <c r="V81">
        <f t="shared" si="43"/>
        <v>0</v>
      </c>
      <c r="W81">
        <f t="shared" si="44"/>
        <v>0</v>
      </c>
      <c r="X81">
        <f t="shared" si="45"/>
        <v>0</v>
      </c>
      <c r="Y81">
        <f t="shared" si="46"/>
        <v>0</v>
      </c>
      <c r="AA81">
        <v>145262827</v>
      </c>
      <c r="AB81">
        <f t="shared" si="47"/>
        <v>141.03</v>
      </c>
      <c r="AC81">
        <f t="shared" si="48"/>
        <v>141.03</v>
      </c>
      <c r="AD81">
        <f t="shared" si="72"/>
        <v>0</v>
      </c>
      <c r="AE81">
        <f t="shared" si="73"/>
        <v>0</v>
      </c>
      <c r="AF81">
        <f t="shared" si="74"/>
        <v>0</v>
      </c>
      <c r="AG81">
        <f t="shared" si="49"/>
        <v>0</v>
      </c>
      <c r="AH81">
        <f t="shared" si="75"/>
        <v>0</v>
      </c>
      <c r="AI81">
        <f t="shared" si="76"/>
        <v>0</v>
      </c>
      <c r="AJ81">
        <f t="shared" si="50"/>
        <v>0</v>
      </c>
      <c r="AK81">
        <v>141.03000000000003</v>
      </c>
      <c r="AL81">
        <v>141.03000000000003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1</v>
      </c>
      <c r="AW81">
        <v>1</v>
      </c>
      <c r="AZ81">
        <v>1</v>
      </c>
      <c r="BA81">
        <v>1</v>
      </c>
      <c r="BB81">
        <v>1</v>
      </c>
      <c r="BC81">
        <v>8.48</v>
      </c>
      <c r="BD81" t="s">
        <v>3</v>
      </c>
      <c r="BE81" t="s">
        <v>3</v>
      </c>
      <c r="BF81" t="s">
        <v>3</v>
      </c>
      <c r="BG81" t="s">
        <v>3</v>
      </c>
      <c r="BH81">
        <v>3</v>
      </c>
      <c r="BI81">
        <v>1</v>
      </c>
      <c r="BJ81" t="s">
        <v>3</v>
      </c>
      <c r="BM81">
        <v>1100</v>
      </c>
      <c r="BN81">
        <v>0</v>
      </c>
      <c r="BO81" t="s">
        <v>3</v>
      </c>
      <c r="BP81">
        <v>0</v>
      </c>
      <c r="BQ81">
        <v>8</v>
      </c>
      <c r="BR81">
        <v>0</v>
      </c>
      <c r="BS81">
        <v>1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</v>
      </c>
      <c r="BZ81">
        <v>0</v>
      </c>
      <c r="CA81">
        <v>0</v>
      </c>
      <c r="CB81" t="s">
        <v>3</v>
      </c>
      <c r="CE81">
        <v>0</v>
      </c>
      <c r="CF81">
        <v>0</v>
      </c>
      <c r="CG81">
        <v>0</v>
      </c>
      <c r="CM81">
        <v>0</v>
      </c>
      <c r="CN81" t="s">
        <v>3</v>
      </c>
      <c r="CO81">
        <v>0</v>
      </c>
      <c r="CP81">
        <f t="shared" si="51"/>
        <v>71756.06</v>
      </c>
      <c r="CQ81">
        <f t="shared" si="52"/>
        <v>1195.9344000000001</v>
      </c>
      <c r="CR81">
        <f t="shared" si="77"/>
        <v>0</v>
      </c>
      <c r="CS81">
        <f t="shared" si="53"/>
        <v>0</v>
      </c>
      <c r="CT81">
        <f t="shared" si="54"/>
        <v>0</v>
      </c>
      <c r="CU81">
        <f t="shared" si="55"/>
        <v>0</v>
      </c>
      <c r="CV81">
        <f t="shared" si="56"/>
        <v>0</v>
      </c>
      <c r="CW81">
        <f t="shared" si="57"/>
        <v>0</v>
      </c>
      <c r="CX81">
        <f t="shared" si="58"/>
        <v>0</v>
      </c>
      <c r="CY81">
        <f t="shared" si="59"/>
        <v>0</v>
      </c>
      <c r="CZ81">
        <f t="shared" si="60"/>
        <v>0</v>
      </c>
      <c r="DC81" t="s">
        <v>3</v>
      </c>
      <c r="DD81" t="s">
        <v>3</v>
      </c>
      <c r="DE81" t="s">
        <v>3</v>
      </c>
      <c r="DF81" t="s">
        <v>3</v>
      </c>
      <c r="DG81" t="s">
        <v>3</v>
      </c>
      <c r="DH81" t="s">
        <v>3</v>
      </c>
      <c r="DI81" t="s">
        <v>3</v>
      </c>
      <c r="DJ81" t="s">
        <v>3</v>
      </c>
      <c r="DK81" t="s">
        <v>3</v>
      </c>
      <c r="DL81" t="s">
        <v>3</v>
      </c>
      <c r="DM81" t="s">
        <v>3</v>
      </c>
      <c r="DN81">
        <v>0</v>
      </c>
      <c r="DO81">
        <v>0</v>
      </c>
      <c r="DP81">
        <v>1</v>
      </c>
      <c r="DQ81">
        <v>1</v>
      </c>
      <c r="DU81">
        <v>1013</v>
      </c>
      <c r="DV81" t="s">
        <v>162</v>
      </c>
      <c r="DW81" t="s">
        <v>162</v>
      </c>
      <c r="DX81">
        <v>1</v>
      </c>
      <c r="DZ81" t="s">
        <v>3</v>
      </c>
      <c r="EA81" t="s">
        <v>3</v>
      </c>
      <c r="EB81" t="s">
        <v>3</v>
      </c>
      <c r="EC81" t="s">
        <v>3</v>
      </c>
      <c r="EE81">
        <v>140625274</v>
      </c>
      <c r="EF81">
        <v>8</v>
      </c>
      <c r="EG81" t="s">
        <v>84</v>
      </c>
      <c r="EH81">
        <v>0</v>
      </c>
      <c r="EI81" t="s">
        <v>3</v>
      </c>
      <c r="EJ81">
        <v>1</v>
      </c>
      <c r="EK81">
        <v>1100</v>
      </c>
      <c r="EL81" t="s">
        <v>85</v>
      </c>
      <c r="EM81" t="s">
        <v>86</v>
      </c>
      <c r="EO81" t="s">
        <v>3</v>
      </c>
      <c r="EQ81">
        <v>131072</v>
      </c>
      <c r="ER81">
        <v>141.03000000000003</v>
      </c>
      <c r="ES81">
        <v>141.03000000000003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5</v>
      </c>
      <c r="FC81">
        <v>1</v>
      </c>
      <c r="FD81">
        <v>18</v>
      </c>
      <c r="FF81">
        <v>1340</v>
      </c>
      <c r="FQ81">
        <v>0</v>
      </c>
      <c r="FR81">
        <f t="shared" si="61"/>
        <v>0</v>
      </c>
      <c r="FS81">
        <v>0</v>
      </c>
      <c r="FX81">
        <v>0</v>
      </c>
      <c r="FY81">
        <v>0</v>
      </c>
      <c r="GA81" t="s">
        <v>193</v>
      </c>
      <c r="GD81">
        <v>1</v>
      </c>
      <c r="GF81">
        <v>1432361952</v>
      </c>
      <c r="GG81">
        <v>2</v>
      </c>
      <c r="GH81">
        <v>3</v>
      </c>
      <c r="GI81">
        <v>4</v>
      </c>
      <c r="GJ81">
        <v>0</v>
      </c>
      <c r="GK81">
        <v>0</v>
      </c>
      <c r="GL81">
        <f t="shared" si="62"/>
        <v>0</v>
      </c>
      <c r="GM81">
        <f t="shared" si="63"/>
        <v>71756.06</v>
      </c>
      <c r="GN81">
        <f t="shared" si="64"/>
        <v>71756.06</v>
      </c>
      <c r="GO81">
        <f t="shared" si="65"/>
        <v>0</v>
      </c>
      <c r="GP81">
        <f t="shared" si="66"/>
        <v>0</v>
      </c>
      <c r="GR81">
        <v>1</v>
      </c>
      <c r="GS81">
        <v>1</v>
      </c>
      <c r="GT81">
        <v>0</v>
      </c>
      <c r="GU81" t="s">
        <v>3</v>
      </c>
      <c r="GV81">
        <f t="shared" si="67"/>
        <v>0</v>
      </c>
      <c r="GW81">
        <v>1</v>
      </c>
      <c r="GX81">
        <f t="shared" si="68"/>
        <v>0</v>
      </c>
      <c r="HA81">
        <v>0</v>
      </c>
      <c r="HB81">
        <v>0</v>
      </c>
      <c r="HC81">
        <f t="shared" si="69"/>
        <v>0</v>
      </c>
      <c r="HE81" t="s">
        <v>53</v>
      </c>
      <c r="HF81" t="s">
        <v>32</v>
      </c>
      <c r="HM81" t="s">
        <v>3</v>
      </c>
      <c r="HN81" t="s">
        <v>3</v>
      </c>
      <c r="HO81" t="s">
        <v>3</v>
      </c>
      <c r="HP81" t="s">
        <v>3</v>
      </c>
      <c r="HQ81" t="s">
        <v>3</v>
      </c>
      <c r="IK81">
        <v>0</v>
      </c>
    </row>
    <row r="82" spans="1:245" x14ac:dyDescent="0.2">
      <c r="A82">
        <v>17</v>
      </c>
      <c r="B82">
        <v>1</v>
      </c>
      <c r="E82" t="s">
        <v>194</v>
      </c>
      <c r="F82" t="s">
        <v>156</v>
      </c>
      <c r="G82" t="s">
        <v>195</v>
      </c>
      <c r="H82" t="s">
        <v>162</v>
      </c>
      <c r="I82">
        <v>360</v>
      </c>
      <c r="J82">
        <v>0</v>
      </c>
      <c r="K82">
        <v>360</v>
      </c>
      <c r="O82">
        <f t="shared" si="36"/>
        <v>109229.18</v>
      </c>
      <c r="P82">
        <f t="shared" si="37"/>
        <v>109229.18</v>
      </c>
      <c r="Q82">
        <f t="shared" si="38"/>
        <v>0</v>
      </c>
      <c r="R82">
        <f t="shared" si="39"/>
        <v>0</v>
      </c>
      <c r="S82">
        <f t="shared" si="40"/>
        <v>0</v>
      </c>
      <c r="T82">
        <f t="shared" si="41"/>
        <v>0</v>
      </c>
      <c r="U82">
        <f t="shared" si="42"/>
        <v>0</v>
      </c>
      <c r="V82">
        <f t="shared" si="43"/>
        <v>0</v>
      </c>
      <c r="W82">
        <f t="shared" si="44"/>
        <v>0</v>
      </c>
      <c r="X82">
        <f t="shared" si="45"/>
        <v>0</v>
      </c>
      <c r="Y82">
        <f t="shared" si="46"/>
        <v>0</v>
      </c>
      <c r="AA82">
        <v>145262827</v>
      </c>
      <c r="AB82">
        <f t="shared" si="47"/>
        <v>35.78</v>
      </c>
      <c r="AC82">
        <f t="shared" si="48"/>
        <v>35.78</v>
      </c>
      <c r="AD82">
        <f t="shared" si="72"/>
        <v>0</v>
      </c>
      <c r="AE82">
        <f t="shared" si="73"/>
        <v>0</v>
      </c>
      <c r="AF82">
        <f t="shared" si="74"/>
        <v>0</v>
      </c>
      <c r="AG82">
        <f t="shared" si="49"/>
        <v>0</v>
      </c>
      <c r="AH82">
        <f t="shared" si="75"/>
        <v>0</v>
      </c>
      <c r="AI82">
        <f t="shared" si="76"/>
        <v>0</v>
      </c>
      <c r="AJ82">
        <f t="shared" si="50"/>
        <v>0</v>
      </c>
      <c r="AK82">
        <v>35.78</v>
      </c>
      <c r="AL82">
        <v>35.78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1</v>
      </c>
      <c r="AW82">
        <v>1</v>
      </c>
      <c r="AZ82">
        <v>1</v>
      </c>
      <c r="BA82">
        <v>1</v>
      </c>
      <c r="BB82">
        <v>1</v>
      </c>
      <c r="BC82">
        <v>8.48</v>
      </c>
      <c r="BD82" t="s">
        <v>3</v>
      </c>
      <c r="BE82" t="s">
        <v>3</v>
      </c>
      <c r="BF82" t="s">
        <v>3</v>
      </c>
      <c r="BG82" t="s">
        <v>3</v>
      </c>
      <c r="BH82">
        <v>3</v>
      </c>
      <c r="BI82">
        <v>1</v>
      </c>
      <c r="BJ82" t="s">
        <v>3</v>
      </c>
      <c r="BM82">
        <v>1100</v>
      </c>
      <c r="BN82">
        <v>0</v>
      </c>
      <c r="BO82" t="s">
        <v>3</v>
      </c>
      <c r="BP82">
        <v>0</v>
      </c>
      <c r="BQ82">
        <v>8</v>
      </c>
      <c r="BR82">
        <v>0</v>
      </c>
      <c r="BS82">
        <v>1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3</v>
      </c>
      <c r="BZ82">
        <v>0</v>
      </c>
      <c r="CA82">
        <v>0</v>
      </c>
      <c r="CB82" t="s">
        <v>3</v>
      </c>
      <c r="CE82">
        <v>0</v>
      </c>
      <c r="CF82">
        <v>0</v>
      </c>
      <c r="CG82">
        <v>0</v>
      </c>
      <c r="CM82">
        <v>0</v>
      </c>
      <c r="CN82" t="s">
        <v>3</v>
      </c>
      <c r="CO82">
        <v>0</v>
      </c>
      <c r="CP82">
        <f t="shared" si="51"/>
        <v>109229.18</v>
      </c>
      <c r="CQ82">
        <f t="shared" si="52"/>
        <v>303.4144</v>
      </c>
      <c r="CR82">
        <f t="shared" si="77"/>
        <v>0</v>
      </c>
      <c r="CS82">
        <f t="shared" si="53"/>
        <v>0</v>
      </c>
      <c r="CT82">
        <f t="shared" si="54"/>
        <v>0</v>
      </c>
      <c r="CU82">
        <f t="shared" si="55"/>
        <v>0</v>
      </c>
      <c r="CV82">
        <f t="shared" si="56"/>
        <v>0</v>
      </c>
      <c r="CW82">
        <f t="shared" si="57"/>
        <v>0</v>
      </c>
      <c r="CX82">
        <f t="shared" si="58"/>
        <v>0</v>
      </c>
      <c r="CY82">
        <f t="shared" si="59"/>
        <v>0</v>
      </c>
      <c r="CZ82">
        <f t="shared" si="60"/>
        <v>0</v>
      </c>
      <c r="DC82" t="s">
        <v>3</v>
      </c>
      <c r="DD82" t="s">
        <v>3</v>
      </c>
      <c r="DE82" t="s">
        <v>3</v>
      </c>
      <c r="DF82" t="s">
        <v>3</v>
      </c>
      <c r="DG82" t="s">
        <v>3</v>
      </c>
      <c r="DH82" t="s">
        <v>3</v>
      </c>
      <c r="DI82" t="s">
        <v>3</v>
      </c>
      <c r="DJ82" t="s">
        <v>3</v>
      </c>
      <c r="DK82" t="s">
        <v>3</v>
      </c>
      <c r="DL82" t="s">
        <v>3</v>
      </c>
      <c r="DM82" t="s">
        <v>3</v>
      </c>
      <c r="DN82">
        <v>0</v>
      </c>
      <c r="DO82">
        <v>0</v>
      </c>
      <c r="DP82">
        <v>1</v>
      </c>
      <c r="DQ82">
        <v>1</v>
      </c>
      <c r="DU82">
        <v>1013</v>
      </c>
      <c r="DV82" t="s">
        <v>162</v>
      </c>
      <c r="DW82" t="s">
        <v>162</v>
      </c>
      <c r="DX82">
        <v>1</v>
      </c>
      <c r="DZ82" t="s">
        <v>3</v>
      </c>
      <c r="EA82" t="s">
        <v>3</v>
      </c>
      <c r="EB82" t="s">
        <v>3</v>
      </c>
      <c r="EC82" t="s">
        <v>3</v>
      </c>
      <c r="EE82">
        <v>140625274</v>
      </c>
      <c r="EF82">
        <v>8</v>
      </c>
      <c r="EG82" t="s">
        <v>84</v>
      </c>
      <c r="EH82">
        <v>0</v>
      </c>
      <c r="EI82" t="s">
        <v>3</v>
      </c>
      <c r="EJ82">
        <v>1</v>
      </c>
      <c r="EK82">
        <v>1100</v>
      </c>
      <c r="EL82" t="s">
        <v>85</v>
      </c>
      <c r="EM82" t="s">
        <v>86</v>
      </c>
      <c r="EO82" t="s">
        <v>3</v>
      </c>
      <c r="EQ82">
        <v>0</v>
      </c>
      <c r="ER82">
        <v>35.78</v>
      </c>
      <c r="ES82">
        <v>35.78</v>
      </c>
      <c r="ET82">
        <v>0</v>
      </c>
      <c r="EU82">
        <v>0</v>
      </c>
      <c r="EV82">
        <v>0</v>
      </c>
      <c r="EW82">
        <v>0</v>
      </c>
      <c r="EX82">
        <v>0</v>
      </c>
      <c r="EY82">
        <v>0</v>
      </c>
      <c r="EZ82">
        <v>5</v>
      </c>
      <c r="FC82">
        <v>1</v>
      </c>
      <c r="FD82">
        <v>18</v>
      </c>
      <c r="FF82">
        <v>340</v>
      </c>
      <c r="FQ82">
        <v>0</v>
      </c>
      <c r="FR82">
        <f t="shared" si="61"/>
        <v>0</v>
      </c>
      <c r="FS82">
        <v>0</v>
      </c>
      <c r="FX82">
        <v>0</v>
      </c>
      <c r="FY82">
        <v>0</v>
      </c>
      <c r="GA82" t="s">
        <v>196</v>
      </c>
      <c r="GD82">
        <v>1</v>
      </c>
      <c r="GF82">
        <v>-787363461</v>
      </c>
      <c r="GG82">
        <v>2</v>
      </c>
      <c r="GH82">
        <v>3</v>
      </c>
      <c r="GI82">
        <v>4</v>
      </c>
      <c r="GJ82">
        <v>0</v>
      </c>
      <c r="GK82">
        <v>0</v>
      </c>
      <c r="GL82">
        <f t="shared" si="62"/>
        <v>0</v>
      </c>
      <c r="GM82">
        <f t="shared" si="63"/>
        <v>109229.18</v>
      </c>
      <c r="GN82">
        <f t="shared" si="64"/>
        <v>109229.18</v>
      </c>
      <c r="GO82">
        <f t="shared" si="65"/>
        <v>0</v>
      </c>
      <c r="GP82">
        <f t="shared" si="66"/>
        <v>0</v>
      </c>
      <c r="GR82">
        <v>1</v>
      </c>
      <c r="GS82">
        <v>1</v>
      </c>
      <c r="GT82">
        <v>0</v>
      </c>
      <c r="GU82" t="s">
        <v>3</v>
      </c>
      <c r="GV82">
        <f t="shared" si="67"/>
        <v>0</v>
      </c>
      <c r="GW82">
        <v>1</v>
      </c>
      <c r="GX82">
        <f t="shared" si="68"/>
        <v>0</v>
      </c>
      <c r="HA82">
        <v>0</v>
      </c>
      <c r="HB82">
        <v>0</v>
      </c>
      <c r="HC82">
        <f t="shared" si="69"/>
        <v>0</v>
      </c>
      <c r="HE82" t="s">
        <v>53</v>
      </c>
      <c r="HF82" t="s">
        <v>32</v>
      </c>
      <c r="HM82" t="s">
        <v>3</v>
      </c>
      <c r="HN82" t="s">
        <v>3</v>
      </c>
      <c r="HO82" t="s">
        <v>3</v>
      </c>
      <c r="HP82" t="s">
        <v>3</v>
      </c>
      <c r="HQ82" t="s">
        <v>3</v>
      </c>
      <c r="IK82">
        <v>0</v>
      </c>
    </row>
    <row r="83" spans="1:245" x14ac:dyDescent="0.2">
      <c r="A83">
        <v>17</v>
      </c>
      <c r="B83">
        <v>1</v>
      </c>
      <c r="E83" t="s">
        <v>197</v>
      </c>
      <c r="F83" t="s">
        <v>156</v>
      </c>
      <c r="G83" t="s">
        <v>198</v>
      </c>
      <c r="H83" t="s">
        <v>162</v>
      </c>
      <c r="I83">
        <v>4</v>
      </c>
      <c r="J83">
        <v>0</v>
      </c>
      <c r="K83">
        <v>4</v>
      </c>
      <c r="O83">
        <f t="shared" si="36"/>
        <v>357.18</v>
      </c>
      <c r="P83">
        <f t="shared" si="37"/>
        <v>357.18</v>
      </c>
      <c r="Q83">
        <f t="shared" si="38"/>
        <v>0</v>
      </c>
      <c r="R83">
        <f t="shared" si="39"/>
        <v>0</v>
      </c>
      <c r="S83">
        <f t="shared" si="40"/>
        <v>0</v>
      </c>
      <c r="T83">
        <f t="shared" si="41"/>
        <v>0</v>
      </c>
      <c r="U83">
        <f t="shared" si="42"/>
        <v>0</v>
      </c>
      <c r="V83">
        <f t="shared" si="43"/>
        <v>0</v>
      </c>
      <c r="W83">
        <f t="shared" si="44"/>
        <v>0</v>
      </c>
      <c r="X83">
        <f t="shared" si="45"/>
        <v>0</v>
      </c>
      <c r="Y83">
        <f t="shared" si="46"/>
        <v>0</v>
      </c>
      <c r="AA83">
        <v>145262827</v>
      </c>
      <c r="AB83">
        <f t="shared" si="47"/>
        <v>10.53</v>
      </c>
      <c r="AC83">
        <f t="shared" si="48"/>
        <v>10.53</v>
      </c>
      <c r="AD83">
        <f t="shared" si="72"/>
        <v>0</v>
      </c>
      <c r="AE83">
        <f t="shared" si="73"/>
        <v>0</v>
      </c>
      <c r="AF83">
        <f t="shared" si="74"/>
        <v>0</v>
      </c>
      <c r="AG83">
        <f t="shared" si="49"/>
        <v>0</v>
      </c>
      <c r="AH83">
        <f t="shared" si="75"/>
        <v>0</v>
      </c>
      <c r="AI83">
        <f t="shared" si="76"/>
        <v>0</v>
      </c>
      <c r="AJ83">
        <f t="shared" si="50"/>
        <v>0</v>
      </c>
      <c r="AK83">
        <v>10.530000000000001</v>
      </c>
      <c r="AL83">
        <v>10.530000000000001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1</v>
      </c>
      <c r="AW83">
        <v>1</v>
      </c>
      <c r="AZ83">
        <v>1</v>
      </c>
      <c r="BA83">
        <v>1</v>
      </c>
      <c r="BB83">
        <v>1</v>
      </c>
      <c r="BC83">
        <v>8.48</v>
      </c>
      <c r="BD83" t="s">
        <v>3</v>
      </c>
      <c r="BE83" t="s">
        <v>3</v>
      </c>
      <c r="BF83" t="s">
        <v>3</v>
      </c>
      <c r="BG83" t="s">
        <v>3</v>
      </c>
      <c r="BH83">
        <v>3</v>
      </c>
      <c r="BI83">
        <v>1</v>
      </c>
      <c r="BJ83" t="s">
        <v>3</v>
      </c>
      <c r="BM83">
        <v>1100</v>
      </c>
      <c r="BN83">
        <v>0</v>
      </c>
      <c r="BO83" t="s">
        <v>3</v>
      </c>
      <c r="BP83">
        <v>0</v>
      </c>
      <c r="BQ83">
        <v>8</v>
      </c>
      <c r="BR83">
        <v>0</v>
      </c>
      <c r="BS83">
        <v>1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</v>
      </c>
      <c r="BZ83">
        <v>0</v>
      </c>
      <c r="CA83">
        <v>0</v>
      </c>
      <c r="CB83" t="s">
        <v>3</v>
      </c>
      <c r="CE83">
        <v>0</v>
      </c>
      <c r="CF83">
        <v>0</v>
      </c>
      <c r="CG83">
        <v>0</v>
      </c>
      <c r="CM83">
        <v>0</v>
      </c>
      <c r="CN83" t="s">
        <v>3</v>
      </c>
      <c r="CO83">
        <v>0</v>
      </c>
      <c r="CP83">
        <f t="shared" si="51"/>
        <v>357.18</v>
      </c>
      <c r="CQ83">
        <f t="shared" si="52"/>
        <v>89.294399999999996</v>
      </c>
      <c r="CR83">
        <f t="shared" si="77"/>
        <v>0</v>
      </c>
      <c r="CS83">
        <f t="shared" si="53"/>
        <v>0</v>
      </c>
      <c r="CT83">
        <f t="shared" si="54"/>
        <v>0</v>
      </c>
      <c r="CU83">
        <f t="shared" si="55"/>
        <v>0</v>
      </c>
      <c r="CV83">
        <f t="shared" si="56"/>
        <v>0</v>
      </c>
      <c r="CW83">
        <f t="shared" si="57"/>
        <v>0</v>
      </c>
      <c r="CX83">
        <f t="shared" si="58"/>
        <v>0</v>
      </c>
      <c r="CY83">
        <f t="shared" si="59"/>
        <v>0</v>
      </c>
      <c r="CZ83">
        <f t="shared" si="60"/>
        <v>0</v>
      </c>
      <c r="DC83" t="s">
        <v>3</v>
      </c>
      <c r="DD83" t="s">
        <v>3</v>
      </c>
      <c r="DE83" t="s">
        <v>3</v>
      </c>
      <c r="DF83" t="s">
        <v>3</v>
      </c>
      <c r="DG83" t="s">
        <v>3</v>
      </c>
      <c r="DH83" t="s">
        <v>3</v>
      </c>
      <c r="DI83" t="s">
        <v>3</v>
      </c>
      <c r="DJ83" t="s">
        <v>3</v>
      </c>
      <c r="DK83" t="s">
        <v>3</v>
      </c>
      <c r="DL83" t="s">
        <v>3</v>
      </c>
      <c r="DM83" t="s">
        <v>3</v>
      </c>
      <c r="DN83">
        <v>0</v>
      </c>
      <c r="DO83">
        <v>0</v>
      </c>
      <c r="DP83">
        <v>1</v>
      </c>
      <c r="DQ83">
        <v>1</v>
      </c>
      <c r="DU83">
        <v>1013</v>
      </c>
      <c r="DV83" t="s">
        <v>162</v>
      </c>
      <c r="DW83" t="s">
        <v>162</v>
      </c>
      <c r="DX83">
        <v>1</v>
      </c>
      <c r="DZ83" t="s">
        <v>3</v>
      </c>
      <c r="EA83" t="s">
        <v>3</v>
      </c>
      <c r="EB83" t="s">
        <v>3</v>
      </c>
      <c r="EC83" t="s">
        <v>3</v>
      </c>
      <c r="EE83">
        <v>140625274</v>
      </c>
      <c r="EF83">
        <v>8</v>
      </c>
      <c r="EG83" t="s">
        <v>84</v>
      </c>
      <c r="EH83">
        <v>0</v>
      </c>
      <c r="EI83" t="s">
        <v>3</v>
      </c>
      <c r="EJ83">
        <v>1</v>
      </c>
      <c r="EK83">
        <v>1100</v>
      </c>
      <c r="EL83" t="s">
        <v>85</v>
      </c>
      <c r="EM83" t="s">
        <v>86</v>
      </c>
      <c r="EO83" t="s">
        <v>3</v>
      </c>
      <c r="EQ83">
        <v>0</v>
      </c>
      <c r="ER83">
        <v>10.530000000000001</v>
      </c>
      <c r="ES83">
        <v>10.530000000000001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EZ83">
        <v>5</v>
      </c>
      <c r="FC83">
        <v>1</v>
      </c>
      <c r="FD83">
        <v>18</v>
      </c>
      <c r="FF83">
        <v>100</v>
      </c>
      <c r="FQ83">
        <v>0</v>
      </c>
      <c r="FR83">
        <f t="shared" si="61"/>
        <v>0</v>
      </c>
      <c r="FS83">
        <v>0</v>
      </c>
      <c r="FX83">
        <v>0</v>
      </c>
      <c r="FY83">
        <v>0</v>
      </c>
      <c r="GA83" t="s">
        <v>199</v>
      </c>
      <c r="GD83">
        <v>1</v>
      </c>
      <c r="GF83">
        <v>-1378858008</v>
      </c>
      <c r="GG83">
        <v>2</v>
      </c>
      <c r="GH83">
        <v>3</v>
      </c>
      <c r="GI83">
        <v>4</v>
      </c>
      <c r="GJ83">
        <v>0</v>
      </c>
      <c r="GK83">
        <v>0</v>
      </c>
      <c r="GL83">
        <f t="shared" si="62"/>
        <v>0</v>
      </c>
      <c r="GM83">
        <f t="shared" si="63"/>
        <v>357.18</v>
      </c>
      <c r="GN83">
        <f t="shared" si="64"/>
        <v>357.18</v>
      </c>
      <c r="GO83">
        <f t="shared" si="65"/>
        <v>0</v>
      </c>
      <c r="GP83">
        <f t="shared" si="66"/>
        <v>0</v>
      </c>
      <c r="GR83">
        <v>1</v>
      </c>
      <c r="GS83">
        <v>1</v>
      </c>
      <c r="GT83">
        <v>0</v>
      </c>
      <c r="GU83" t="s">
        <v>3</v>
      </c>
      <c r="GV83">
        <f t="shared" si="67"/>
        <v>0</v>
      </c>
      <c r="GW83">
        <v>1</v>
      </c>
      <c r="GX83">
        <f t="shared" si="68"/>
        <v>0</v>
      </c>
      <c r="HA83">
        <v>0</v>
      </c>
      <c r="HB83">
        <v>0</v>
      </c>
      <c r="HC83">
        <f t="shared" si="69"/>
        <v>0</v>
      </c>
      <c r="HE83" t="s">
        <v>53</v>
      </c>
      <c r="HF83" t="s">
        <v>32</v>
      </c>
      <c r="HM83" t="s">
        <v>3</v>
      </c>
      <c r="HN83" t="s">
        <v>3</v>
      </c>
      <c r="HO83" t="s">
        <v>3</v>
      </c>
      <c r="HP83" t="s">
        <v>3</v>
      </c>
      <c r="HQ83" t="s">
        <v>3</v>
      </c>
      <c r="IK83">
        <v>0</v>
      </c>
    </row>
    <row r="84" spans="1:245" x14ac:dyDescent="0.2">
      <c r="A84">
        <v>17</v>
      </c>
      <c r="B84">
        <v>1</v>
      </c>
      <c r="E84" t="s">
        <v>200</v>
      </c>
      <c r="F84" t="s">
        <v>156</v>
      </c>
      <c r="G84" t="s">
        <v>201</v>
      </c>
      <c r="H84" t="s">
        <v>162</v>
      </c>
      <c r="I84">
        <v>22</v>
      </c>
      <c r="J84">
        <v>0</v>
      </c>
      <c r="K84">
        <v>22</v>
      </c>
      <c r="O84">
        <f t="shared" si="36"/>
        <v>28372.04</v>
      </c>
      <c r="P84">
        <f t="shared" si="37"/>
        <v>28372.04</v>
      </c>
      <c r="Q84">
        <f t="shared" si="38"/>
        <v>0</v>
      </c>
      <c r="R84">
        <f t="shared" si="39"/>
        <v>0</v>
      </c>
      <c r="S84">
        <f t="shared" si="40"/>
        <v>0</v>
      </c>
      <c r="T84">
        <f t="shared" si="41"/>
        <v>0</v>
      </c>
      <c r="U84">
        <f t="shared" si="42"/>
        <v>0</v>
      </c>
      <c r="V84">
        <f t="shared" si="43"/>
        <v>0</v>
      </c>
      <c r="W84">
        <f t="shared" si="44"/>
        <v>0</v>
      </c>
      <c r="X84">
        <f t="shared" si="45"/>
        <v>0</v>
      </c>
      <c r="Y84">
        <f t="shared" si="46"/>
        <v>0</v>
      </c>
      <c r="AA84">
        <v>145262827</v>
      </c>
      <c r="AB84">
        <f t="shared" si="47"/>
        <v>152.08000000000001</v>
      </c>
      <c r="AC84">
        <f t="shared" si="48"/>
        <v>152.08000000000001</v>
      </c>
      <c r="AD84">
        <f t="shared" si="72"/>
        <v>0</v>
      </c>
      <c r="AE84">
        <f t="shared" si="73"/>
        <v>0</v>
      </c>
      <c r="AF84">
        <f t="shared" si="74"/>
        <v>0</v>
      </c>
      <c r="AG84">
        <f t="shared" si="49"/>
        <v>0</v>
      </c>
      <c r="AH84">
        <f t="shared" si="75"/>
        <v>0</v>
      </c>
      <c r="AI84">
        <f t="shared" si="76"/>
        <v>0</v>
      </c>
      <c r="AJ84">
        <f t="shared" si="50"/>
        <v>0</v>
      </c>
      <c r="AK84">
        <v>152.07999999999998</v>
      </c>
      <c r="AL84">
        <v>152.07999999999998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1</v>
      </c>
      <c r="AW84">
        <v>1</v>
      </c>
      <c r="AZ84">
        <v>1</v>
      </c>
      <c r="BA84">
        <v>1</v>
      </c>
      <c r="BB84">
        <v>1</v>
      </c>
      <c r="BC84">
        <v>8.48</v>
      </c>
      <c r="BD84" t="s">
        <v>3</v>
      </c>
      <c r="BE84" t="s">
        <v>3</v>
      </c>
      <c r="BF84" t="s">
        <v>3</v>
      </c>
      <c r="BG84" t="s">
        <v>3</v>
      </c>
      <c r="BH84">
        <v>3</v>
      </c>
      <c r="BI84">
        <v>1</v>
      </c>
      <c r="BJ84" t="s">
        <v>3</v>
      </c>
      <c r="BM84">
        <v>1100</v>
      </c>
      <c r="BN84">
        <v>0</v>
      </c>
      <c r="BO84" t="s">
        <v>3</v>
      </c>
      <c r="BP84">
        <v>0</v>
      </c>
      <c r="BQ84">
        <v>8</v>
      </c>
      <c r="BR84">
        <v>0</v>
      </c>
      <c r="BS84">
        <v>1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3</v>
      </c>
      <c r="BZ84">
        <v>0</v>
      </c>
      <c r="CA84">
        <v>0</v>
      </c>
      <c r="CB84" t="s">
        <v>3</v>
      </c>
      <c r="CE84">
        <v>0</v>
      </c>
      <c r="CF84">
        <v>0</v>
      </c>
      <c r="CG84">
        <v>0</v>
      </c>
      <c r="CM84">
        <v>0</v>
      </c>
      <c r="CN84" t="s">
        <v>3</v>
      </c>
      <c r="CO84">
        <v>0</v>
      </c>
      <c r="CP84">
        <f t="shared" si="51"/>
        <v>28372.04</v>
      </c>
      <c r="CQ84">
        <f t="shared" si="52"/>
        <v>1289.6384000000003</v>
      </c>
      <c r="CR84">
        <f t="shared" si="77"/>
        <v>0</v>
      </c>
      <c r="CS84">
        <f t="shared" si="53"/>
        <v>0</v>
      </c>
      <c r="CT84">
        <f t="shared" si="54"/>
        <v>0</v>
      </c>
      <c r="CU84">
        <f t="shared" si="55"/>
        <v>0</v>
      </c>
      <c r="CV84">
        <f t="shared" si="56"/>
        <v>0</v>
      </c>
      <c r="CW84">
        <f t="shared" si="57"/>
        <v>0</v>
      </c>
      <c r="CX84">
        <f t="shared" si="58"/>
        <v>0</v>
      </c>
      <c r="CY84">
        <f t="shared" si="59"/>
        <v>0</v>
      </c>
      <c r="CZ84">
        <f t="shared" si="60"/>
        <v>0</v>
      </c>
      <c r="DC84" t="s">
        <v>3</v>
      </c>
      <c r="DD84" t="s">
        <v>3</v>
      </c>
      <c r="DE84" t="s">
        <v>3</v>
      </c>
      <c r="DF84" t="s">
        <v>3</v>
      </c>
      <c r="DG84" t="s">
        <v>3</v>
      </c>
      <c r="DH84" t="s">
        <v>3</v>
      </c>
      <c r="DI84" t="s">
        <v>3</v>
      </c>
      <c r="DJ84" t="s">
        <v>3</v>
      </c>
      <c r="DK84" t="s">
        <v>3</v>
      </c>
      <c r="DL84" t="s">
        <v>3</v>
      </c>
      <c r="DM84" t="s">
        <v>3</v>
      </c>
      <c r="DN84">
        <v>0</v>
      </c>
      <c r="DO84">
        <v>0</v>
      </c>
      <c r="DP84">
        <v>1</v>
      </c>
      <c r="DQ84">
        <v>1</v>
      </c>
      <c r="DU84">
        <v>1013</v>
      </c>
      <c r="DV84" t="s">
        <v>162</v>
      </c>
      <c r="DW84" t="s">
        <v>162</v>
      </c>
      <c r="DX84">
        <v>1</v>
      </c>
      <c r="DZ84" t="s">
        <v>3</v>
      </c>
      <c r="EA84" t="s">
        <v>3</v>
      </c>
      <c r="EB84" t="s">
        <v>3</v>
      </c>
      <c r="EC84" t="s">
        <v>3</v>
      </c>
      <c r="EE84">
        <v>140625274</v>
      </c>
      <c r="EF84">
        <v>8</v>
      </c>
      <c r="EG84" t="s">
        <v>84</v>
      </c>
      <c r="EH84">
        <v>0</v>
      </c>
      <c r="EI84" t="s">
        <v>3</v>
      </c>
      <c r="EJ84">
        <v>1</v>
      </c>
      <c r="EK84">
        <v>1100</v>
      </c>
      <c r="EL84" t="s">
        <v>85</v>
      </c>
      <c r="EM84" t="s">
        <v>86</v>
      </c>
      <c r="EO84" t="s">
        <v>3</v>
      </c>
      <c r="EQ84">
        <v>0</v>
      </c>
      <c r="ER84">
        <v>152.07999999999998</v>
      </c>
      <c r="ES84">
        <v>152.07999999999998</v>
      </c>
      <c r="ET84">
        <v>0</v>
      </c>
      <c r="EU84">
        <v>0</v>
      </c>
      <c r="EV84">
        <v>0</v>
      </c>
      <c r="EW84">
        <v>0</v>
      </c>
      <c r="EX84">
        <v>0</v>
      </c>
      <c r="EY84">
        <v>0</v>
      </c>
      <c r="EZ84">
        <v>5</v>
      </c>
      <c r="FC84">
        <v>1</v>
      </c>
      <c r="FD84">
        <v>18</v>
      </c>
      <c r="FF84">
        <v>1445</v>
      </c>
      <c r="FQ84">
        <v>0</v>
      </c>
      <c r="FR84">
        <f t="shared" si="61"/>
        <v>0</v>
      </c>
      <c r="FS84">
        <v>0</v>
      </c>
      <c r="FX84">
        <v>0</v>
      </c>
      <c r="FY84">
        <v>0</v>
      </c>
      <c r="GA84" t="s">
        <v>202</v>
      </c>
      <c r="GD84">
        <v>1</v>
      </c>
      <c r="GF84">
        <v>1274269279</v>
      </c>
      <c r="GG84">
        <v>2</v>
      </c>
      <c r="GH84">
        <v>3</v>
      </c>
      <c r="GI84">
        <v>4</v>
      </c>
      <c r="GJ84">
        <v>0</v>
      </c>
      <c r="GK84">
        <v>0</v>
      </c>
      <c r="GL84">
        <f t="shared" si="62"/>
        <v>0</v>
      </c>
      <c r="GM84">
        <f t="shared" si="63"/>
        <v>28372.04</v>
      </c>
      <c r="GN84">
        <f t="shared" si="64"/>
        <v>28372.04</v>
      </c>
      <c r="GO84">
        <f t="shared" si="65"/>
        <v>0</v>
      </c>
      <c r="GP84">
        <f t="shared" si="66"/>
        <v>0</v>
      </c>
      <c r="GR84">
        <v>1</v>
      </c>
      <c r="GS84">
        <v>1</v>
      </c>
      <c r="GT84">
        <v>0</v>
      </c>
      <c r="GU84" t="s">
        <v>3</v>
      </c>
      <c r="GV84">
        <f t="shared" si="67"/>
        <v>0</v>
      </c>
      <c r="GW84">
        <v>1</v>
      </c>
      <c r="GX84">
        <f t="shared" si="68"/>
        <v>0</v>
      </c>
      <c r="HA84">
        <v>0</v>
      </c>
      <c r="HB84">
        <v>0</v>
      </c>
      <c r="HC84">
        <f t="shared" si="69"/>
        <v>0</v>
      </c>
      <c r="HE84" t="s">
        <v>53</v>
      </c>
      <c r="HF84" t="s">
        <v>32</v>
      </c>
      <c r="HM84" t="s">
        <v>3</v>
      </c>
      <c r="HN84" t="s">
        <v>3</v>
      </c>
      <c r="HO84" t="s">
        <v>3</v>
      </c>
      <c r="HP84" t="s">
        <v>3</v>
      </c>
      <c r="HQ84" t="s">
        <v>3</v>
      </c>
      <c r="IK84">
        <v>0</v>
      </c>
    </row>
    <row r="85" spans="1:245" x14ac:dyDescent="0.2">
      <c r="A85">
        <v>17</v>
      </c>
      <c r="B85">
        <v>1</v>
      </c>
      <c r="C85">
        <f>ROW(SmtRes!A83)</f>
        <v>83</v>
      </c>
      <c r="D85">
        <f>ROW(EtalonRes!A93)</f>
        <v>93</v>
      </c>
      <c r="E85" t="s">
        <v>203</v>
      </c>
      <c r="F85" t="s">
        <v>204</v>
      </c>
      <c r="G85" t="s">
        <v>205</v>
      </c>
      <c r="H85" t="s">
        <v>206</v>
      </c>
      <c r="I85">
        <f>ROUND(0.5*183/1000,9)</f>
        <v>9.1499999999999998E-2</v>
      </c>
      <c r="J85">
        <v>0</v>
      </c>
      <c r="K85">
        <f>ROUND(0.5*183/1000,9)</f>
        <v>9.1499999999999998E-2</v>
      </c>
      <c r="O85">
        <f t="shared" si="36"/>
        <v>8521.76</v>
      </c>
      <c r="P85">
        <f t="shared" si="37"/>
        <v>395.68</v>
      </c>
      <c r="Q85">
        <f t="shared" si="38"/>
        <v>3232.09</v>
      </c>
      <c r="R85">
        <f t="shared" si="39"/>
        <v>114.67</v>
      </c>
      <c r="S85">
        <f t="shared" si="40"/>
        <v>4893.99</v>
      </c>
      <c r="T85">
        <f t="shared" si="41"/>
        <v>0</v>
      </c>
      <c r="U85">
        <f t="shared" si="42"/>
        <v>17.751000000000001</v>
      </c>
      <c r="V85">
        <f t="shared" si="43"/>
        <v>0.36599999999999999</v>
      </c>
      <c r="W85">
        <f t="shared" si="44"/>
        <v>0</v>
      </c>
      <c r="X85">
        <f t="shared" si="45"/>
        <v>4507.79</v>
      </c>
      <c r="Y85">
        <f t="shared" si="46"/>
        <v>2253.9</v>
      </c>
      <c r="AA85">
        <v>145262827</v>
      </c>
      <c r="AB85">
        <f t="shared" si="47"/>
        <v>5399.82</v>
      </c>
      <c r="AC85">
        <f t="shared" si="48"/>
        <v>509.95</v>
      </c>
      <c r="AD85">
        <f t="shared" si="72"/>
        <v>3066.27</v>
      </c>
      <c r="AE85">
        <f t="shared" si="73"/>
        <v>42.73</v>
      </c>
      <c r="AF85">
        <f t="shared" si="74"/>
        <v>1823.6</v>
      </c>
      <c r="AG85">
        <f t="shared" si="49"/>
        <v>0</v>
      </c>
      <c r="AH85">
        <f t="shared" si="75"/>
        <v>194</v>
      </c>
      <c r="AI85">
        <f t="shared" si="76"/>
        <v>4</v>
      </c>
      <c r="AJ85">
        <f t="shared" si="50"/>
        <v>0</v>
      </c>
      <c r="AK85">
        <v>5399.82</v>
      </c>
      <c r="AL85">
        <v>509.95</v>
      </c>
      <c r="AM85">
        <v>3066.27</v>
      </c>
      <c r="AN85">
        <v>42.73</v>
      </c>
      <c r="AO85">
        <v>1823.6</v>
      </c>
      <c r="AP85">
        <v>0</v>
      </c>
      <c r="AQ85">
        <v>194</v>
      </c>
      <c r="AR85">
        <v>4</v>
      </c>
      <c r="AS85">
        <v>0</v>
      </c>
      <c r="AT85">
        <v>90</v>
      </c>
      <c r="AU85">
        <v>45</v>
      </c>
      <c r="AV85">
        <v>1</v>
      </c>
      <c r="AW85">
        <v>1</v>
      </c>
      <c r="AZ85">
        <v>1</v>
      </c>
      <c r="BA85">
        <v>29.33</v>
      </c>
      <c r="BB85">
        <v>11.52</v>
      </c>
      <c r="BC85">
        <v>8.48</v>
      </c>
      <c r="BD85" t="s">
        <v>3</v>
      </c>
      <c r="BE85" t="s">
        <v>3</v>
      </c>
      <c r="BF85" t="s">
        <v>3</v>
      </c>
      <c r="BG85" t="s">
        <v>3</v>
      </c>
      <c r="BH85">
        <v>0</v>
      </c>
      <c r="BI85">
        <v>2</v>
      </c>
      <c r="BJ85" t="s">
        <v>207</v>
      </c>
      <c r="BM85">
        <v>138001</v>
      </c>
      <c r="BN85">
        <v>0</v>
      </c>
      <c r="BO85" t="s">
        <v>3</v>
      </c>
      <c r="BP85">
        <v>0</v>
      </c>
      <c r="BQ85">
        <v>3</v>
      </c>
      <c r="BR85">
        <v>0</v>
      </c>
      <c r="BS85">
        <v>29.33</v>
      </c>
      <c r="BT85">
        <v>1</v>
      </c>
      <c r="BU85">
        <v>1</v>
      </c>
      <c r="BV85">
        <v>1</v>
      </c>
      <c r="BW85">
        <v>1</v>
      </c>
      <c r="BX85">
        <v>1</v>
      </c>
      <c r="BY85" t="s">
        <v>3</v>
      </c>
      <c r="BZ85">
        <v>90</v>
      </c>
      <c r="CA85">
        <v>45</v>
      </c>
      <c r="CB85" t="s">
        <v>3</v>
      </c>
      <c r="CE85">
        <v>0</v>
      </c>
      <c r="CF85">
        <v>0</v>
      </c>
      <c r="CG85">
        <v>0</v>
      </c>
      <c r="CM85">
        <v>0</v>
      </c>
      <c r="CN85" t="s">
        <v>3</v>
      </c>
      <c r="CO85">
        <v>0</v>
      </c>
      <c r="CP85">
        <f t="shared" si="51"/>
        <v>8521.76</v>
      </c>
      <c r="CQ85">
        <f t="shared" si="52"/>
        <v>4324.3760000000002</v>
      </c>
      <c r="CR85">
        <f t="shared" si="77"/>
        <v>35323.430399999997</v>
      </c>
      <c r="CS85">
        <f t="shared" si="53"/>
        <v>1253.2708999999998</v>
      </c>
      <c r="CT85">
        <f t="shared" si="54"/>
        <v>53486.187999999995</v>
      </c>
      <c r="CU85">
        <f t="shared" si="55"/>
        <v>0</v>
      </c>
      <c r="CV85">
        <f t="shared" si="56"/>
        <v>194</v>
      </c>
      <c r="CW85">
        <f t="shared" si="57"/>
        <v>4</v>
      </c>
      <c r="CX85">
        <f t="shared" si="58"/>
        <v>0</v>
      </c>
      <c r="CY85">
        <f t="shared" si="59"/>
        <v>4507.7939999999999</v>
      </c>
      <c r="CZ85">
        <f t="shared" si="60"/>
        <v>2253.8969999999999</v>
      </c>
      <c r="DC85" t="s">
        <v>3</v>
      </c>
      <c r="DD85" t="s">
        <v>3</v>
      </c>
      <c r="DE85" t="s">
        <v>3</v>
      </c>
      <c r="DF85" t="s">
        <v>3</v>
      </c>
      <c r="DG85" t="s">
        <v>3</v>
      </c>
      <c r="DH85" t="s">
        <v>3</v>
      </c>
      <c r="DI85" t="s">
        <v>3</v>
      </c>
      <c r="DJ85" t="s">
        <v>3</v>
      </c>
      <c r="DK85" t="s">
        <v>3</v>
      </c>
      <c r="DL85" t="s">
        <v>3</v>
      </c>
      <c r="DM85" t="s">
        <v>3</v>
      </c>
      <c r="DN85">
        <v>0</v>
      </c>
      <c r="DO85">
        <v>0</v>
      </c>
      <c r="DP85">
        <v>1</v>
      </c>
      <c r="DQ85">
        <v>1</v>
      </c>
      <c r="DU85">
        <v>1009</v>
      </c>
      <c r="DV85" t="s">
        <v>206</v>
      </c>
      <c r="DW85" t="s">
        <v>206</v>
      </c>
      <c r="DX85">
        <v>1000</v>
      </c>
      <c r="DZ85" t="s">
        <v>3</v>
      </c>
      <c r="EA85" t="s">
        <v>3</v>
      </c>
      <c r="EB85" t="s">
        <v>3</v>
      </c>
      <c r="EC85" t="s">
        <v>3</v>
      </c>
      <c r="EE85">
        <v>140624915</v>
      </c>
      <c r="EF85">
        <v>3</v>
      </c>
      <c r="EG85" t="s">
        <v>208</v>
      </c>
      <c r="EH85">
        <v>80</v>
      </c>
      <c r="EI85" t="s">
        <v>209</v>
      </c>
      <c r="EJ85">
        <v>2</v>
      </c>
      <c r="EK85">
        <v>138001</v>
      </c>
      <c r="EL85" t="s">
        <v>209</v>
      </c>
      <c r="EM85" t="s">
        <v>210</v>
      </c>
      <c r="EO85" t="s">
        <v>3</v>
      </c>
      <c r="EQ85">
        <v>0</v>
      </c>
      <c r="ER85">
        <v>5399.82</v>
      </c>
      <c r="ES85">
        <v>509.95</v>
      </c>
      <c r="ET85">
        <v>3066.27</v>
      </c>
      <c r="EU85">
        <v>42.73</v>
      </c>
      <c r="EV85">
        <v>1823.6</v>
      </c>
      <c r="EW85">
        <v>194</v>
      </c>
      <c r="EX85">
        <v>4</v>
      </c>
      <c r="EY85">
        <v>0</v>
      </c>
      <c r="FQ85">
        <v>0</v>
      </c>
      <c r="FR85">
        <f t="shared" si="61"/>
        <v>0</v>
      </c>
      <c r="FS85">
        <v>0</v>
      </c>
      <c r="FX85">
        <v>90</v>
      </c>
      <c r="FY85">
        <v>45</v>
      </c>
      <c r="GA85" t="s">
        <v>3</v>
      </c>
      <c r="GD85">
        <v>1</v>
      </c>
      <c r="GF85">
        <v>-81504506</v>
      </c>
      <c r="GG85">
        <v>2</v>
      </c>
      <c r="GH85">
        <v>1</v>
      </c>
      <c r="GI85">
        <v>4</v>
      </c>
      <c r="GJ85">
        <v>0</v>
      </c>
      <c r="GK85">
        <v>0</v>
      </c>
      <c r="GL85">
        <f t="shared" si="62"/>
        <v>0</v>
      </c>
      <c r="GM85">
        <f t="shared" si="63"/>
        <v>15283.45</v>
      </c>
      <c r="GN85">
        <f t="shared" si="64"/>
        <v>0</v>
      </c>
      <c r="GO85">
        <f t="shared" si="65"/>
        <v>15283.45</v>
      </c>
      <c r="GP85">
        <f t="shared" si="66"/>
        <v>0</v>
      </c>
      <c r="GR85">
        <v>0</v>
      </c>
      <c r="GS85">
        <v>3</v>
      </c>
      <c r="GT85">
        <v>0</v>
      </c>
      <c r="GU85" t="s">
        <v>3</v>
      </c>
      <c r="GV85">
        <f t="shared" si="67"/>
        <v>0</v>
      </c>
      <c r="GW85">
        <v>1</v>
      </c>
      <c r="GX85">
        <f t="shared" si="68"/>
        <v>0</v>
      </c>
      <c r="HA85">
        <v>0</v>
      </c>
      <c r="HB85">
        <v>0</v>
      </c>
      <c r="HC85">
        <f t="shared" si="69"/>
        <v>0</v>
      </c>
      <c r="HE85" t="s">
        <v>3</v>
      </c>
      <c r="HF85" t="s">
        <v>3</v>
      </c>
      <c r="HM85" t="s">
        <v>3</v>
      </c>
      <c r="HN85" t="s">
        <v>211</v>
      </c>
      <c r="HO85" t="s">
        <v>212</v>
      </c>
      <c r="HP85" t="s">
        <v>209</v>
      </c>
      <c r="HQ85" t="s">
        <v>209</v>
      </c>
      <c r="IK85">
        <v>0</v>
      </c>
    </row>
    <row r="86" spans="1:245" x14ac:dyDescent="0.2">
      <c r="A86">
        <v>17</v>
      </c>
      <c r="B86">
        <v>1</v>
      </c>
      <c r="E86" t="s">
        <v>213</v>
      </c>
      <c r="F86" t="s">
        <v>156</v>
      </c>
      <c r="G86" t="s">
        <v>214</v>
      </c>
      <c r="H86" t="s">
        <v>206</v>
      </c>
      <c r="I86">
        <f>ROUND(ROUND(0.0915*1.064,3),9)</f>
        <v>9.7000000000000003E-2</v>
      </c>
      <c r="J86">
        <v>0</v>
      </c>
      <c r="K86">
        <f>ROUND(ROUND(0.0915*1.064,3),9)</f>
        <v>9.7000000000000003E-2</v>
      </c>
      <c r="O86">
        <f t="shared" si="36"/>
        <v>6669.89</v>
      </c>
      <c r="P86">
        <f t="shared" si="37"/>
        <v>6669.89</v>
      </c>
      <c r="Q86">
        <f t="shared" si="38"/>
        <v>0</v>
      </c>
      <c r="R86">
        <f t="shared" si="39"/>
        <v>0</v>
      </c>
      <c r="S86">
        <f t="shared" si="40"/>
        <v>0</v>
      </c>
      <c r="T86">
        <f t="shared" si="41"/>
        <v>0</v>
      </c>
      <c r="U86">
        <f t="shared" si="42"/>
        <v>0</v>
      </c>
      <c r="V86">
        <f t="shared" si="43"/>
        <v>0</v>
      </c>
      <c r="W86">
        <f t="shared" si="44"/>
        <v>0</v>
      </c>
      <c r="X86">
        <f t="shared" si="45"/>
        <v>0</v>
      </c>
      <c r="Y86">
        <f t="shared" si="46"/>
        <v>0</v>
      </c>
      <c r="AA86">
        <v>145262827</v>
      </c>
      <c r="AB86">
        <f t="shared" si="47"/>
        <v>8108.7</v>
      </c>
      <c r="AC86">
        <f t="shared" si="48"/>
        <v>8108.7</v>
      </c>
      <c r="AD86">
        <f t="shared" si="72"/>
        <v>0</v>
      </c>
      <c r="AE86">
        <f t="shared" si="73"/>
        <v>0</v>
      </c>
      <c r="AF86">
        <f t="shared" si="74"/>
        <v>0</v>
      </c>
      <c r="AG86">
        <f t="shared" si="49"/>
        <v>0</v>
      </c>
      <c r="AH86">
        <f t="shared" si="75"/>
        <v>0</v>
      </c>
      <c r="AI86">
        <f t="shared" si="76"/>
        <v>0</v>
      </c>
      <c r="AJ86">
        <f t="shared" si="50"/>
        <v>0</v>
      </c>
      <c r="AK86">
        <v>8108.7</v>
      </c>
      <c r="AL86">
        <v>8108.7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1</v>
      </c>
      <c r="AW86">
        <v>1</v>
      </c>
      <c r="AZ86">
        <v>1</v>
      </c>
      <c r="BA86">
        <v>1</v>
      </c>
      <c r="BB86">
        <v>1</v>
      </c>
      <c r="BC86">
        <v>8.48</v>
      </c>
      <c r="BD86" t="s">
        <v>3</v>
      </c>
      <c r="BE86" t="s">
        <v>3</v>
      </c>
      <c r="BF86" t="s">
        <v>3</v>
      </c>
      <c r="BG86" t="s">
        <v>3</v>
      </c>
      <c r="BH86">
        <v>3</v>
      </c>
      <c r="BI86">
        <v>1</v>
      </c>
      <c r="BJ86" t="s">
        <v>3</v>
      </c>
      <c r="BM86">
        <v>1100</v>
      </c>
      <c r="BN86">
        <v>0</v>
      </c>
      <c r="BO86" t="s">
        <v>3</v>
      </c>
      <c r="BP86">
        <v>0</v>
      </c>
      <c r="BQ86">
        <v>8</v>
      </c>
      <c r="BR86">
        <v>0</v>
      </c>
      <c r="BS86">
        <v>1</v>
      </c>
      <c r="BT86">
        <v>1</v>
      </c>
      <c r="BU86">
        <v>1</v>
      </c>
      <c r="BV86">
        <v>1</v>
      </c>
      <c r="BW86">
        <v>1</v>
      </c>
      <c r="BX86">
        <v>1</v>
      </c>
      <c r="BY86" t="s">
        <v>3</v>
      </c>
      <c r="BZ86">
        <v>0</v>
      </c>
      <c r="CA86">
        <v>0</v>
      </c>
      <c r="CB86" t="s">
        <v>3</v>
      </c>
      <c r="CE86">
        <v>0</v>
      </c>
      <c r="CF86">
        <v>0</v>
      </c>
      <c r="CG86">
        <v>0</v>
      </c>
      <c r="CM86">
        <v>0</v>
      </c>
      <c r="CN86" t="s">
        <v>3</v>
      </c>
      <c r="CO86">
        <v>0</v>
      </c>
      <c r="CP86">
        <f t="shared" si="51"/>
        <v>6669.89</v>
      </c>
      <c r="CQ86">
        <f t="shared" si="52"/>
        <v>68761.775999999998</v>
      </c>
      <c r="CR86">
        <f t="shared" si="77"/>
        <v>0</v>
      </c>
      <c r="CS86">
        <f t="shared" si="53"/>
        <v>0</v>
      </c>
      <c r="CT86">
        <f t="shared" si="54"/>
        <v>0</v>
      </c>
      <c r="CU86">
        <f t="shared" si="55"/>
        <v>0</v>
      </c>
      <c r="CV86">
        <f t="shared" si="56"/>
        <v>0</v>
      </c>
      <c r="CW86">
        <f t="shared" si="57"/>
        <v>0</v>
      </c>
      <c r="CX86">
        <f t="shared" si="58"/>
        <v>0</v>
      </c>
      <c r="CY86">
        <f t="shared" si="59"/>
        <v>0</v>
      </c>
      <c r="CZ86">
        <f t="shared" si="60"/>
        <v>0</v>
      </c>
      <c r="DC86" t="s">
        <v>3</v>
      </c>
      <c r="DD86" t="s">
        <v>3</v>
      </c>
      <c r="DE86" t="s">
        <v>3</v>
      </c>
      <c r="DF86" t="s">
        <v>3</v>
      </c>
      <c r="DG86" t="s">
        <v>3</v>
      </c>
      <c r="DH86" t="s">
        <v>3</v>
      </c>
      <c r="DI86" t="s">
        <v>3</v>
      </c>
      <c r="DJ86" t="s">
        <v>3</v>
      </c>
      <c r="DK86" t="s">
        <v>3</v>
      </c>
      <c r="DL86" t="s">
        <v>3</v>
      </c>
      <c r="DM86" t="s">
        <v>3</v>
      </c>
      <c r="DN86">
        <v>0</v>
      </c>
      <c r="DO86">
        <v>0</v>
      </c>
      <c r="DP86">
        <v>1</v>
      </c>
      <c r="DQ86">
        <v>1</v>
      </c>
      <c r="DU86">
        <v>1009</v>
      </c>
      <c r="DV86" t="s">
        <v>206</v>
      </c>
      <c r="DW86" t="s">
        <v>206</v>
      </c>
      <c r="DX86">
        <v>1000</v>
      </c>
      <c r="DZ86" t="s">
        <v>3</v>
      </c>
      <c r="EA86" t="s">
        <v>3</v>
      </c>
      <c r="EB86" t="s">
        <v>3</v>
      </c>
      <c r="EC86" t="s">
        <v>3</v>
      </c>
      <c r="EE86">
        <v>140625274</v>
      </c>
      <c r="EF86">
        <v>8</v>
      </c>
      <c r="EG86" t="s">
        <v>84</v>
      </c>
      <c r="EH86">
        <v>0</v>
      </c>
      <c r="EI86" t="s">
        <v>3</v>
      </c>
      <c r="EJ86">
        <v>1</v>
      </c>
      <c r="EK86">
        <v>1100</v>
      </c>
      <c r="EL86" t="s">
        <v>85</v>
      </c>
      <c r="EM86" t="s">
        <v>86</v>
      </c>
      <c r="EO86" t="s">
        <v>3</v>
      </c>
      <c r="EQ86">
        <v>0</v>
      </c>
      <c r="ER86">
        <v>8108.7</v>
      </c>
      <c r="ES86">
        <v>8108.7</v>
      </c>
      <c r="ET86">
        <v>0</v>
      </c>
      <c r="EU86">
        <v>0</v>
      </c>
      <c r="EV86">
        <v>0</v>
      </c>
      <c r="EW86">
        <v>0</v>
      </c>
      <c r="EX86">
        <v>0</v>
      </c>
      <c r="EY86">
        <v>0</v>
      </c>
      <c r="EZ86">
        <v>5</v>
      </c>
      <c r="FC86">
        <v>1</v>
      </c>
      <c r="FD86">
        <v>18</v>
      </c>
      <c r="FF86">
        <v>78000</v>
      </c>
      <c r="FQ86">
        <v>0</v>
      </c>
      <c r="FR86">
        <f t="shared" si="61"/>
        <v>0</v>
      </c>
      <c r="FS86">
        <v>0</v>
      </c>
      <c r="FX86">
        <v>0</v>
      </c>
      <c r="FY86">
        <v>0</v>
      </c>
      <c r="GA86" t="s">
        <v>215</v>
      </c>
      <c r="GD86">
        <v>1</v>
      </c>
      <c r="GF86">
        <v>1409418138</v>
      </c>
      <c r="GG86">
        <v>2</v>
      </c>
      <c r="GH86">
        <v>3</v>
      </c>
      <c r="GI86">
        <v>4</v>
      </c>
      <c r="GJ86">
        <v>0</v>
      </c>
      <c r="GK86">
        <v>0</v>
      </c>
      <c r="GL86">
        <f t="shared" si="62"/>
        <v>0</v>
      </c>
      <c r="GM86">
        <f t="shared" si="63"/>
        <v>6669.89</v>
      </c>
      <c r="GN86">
        <f t="shared" si="64"/>
        <v>6669.89</v>
      </c>
      <c r="GO86">
        <f t="shared" si="65"/>
        <v>0</v>
      </c>
      <c r="GP86">
        <f t="shared" si="66"/>
        <v>0</v>
      </c>
      <c r="GR86">
        <v>1</v>
      </c>
      <c r="GS86">
        <v>1</v>
      </c>
      <c r="GT86">
        <v>0</v>
      </c>
      <c r="GU86" t="s">
        <v>3</v>
      </c>
      <c r="GV86">
        <f t="shared" si="67"/>
        <v>0</v>
      </c>
      <c r="GW86">
        <v>1</v>
      </c>
      <c r="GX86">
        <f t="shared" si="68"/>
        <v>0</v>
      </c>
      <c r="HA86">
        <v>0</v>
      </c>
      <c r="HB86">
        <v>0</v>
      </c>
      <c r="HC86">
        <f t="shared" si="69"/>
        <v>0</v>
      </c>
      <c r="HE86" t="s">
        <v>53</v>
      </c>
      <c r="HF86" t="s">
        <v>216</v>
      </c>
      <c r="HM86" t="s">
        <v>3</v>
      </c>
      <c r="HN86" t="s">
        <v>3</v>
      </c>
      <c r="HO86" t="s">
        <v>3</v>
      </c>
      <c r="HP86" t="s">
        <v>3</v>
      </c>
      <c r="HQ86" t="s">
        <v>3</v>
      </c>
      <c r="IK86">
        <v>0</v>
      </c>
    </row>
    <row r="87" spans="1:245" x14ac:dyDescent="0.2">
      <c r="A87">
        <v>17</v>
      </c>
      <c r="B87">
        <v>1</v>
      </c>
      <c r="C87">
        <f>ROW(SmtRes!A92)</f>
        <v>92</v>
      </c>
      <c r="D87">
        <f>ROW(EtalonRes!A103)</f>
        <v>103</v>
      </c>
      <c r="E87" t="s">
        <v>217</v>
      </c>
      <c r="F87" t="s">
        <v>218</v>
      </c>
      <c r="G87" t="s">
        <v>219</v>
      </c>
      <c r="H87" t="s">
        <v>170</v>
      </c>
      <c r="I87">
        <f>ROUND(665/100,9)</f>
        <v>6.65</v>
      </c>
      <c r="J87">
        <v>0</v>
      </c>
      <c r="K87">
        <f>ROUND(665/100,9)</f>
        <v>6.65</v>
      </c>
      <c r="O87">
        <f t="shared" si="36"/>
        <v>571088.46</v>
      </c>
      <c r="P87">
        <f t="shared" si="37"/>
        <v>477666.18</v>
      </c>
      <c r="Q87">
        <f t="shared" si="38"/>
        <v>2180.46</v>
      </c>
      <c r="R87">
        <f t="shared" si="39"/>
        <v>955.72</v>
      </c>
      <c r="S87">
        <f t="shared" si="40"/>
        <v>91241.82</v>
      </c>
      <c r="T87">
        <f t="shared" si="41"/>
        <v>0</v>
      </c>
      <c r="U87">
        <f t="shared" si="42"/>
        <v>342.98272749999995</v>
      </c>
      <c r="V87">
        <f t="shared" si="43"/>
        <v>2.8262500000000004</v>
      </c>
      <c r="W87">
        <f t="shared" si="44"/>
        <v>0</v>
      </c>
      <c r="X87">
        <f t="shared" si="45"/>
        <v>100495.32</v>
      </c>
      <c r="Y87">
        <f t="shared" si="46"/>
        <v>52552.6</v>
      </c>
      <c r="AA87">
        <v>145262827</v>
      </c>
      <c r="AB87">
        <f t="shared" si="47"/>
        <v>8966.7199999999993</v>
      </c>
      <c r="AC87">
        <f t="shared" si="48"/>
        <v>8470.4599999999991</v>
      </c>
      <c r="AD87">
        <f>ROUND(((((ET87*1.25))-((EU87*1.25)))+AE87),2)</f>
        <v>28.46</v>
      </c>
      <c r="AE87">
        <f>ROUND(((EU87*1.25)),2)</f>
        <v>4.9000000000000004</v>
      </c>
      <c r="AF87">
        <f>ROUND((((EV87*(1+(0.005*(30-15))))*1.15)),2)</f>
        <v>467.8</v>
      </c>
      <c r="AG87">
        <f t="shared" si="49"/>
        <v>0</v>
      </c>
      <c r="AH87">
        <f>(((EW87*(1+(0.005*(30-15))))*1.15))</f>
        <v>51.576349999999991</v>
      </c>
      <c r="AI87">
        <f>((EX87*1.25))</f>
        <v>0.42500000000000004</v>
      </c>
      <c r="AJ87">
        <f t="shared" si="50"/>
        <v>0</v>
      </c>
      <c r="AK87">
        <v>8871.6299999999992</v>
      </c>
      <c r="AL87">
        <v>8470.4599999999991</v>
      </c>
      <c r="AM87">
        <v>22.77</v>
      </c>
      <c r="AN87">
        <v>3.92</v>
      </c>
      <c r="AO87">
        <v>378.4</v>
      </c>
      <c r="AP87">
        <v>0</v>
      </c>
      <c r="AQ87">
        <v>41.72</v>
      </c>
      <c r="AR87">
        <v>0.34</v>
      </c>
      <c r="AS87">
        <v>0</v>
      </c>
      <c r="AT87">
        <v>109</v>
      </c>
      <c r="AU87">
        <v>57</v>
      </c>
      <c r="AV87">
        <v>1</v>
      </c>
      <c r="AW87">
        <v>1</v>
      </c>
      <c r="AZ87">
        <v>1</v>
      </c>
      <c r="BA87">
        <v>29.33</v>
      </c>
      <c r="BB87">
        <v>11.52</v>
      </c>
      <c r="BC87">
        <v>8.48</v>
      </c>
      <c r="BD87" t="s">
        <v>3</v>
      </c>
      <c r="BE87" t="s">
        <v>3</v>
      </c>
      <c r="BF87" t="s">
        <v>3</v>
      </c>
      <c r="BG87" t="s">
        <v>3</v>
      </c>
      <c r="BH87">
        <v>0</v>
      </c>
      <c r="BI87">
        <v>1</v>
      </c>
      <c r="BJ87" t="s">
        <v>220</v>
      </c>
      <c r="BM87">
        <v>12001</v>
      </c>
      <c r="BN87">
        <v>0</v>
      </c>
      <c r="BO87" t="s">
        <v>3</v>
      </c>
      <c r="BP87">
        <v>0</v>
      </c>
      <c r="BQ87">
        <v>2</v>
      </c>
      <c r="BR87">
        <v>0</v>
      </c>
      <c r="BS87">
        <v>29.33</v>
      </c>
      <c r="BT87">
        <v>1</v>
      </c>
      <c r="BU87">
        <v>1</v>
      </c>
      <c r="BV87">
        <v>1</v>
      </c>
      <c r="BW87">
        <v>1</v>
      </c>
      <c r="BX87">
        <v>1</v>
      </c>
      <c r="BY87" t="s">
        <v>3</v>
      </c>
      <c r="BZ87">
        <v>109</v>
      </c>
      <c r="CA87">
        <v>57</v>
      </c>
      <c r="CB87" t="s">
        <v>3</v>
      </c>
      <c r="CE87">
        <v>0</v>
      </c>
      <c r="CF87">
        <v>0</v>
      </c>
      <c r="CG87">
        <v>0</v>
      </c>
      <c r="CM87">
        <v>0</v>
      </c>
      <c r="CN87" t="s">
        <v>598</v>
      </c>
      <c r="CO87">
        <v>0</v>
      </c>
      <c r="CP87">
        <f t="shared" si="51"/>
        <v>571088.46</v>
      </c>
      <c r="CQ87">
        <f t="shared" si="52"/>
        <v>71829.500799999994</v>
      </c>
      <c r="CR87">
        <f>((((ET87*1.25))*BB87-((EU87*1.25))*BS87)+AE87*BS87)</f>
        <v>327.88799999999998</v>
      </c>
      <c r="CS87">
        <f t="shared" si="53"/>
        <v>143.71700000000001</v>
      </c>
      <c r="CT87">
        <f t="shared" si="54"/>
        <v>13720.573999999999</v>
      </c>
      <c r="CU87">
        <f t="shared" si="55"/>
        <v>0</v>
      </c>
      <c r="CV87">
        <f t="shared" si="56"/>
        <v>51.576349999999991</v>
      </c>
      <c r="CW87">
        <f t="shared" si="57"/>
        <v>0.42500000000000004</v>
      </c>
      <c r="CX87">
        <f t="shared" si="58"/>
        <v>0</v>
      </c>
      <c r="CY87">
        <f t="shared" si="59"/>
        <v>100495.31860000001</v>
      </c>
      <c r="CZ87">
        <f t="shared" si="60"/>
        <v>52552.597800000003</v>
      </c>
      <c r="DC87" t="s">
        <v>3</v>
      </c>
      <c r="DD87" t="s">
        <v>3</v>
      </c>
      <c r="DE87" t="s">
        <v>148</v>
      </c>
      <c r="DF87" t="s">
        <v>148</v>
      </c>
      <c r="DG87" t="s">
        <v>172</v>
      </c>
      <c r="DH87" t="s">
        <v>3</v>
      </c>
      <c r="DI87" t="s">
        <v>172</v>
      </c>
      <c r="DJ87" t="s">
        <v>148</v>
      </c>
      <c r="DK87" t="s">
        <v>3</v>
      </c>
      <c r="DL87" t="s">
        <v>3</v>
      </c>
      <c r="DM87" t="s">
        <v>3</v>
      </c>
      <c r="DN87">
        <v>0</v>
      </c>
      <c r="DO87">
        <v>0</v>
      </c>
      <c r="DP87">
        <v>1</v>
      </c>
      <c r="DQ87">
        <v>1</v>
      </c>
      <c r="DU87">
        <v>1003</v>
      </c>
      <c r="DV87" t="s">
        <v>170</v>
      </c>
      <c r="DW87" t="s">
        <v>170</v>
      </c>
      <c r="DX87">
        <v>100</v>
      </c>
      <c r="DZ87" t="s">
        <v>3</v>
      </c>
      <c r="EA87" t="s">
        <v>3</v>
      </c>
      <c r="EB87" t="s">
        <v>3</v>
      </c>
      <c r="EC87" t="s">
        <v>3</v>
      </c>
      <c r="EE87">
        <v>140625032</v>
      </c>
      <c r="EF87">
        <v>2</v>
      </c>
      <c r="EG87" t="s">
        <v>26</v>
      </c>
      <c r="EH87">
        <v>12</v>
      </c>
      <c r="EI87" t="s">
        <v>173</v>
      </c>
      <c r="EJ87">
        <v>1</v>
      </c>
      <c r="EK87">
        <v>12001</v>
      </c>
      <c r="EL87" t="s">
        <v>173</v>
      </c>
      <c r="EM87" t="s">
        <v>174</v>
      </c>
      <c r="EO87" t="s">
        <v>175</v>
      </c>
      <c r="EQ87">
        <v>0</v>
      </c>
      <c r="ER87">
        <v>8871.6299999999992</v>
      </c>
      <c r="ES87">
        <v>8470.4599999999991</v>
      </c>
      <c r="ET87">
        <v>22.77</v>
      </c>
      <c r="EU87">
        <v>3.92</v>
      </c>
      <c r="EV87">
        <v>378.4</v>
      </c>
      <c r="EW87">
        <v>41.72</v>
      </c>
      <c r="EX87">
        <v>0.34</v>
      </c>
      <c r="EY87">
        <v>0</v>
      </c>
      <c r="FQ87">
        <v>0</v>
      </c>
      <c r="FR87">
        <f t="shared" si="61"/>
        <v>0</v>
      </c>
      <c r="FS87">
        <v>0</v>
      </c>
      <c r="FX87">
        <v>109</v>
      </c>
      <c r="FY87">
        <v>57</v>
      </c>
      <c r="GA87" t="s">
        <v>3</v>
      </c>
      <c r="GD87">
        <v>1</v>
      </c>
      <c r="GF87">
        <v>1740794962</v>
      </c>
      <c r="GG87">
        <v>2</v>
      </c>
      <c r="GH87">
        <v>1</v>
      </c>
      <c r="GI87">
        <v>4</v>
      </c>
      <c r="GJ87">
        <v>0</v>
      </c>
      <c r="GK87">
        <v>0</v>
      </c>
      <c r="GL87">
        <f t="shared" si="62"/>
        <v>0</v>
      </c>
      <c r="GM87">
        <f t="shared" si="63"/>
        <v>724136.38</v>
      </c>
      <c r="GN87">
        <f t="shared" si="64"/>
        <v>724136.38</v>
      </c>
      <c r="GO87">
        <f t="shared" si="65"/>
        <v>0</v>
      </c>
      <c r="GP87">
        <f t="shared" si="66"/>
        <v>0</v>
      </c>
      <c r="GR87">
        <v>0</v>
      </c>
      <c r="GS87">
        <v>3</v>
      </c>
      <c r="GT87">
        <v>0</v>
      </c>
      <c r="GU87" t="s">
        <v>3</v>
      </c>
      <c r="GV87">
        <f t="shared" si="67"/>
        <v>0</v>
      </c>
      <c r="GW87">
        <v>1</v>
      </c>
      <c r="GX87">
        <f t="shared" si="68"/>
        <v>0</v>
      </c>
      <c r="HA87">
        <v>0</v>
      </c>
      <c r="HB87">
        <v>0</v>
      </c>
      <c r="HC87">
        <f t="shared" si="69"/>
        <v>0</v>
      </c>
      <c r="HE87" t="s">
        <v>3</v>
      </c>
      <c r="HF87" t="s">
        <v>3</v>
      </c>
      <c r="HM87" t="s">
        <v>3</v>
      </c>
      <c r="HN87" t="s">
        <v>176</v>
      </c>
      <c r="HO87" t="s">
        <v>177</v>
      </c>
      <c r="HP87" t="s">
        <v>173</v>
      </c>
      <c r="HQ87" t="s">
        <v>173</v>
      </c>
      <c r="IK87">
        <v>0</v>
      </c>
    </row>
    <row r="88" spans="1:245" x14ac:dyDescent="0.2">
      <c r="A88">
        <v>18</v>
      </c>
      <c r="B88">
        <v>1</v>
      </c>
      <c r="C88">
        <v>91</v>
      </c>
      <c r="E88" t="s">
        <v>221</v>
      </c>
      <c r="F88" t="s">
        <v>222</v>
      </c>
      <c r="G88" t="s">
        <v>223</v>
      </c>
      <c r="H88" t="s">
        <v>181</v>
      </c>
      <c r="I88">
        <f>I87*J88</f>
        <v>638.4</v>
      </c>
      <c r="J88">
        <v>95.999999999999986</v>
      </c>
      <c r="K88">
        <v>96</v>
      </c>
      <c r="O88">
        <f t="shared" si="36"/>
        <v>0</v>
      </c>
      <c r="P88">
        <f t="shared" si="37"/>
        <v>0</v>
      </c>
      <c r="Q88">
        <f t="shared" si="38"/>
        <v>0</v>
      </c>
      <c r="R88">
        <f t="shared" si="39"/>
        <v>0</v>
      </c>
      <c r="S88">
        <f t="shared" si="40"/>
        <v>0</v>
      </c>
      <c r="T88">
        <f t="shared" si="41"/>
        <v>0</v>
      </c>
      <c r="U88">
        <f t="shared" si="42"/>
        <v>0</v>
      </c>
      <c r="V88">
        <f t="shared" si="43"/>
        <v>0</v>
      </c>
      <c r="W88">
        <f t="shared" si="44"/>
        <v>0</v>
      </c>
      <c r="X88">
        <f t="shared" si="45"/>
        <v>0</v>
      </c>
      <c r="Y88">
        <f t="shared" si="46"/>
        <v>0</v>
      </c>
      <c r="AA88">
        <v>145262827</v>
      </c>
      <c r="AB88">
        <f t="shared" si="47"/>
        <v>0</v>
      </c>
      <c r="AC88">
        <f t="shared" si="48"/>
        <v>0</v>
      </c>
      <c r="AD88">
        <f>ROUND((((ET88)-(EU88))+AE88),2)</f>
        <v>0</v>
      </c>
      <c r="AE88">
        <f t="shared" ref="AE88:AF92" si="78">ROUND((EU88),2)</f>
        <v>0</v>
      </c>
      <c r="AF88">
        <f t="shared" si="78"/>
        <v>0</v>
      </c>
      <c r="AG88">
        <f t="shared" si="49"/>
        <v>0</v>
      </c>
      <c r="AH88">
        <f t="shared" ref="AH88:AI92" si="79">(EW88)</f>
        <v>0</v>
      </c>
      <c r="AI88">
        <f t="shared" si="79"/>
        <v>0</v>
      </c>
      <c r="AJ88">
        <f t="shared" si="50"/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109</v>
      </c>
      <c r="AU88">
        <v>57</v>
      </c>
      <c r="AV88">
        <v>1</v>
      </c>
      <c r="AW88">
        <v>1</v>
      </c>
      <c r="AZ88">
        <v>1</v>
      </c>
      <c r="BA88">
        <v>1</v>
      </c>
      <c r="BB88">
        <v>1</v>
      </c>
      <c r="BC88">
        <v>8.48</v>
      </c>
      <c r="BD88" t="s">
        <v>3</v>
      </c>
      <c r="BE88" t="s">
        <v>3</v>
      </c>
      <c r="BF88" t="s">
        <v>3</v>
      </c>
      <c r="BG88" t="s">
        <v>3</v>
      </c>
      <c r="BH88">
        <v>3</v>
      </c>
      <c r="BI88">
        <v>1</v>
      </c>
      <c r="BJ88" t="s">
        <v>3</v>
      </c>
      <c r="BM88">
        <v>12001</v>
      </c>
      <c r="BN88">
        <v>0</v>
      </c>
      <c r="BO88" t="s">
        <v>3</v>
      </c>
      <c r="BP88">
        <v>0</v>
      </c>
      <c r="BQ88">
        <v>2</v>
      </c>
      <c r="BR88">
        <v>0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 t="s">
        <v>3</v>
      </c>
      <c r="BZ88">
        <v>109</v>
      </c>
      <c r="CA88">
        <v>57</v>
      </c>
      <c r="CB88" t="s">
        <v>3</v>
      </c>
      <c r="CE88">
        <v>0</v>
      </c>
      <c r="CF88">
        <v>0</v>
      </c>
      <c r="CG88">
        <v>0</v>
      </c>
      <c r="CM88">
        <v>0</v>
      </c>
      <c r="CN88" t="s">
        <v>3</v>
      </c>
      <c r="CO88">
        <v>0</v>
      </c>
      <c r="CP88">
        <f t="shared" si="51"/>
        <v>0</v>
      </c>
      <c r="CQ88">
        <f t="shared" si="52"/>
        <v>0</v>
      </c>
      <c r="CR88">
        <f>(((ET88)*BB88-(EU88)*BS88)+AE88*BS88)</f>
        <v>0</v>
      </c>
      <c r="CS88">
        <f t="shared" si="53"/>
        <v>0</v>
      </c>
      <c r="CT88">
        <f t="shared" si="54"/>
        <v>0</v>
      </c>
      <c r="CU88">
        <f t="shared" si="55"/>
        <v>0</v>
      </c>
      <c r="CV88">
        <f t="shared" si="56"/>
        <v>0</v>
      </c>
      <c r="CW88">
        <f t="shared" si="57"/>
        <v>0</v>
      </c>
      <c r="CX88">
        <f t="shared" si="58"/>
        <v>0</v>
      </c>
      <c r="CY88">
        <f t="shared" si="59"/>
        <v>0</v>
      </c>
      <c r="CZ88">
        <f t="shared" si="60"/>
        <v>0</v>
      </c>
      <c r="DC88" t="s">
        <v>3</v>
      </c>
      <c r="DD88" t="s">
        <v>3</v>
      </c>
      <c r="DE88" t="s">
        <v>3</v>
      </c>
      <c r="DF88" t="s">
        <v>3</v>
      </c>
      <c r="DG88" t="s">
        <v>3</v>
      </c>
      <c r="DH88" t="s">
        <v>3</v>
      </c>
      <c r="DI88" t="s">
        <v>3</v>
      </c>
      <c r="DJ88" t="s">
        <v>3</v>
      </c>
      <c r="DK88" t="s">
        <v>3</v>
      </c>
      <c r="DL88" t="s">
        <v>3</v>
      </c>
      <c r="DM88" t="s">
        <v>3</v>
      </c>
      <c r="DN88">
        <v>0</v>
      </c>
      <c r="DO88">
        <v>0</v>
      </c>
      <c r="DP88">
        <v>1</v>
      </c>
      <c r="DQ88">
        <v>1</v>
      </c>
      <c r="DU88">
        <v>1003</v>
      </c>
      <c r="DV88" t="s">
        <v>181</v>
      </c>
      <c r="DW88" t="s">
        <v>181</v>
      </c>
      <c r="DX88">
        <v>1</v>
      </c>
      <c r="DZ88" t="s">
        <v>3</v>
      </c>
      <c r="EA88" t="s">
        <v>3</v>
      </c>
      <c r="EB88" t="s">
        <v>3</v>
      </c>
      <c r="EC88" t="s">
        <v>3</v>
      </c>
      <c r="EE88">
        <v>140625032</v>
      </c>
      <c r="EF88">
        <v>2</v>
      </c>
      <c r="EG88" t="s">
        <v>26</v>
      </c>
      <c r="EH88">
        <v>12</v>
      </c>
      <c r="EI88" t="s">
        <v>173</v>
      </c>
      <c r="EJ88">
        <v>1</v>
      </c>
      <c r="EK88">
        <v>12001</v>
      </c>
      <c r="EL88" t="s">
        <v>173</v>
      </c>
      <c r="EM88" t="s">
        <v>174</v>
      </c>
      <c r="EO88" t="s">
        <v>3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>
        <v>0</v>
      </c>
      <c r="EX88">
        <v>0</v>
      </c>
      <c r="FQ88">
        <v>0</v>
      </c>
      <c r="FR88">
        <f t="shared" si="61"/>
        <v>0</v>
      </c>
      <c r="FS88">
        <v>0</v>
      </c>
      <c r="FX88">
        <v>109</v>
      </c>
      <c r="FY88">
        <v>57</v>
      </c>
      <c r="GA88" t="s">
        <v>3</v>
      </c>
      <c r="GD88">
        <v>1</v>
      </c>
      <c r="GF88">
        <v>-563987739</v>
      </c>
      <c r="GG88">
        <v>2</v>
      </c>
      <c r="GH88">
        <v>1</v>
      </c>
      <c r="GI88">
        <v>4</v>
      </c>
      <c r="GJ88">
        <v>0</v>
      </c>
      <c r="GK88">
        <v>0</v>
      </c>
      <c r="GL88">
        <f t="shared" si="62"/>
        <v>0</v>
      </c>
      <c r="GM88">
        <f t="shared" si="63"/>
        <v>0</v>
      </c>
      <c r="GN88">
        <f t="shared" si="64"/>
        <v>0</v>
      </c>
      <c r="GO88">
        <f t="shared" si="65"/>
        <v>0</v>
      </c>
      <c r="GP88">
        <f t="shared" si="66"/>
        <v>0</v>
      </c>
      <c r="GR88">
        <v>0</v>
      </c>
      <c r="GS88">
        <v>3</v>
      </c>
      <c r="GT88">
        <v>0</v>
      </c>
      <c r="GU88" t="s">
        <v>3</v>
      </c>
      <c r="GV88">
        <f t="shared" si="67"/>
        <v>0</v>
      </c>
      <c r="GW88">
        <v>1</v>
      </c>
      <c r="GX88">
        <f t="shared" si="68"/>
        <v>0</v>
      </c>
      <c r="HA88">
        <v>0</v>
      </c>
      <c r="HB88">
        <v>0</v>
      </c>
      <c r="HC88">
        <f t="shared" si="69"/>
        <v>0</v>
      </c>
      <c r="HE88" t="s">
        <v>3</v>
      </c>
      <c r="HF88" t="s">
        <v>3</v>
      </c>
      <c r="HM88" t="s">
        <v>3</v>
      </c>
      <c r="HN88" t="s">
        <v>176</v>
      </c>
      <c r="HO88" t="s">
        <v>177</v>
      </c>
      <c r="HP88" t="s">
        <v>173</v>
      </c>
      <c r="HQ88" t="s">
        <v>173</v>
      </c>
      <c r="IK88">
        <v>0</v>
      </c>
    </row>
    <row r="89" spans="1:245" x14ac:dyDescent="0.2">
      <c r="A89">
        <v>18</v>
      </c>
      <c r="B89">
        <v>1</v>
      </c>
      <c r="C89">
        <v>92</v>
      </c>
      <c r="E89" t="s">
        <v>224</v>
      </c>
      <c r="F89" t="s">
        <v>225</v>
      </c>
      <c r="G89" t="s">
        <v>226</v>
      </c>
      <c r="H89" t="s">
        <v>162</v>
      </c>
      <c r="I89">
        <f>I87*J89</f>
        <v>-445.55</v>
      </c>
      <c r="J89">
        <v>-67</v>
      </c>
      <c r="K89">
        <v>-67</v>
      </c>
      <c r="O89">
        <f t="shared" si="36"/>
        <v>-476854.7</v>
      </c>
      <c r="P89">
        <f t="shared" si="37"/>
        <v>-476854.7</v>
      </c>
      <c r="Q89">
        <f t="shared" si="38"/>
        <v>0</v>
      </c>
      <c r="R89">
        <f t="shared" si="39"/>
        <v>0</v>
      </c>
      <c r="S89">
        <f t="shared" si="40"/>
        <v>0</v>
      </c>
      <c r="T89">
        <f t="shared" si="41"/>
        <v>0</v>
      </c>
      <c r="U89">
        <f t="shared" si="42"/>
        <v>0</v>
      </c>
      <c r="V89">
        <f t="shared" si="43"/>
        <v>0</v>
      </c>
      <c r="W89">
        <f t="shared" si="44"/>
        <v>0</v>
      </c>
      <c r="X89">
        <f t="shared" si="45"/>
        <v>0</v>
      </c>
      <c r="Y89">
        <f t="shared" si="46"/>
        <v>0</v>
      </c>
      <c r="AA89">
        <v>145262827</v>
      </c>
      <c r="AB89">
        <f t="shared" si="47"/>
        <v>126.21</v>
      </c>
      <c r="AC89">
        <f t="shared" si="48"/>
        <v>126.21</v>
      </c>
      <c r="AD89">
        <f>ROUND((((ET89)-(EU89))+AE89),2)</f>
        <v>0</v>
      </c>
      <c r="AE89">
        <f t="shared" si="78"/>
        <v>0</v>
      </c>
      <c r="AF89">
        <f t="shared" si="78"/>
        <v>0</v>
      </c>
      <c r="AG89">
        <f t="shared" si="49"/>
        <v>0</v>
      </c>
      <c r="AH89">
        <f t="shared" si="79"/>
        <v>0</v>
      </c>
      <c r="AI89">
        <f t="shared" si="79"/>
        <v>0</v>
      </c>
      <c r="AJ89">
        <f t="shared" si="50"/>
        <v>0</v>
      </c>
      <c r="AK89">
        <v>126.21</v>
      </c>
      <c r="AL89">
        <v>126.21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109</v>
      </c>
      <c r="AU89">
        <v>57</v>
      </c>
      <c r="AV89">
        <v>1</v>
      </c>
      <c r="AW89">
        <v>1</v>
      </c>
      <c r="AZ89">
        <v>1</v>
      </c>
      <c r="BA89">
        <v>1</v>
      </c>
      <c r="BB89">
        <v>1</v>
      </c>
      <c r="BC89">
        <v>8.48</v>
      </c>
      <c r="BD89" t="s">
        <v>3</v>
      </c>
      <c r="BE89" t="s">
        <v>3</v>
      </c>
      <c r="BF89" t="s">
        <v>3</v>
      </c>
      <c r="BG89" t="s">
        <v>3</v>
      </c>
      <c r="BH89">
        <v>3</v>
      </c>
      <c r="BI89">
        <v>1</v>
      </c>
      <c r="BJ89" t="s">
        <v>227</v>
      </c>
      <c r="BM89">
        <v>12001</v>
      </c>
      <c r="BN89">
        <v>0</v>
      </c>
      <c r="BO89" t="s">
        <v>3</v>
      </c>
      <c r="BP89">
        <v>0</v>
      </c>
      <c r="BQ89">
        <v>2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</v>
      </c>
      <c r="BZ89">
        <v>109</v>
      </c>
      <c r="CA89">
        <v>57</v>
      </c>
      <c r="CB89" t="s">
        <v>3</v>
      </c>
      <c r="CE89">
        <v>0</v>
      </c>
      <c r="CF89">
        <v>0</v>
      </c>
      <c r="CG89">
        <v>0</v>
      </c>
      <c r="CM89">
        <v>0</v>
      </c>
      <c r="CN89" t="s">
        <v>3</v>
      </c>
      <c r="CO89">
        <v>0</v>
      </c>
      <c r="CP89">
        <f t="shared" si="51"/>
        <v>-476854.7</v>
      </c>
      <c r="CQ89">
        <f t="shared" si="52"/>
        <v>1070.2608</v>
      </c>
      <c r="CR89">
        <f>(((ET89)*BB89-(EU89)*BS89)+AE89*BS89)</f>
        <v>0</v>
      </c>
      <c r="CS89">
        <f t="shared" si="53"/>
        <v>0</v>
      </c>
      <c r="CT89">
        <f t="shared" si="54"/>
        <v>0</v>
      </c>
      <c r="CU89">
        <f t="shared" si="55"/>
        <v>0</v>
      </c>
      <c r="CV89">
        <f t="shared" si="56"/>
        <v>0</v>
      </c>
      <c r="CW89">
        <f t="shared" si="57"/>
        <v>0</v>
      </c>
      <c r="CX89">
        <f t="shared" si="58"/>
        <v>0</v>
      </c>
      <c r="CY89">
        <f t="shared" si="59"/>
        <v>0</v>
      </c>
      <c r="CZ89">
        <f t="shared" si="60"/>
        <v>0</v>
      </c>
      <c r="DC89" t="s">
        <v>3</v>
      </c>
      <c r="DD89" t="s">
        <v>3</v>
      </c>
      <c r="DE89" t="s">
        <v>3</v>
      </c>
      <c r="DF89" t="s">
        <v>3</v>
      </c>
      <c r="DG89" t="s">
        <v>3</v>
      </c>
      <c r="DH89" t="s">
        <v>3</v>
      </c>
      <c r="DI89" t="s">
        <v>3</v>
      </c>
      <c r="DJ89" t="s">
        <v>3</v>
      </c>
      <c r="DK89" t="s">
        <v>3</v>
      </c>
      <c r="DL89" t="s">
        <v>3</v>
      </c>
      <c r="DM89" t="s">
        <v>3</v>
      </c>
      <c r="DN89">
        <v>0</v>
      </c>
      <c r="DO89">
        <v>0</v>
      </c>
      <c r="DP89">
        <v>1</v>
      </c>
      <c r="DQ89">
        <v>1</v>
      </c>
      <c r="DU89">
        <v>1013</v>
      </c>
      <c r="DV89" t="s">
        <v>162</v>
      </c>
      <c r="DW89" t="s">
        <v>162</v>
      </c>
      <c r="DX89">
        <v>1</v>
      </c>
      <c r="DZ89" t="s">
        <v>3</v>
      </c>
      <c r="EA89" t="s">
        <v>3</v>
      </c>
      <c r="EB89" t="s">
        <v>3</v>
      </c>
      <c r="EC89" t="s">
        <v>3</v>
      </c>
      <c r="EE89">
        <v>140625032</v>
      </c>
      <c r="EF89">
        <v>2</v>
      </c>
      <c r="EG89" t="s">
        <v>26</v>
      </c>
      <c r="EH89">
        <v>12</v>
      </c>
      <c r="EI89" t="s">
        <v>173</v>
      </c>
      <c r="EJ89">
        <v>1</v>
      </c>
      <c r="EK89">
        <v>12001</v>
      </c>
      <c r="EL89" t="s">
        <v>173</v>
      </c>
      <c r="EM89" t="s">
        <v>174</v>
      </c>
      <c r="EO89" t="s">
        <v>3</v>
      </c>
      <c r="EQ89">
        <v>0</v>
      </c>
      <c r="ER89">
        <v>126.21</v>
      </c>
      <c r="ES89">
        <v>126.21</v>
      </c>
      <c r="ET89">
        <v>0</v>
      </c>
      <c r="EU89">
        <v>0</v>
      </c>
      <c r="EV89">
        <v>0</v>
      </c>
      <c r="EW89">
        <v>0</v>
      </c>
      <c r="EX89">
        <v>0</v>
      </c>
      <c r="FQ89">
        <v>0</v>
      </c>
      <c r="FR89">
        <f t="shared" si="61"/>
        <v>0</v>
      </c>
      <c r="FS89">
        <v>0</v>
      </c>
      <c r="FX89">
        <v>109</v>
      </c>
      <c r="FY89">
        <v>57</v>
      </c>
      <c r="GA89" t="s">
        <v>3</v>
      </c>
      <c r="GD89">
        <v>1</v>
      </c>
      <c r="GF89">
        <v>1006823780</v>
      </c>
      <c r="GG89">
        <v>2</v>
      </c>
      <c r="GH89">
        <v>1</v>
      </c>
      <c r="GI89">
        <v>4</v>
      </c>
      <c r="GJ89">
        <v>0</v>
      </c>
      <c r="GK89">
        <v>0</v>
      </c>
      <c r="GL89">
        <f t="shared" si="62"/>
        <v>0</v>
      </c>
      <c r="GM89">
        <f t="shared" si="63"/>
        <v>-476854.7</v>
      </c>
      <c r="GN89">
        <f t="shared" si="64"/>
        <v>-476854.7</v>
      </c>
      <c r="GO89">
        <f t="shared" si="65"/>
        <v>0</v>
      </c>
      <c r="GP89">
        <f t="shared" si="66"/>
        <v>0</v>
      </c>
      <c r="GR89">
        <v>0</v>
      </c>
      <c r="GS89">
        <v>3</v>
      </c>
      <c r="GT89">
        <v>0</v>
      </c>
      <c r="GU89" t="s">
        <v>3</v>
      </c>
      <c r="GV89">
        <f t="shared" si="67"/>
        <v>0</v>
      </c>
      <c r="GW89">
        <v>1</v>
      </c>
      <c r="GX89">
        <f t="shared" si="68"/>
        <v>0</v>
      </c>
      <c r="HA89">
        <v>0</v>
      </c>
      <c r="HB89">
        <v>0</v>
      </c>
      <c r="HC89">
        <f t="shared" si="69"/>
        <v>0</v>
      </c>
      <c r="HE89" t="s">
        <v>3</v>
      </c>
      <c r="HF89" t="s">
        <v>3</v>
      </c>
      <c r="HM89" t="s">
        <v>3</v>
      </c>
      <c r="HN89" t="s">
        <v>176</v>
      </c>
      <c r="HO89" t="s">
        <v>177</v>
      </c>
      <c r="HP89" t="s">
        <v>173</v>
      </c>
      <c r="HQ89" t="s">
        <v>173</v>
      </c>
      <c r="IK89">
        <v>0</v>
      </c>
    </row>
    <row r="90" spans="1:245" x14ac:dyDescent="0.2">
      <c r="A90">
        <v>17</v>
      </c>
      <c r="B90">
        <v>1</v>
      </c>
      <c r="E90" t="s">
        <v>228</v>
      </c>
      <c r="F90" t="s">
        <v>156</v>
      </c>
      <c r="G90" t="s">
        <v>229</v>
      </c>
      <c r="H90" t="s">
        <v>162</v>
      </c>
      <c r="I90">
        <v>222</v>
      </c>
      <c r="J90">
        <v>0</v>
      </c>
      <c r="K90">
        <v>222</v>
      </c>
      <c r="O90">
        <f t="shared" si="36"/>
        <v>353657.72</v>
      </c>
      <c r="P90">
        <f t="shared" si="37"/>
        <v>353657.72</v>
      </c>
      <c r="Q90">
        <f t="shared" si="38"/>
        <v>0</v>
      </c>
      <c r="R90">
        <f t="shared" si="39"/>
        <v>0</v>
      </c>
      <c r="S90">
        <f t="shared" si="40"/>
        <v>0</v>
      </c>
      <c r="T90">
        <f t="shared" si="41"/>
        <v>0</v>
      </c>
      <c r="U90">
        <f t="shared" si="42"/>
        <v>0</v>
      </c>
      <c r="V90">
        <f t="shared" si="43"/>
        <v>0</v>
      </c>
      <c r="W90">
        <f t="shared" si="44"/>
        <v>0</v>
      </c>
      <c r="X90">
        <f t="shared" si="45"/>
        <v>0</v>
      </c>
      <c r="Y90">
        <f t="shared" si="46"/>
        <v>0</v>
      </c>
      <c r="AA90">
        <v>145262827</v>
      </c>
      <c r="AB90">
        <f t="shared" si="47"/>
        <v>187.86</v>
      </c>
      <c r="AC90">
        <f t="shared" si="48"/>
        <v>187.86</v>
      </c>
      <c r="AD90">
        <f>ROUND((((ET90)-(EU90))+AE90),2)</f>
        <v>0</v>
      </c>
      <c r="AE90">
        <f t="shared" si="78"/>
        <v>0</v>
      </c>
      <c r="AF90">
        <f t="shared" si="78"/>
        <v>0</v>
      </c>
      <c r="AG90">
        <f t="shared" si="49"/>
        <v>0</v>
      </c>
      <c r="AH90">
        <f t="shared" si="79"/>
        <v>0</v>
      </c>
      <c r="AI90">
        <f t="shared" si="79"/>
        <v>0</v>
      </c>
      <c r="AJ90">
        <f t="shared" si="50"/>
        <v>0</v>
      </c>
      <c r="AK90">
        <v>187.86</v>
      </c>
      <c r="AL90">
        <v>187.86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1</v>
      </c>
      <c r="AW90">
        <v>1</v>
      </c>
      <c r="AZ90">
        <v>1</v>
      </c>
      <c r="BA90">
        <v>1</v>
      </c>
      <c r="BB90">
        <v>1</v>
      </c>
      <c r="BC90">
        <v>8.48</v>
      </c>
      <c r="BD90" t="s">
        <v>3</v>
      </c>
      <c r="BE90" t="s">
        <v>3</v>
      </c>
      <c r="BF90" t="s">
        <v>3</v>
      </c>
      <c r="BG90" t="s">
        <v>3</v>
      </c>
      <c r="BH90">
        <v>3</v>
      </c>
      <c r="BI90">
        <v>1</v>
      </c>
      <c r="BJ90" t="s">
        <v>3</v>
      </c>
      <c r="BM90">
        <v>1100</v>
      </c>
      <c r="BN90">
        <v>0</v>
      </c>
      <c r="BO90" t="s">
        <v>3</v>
      </c>
      <c r="BP90">
        <v>0</v>
      </c>
      <c r="BQ90">
        <v>8</v>
      </c>
      <c r="BR90">
        <v>0</v>
      </c>
      <c r="BS90">
        <v>1</v>
      </c>
      <c r="BT90">
        <v>1</v>
      </c>
      <c r="BU90">
        <v>1</v>
      </c>
      <c r="BV90">
        <v>1</v>
      </c>
      <c r="BW90">
        <v>1</v>
      </c>
      <c r="BX90">
        <v>1</v>
      </c>
      <c r="BY90" t="s">
        <v>3</v>
      </c>
      <c r="BZ90">
        <v>0</v>
      </c>
      <c r="CA90">
        <v>0</v>
      </c>
      <c r="CB90" t="s">
        <v>3</v>
      </c>
      <c r="CE90">
        <v>0</v>
      </c>
      <c r="CF90">
        <v>0</v>
      </c>
      <c r="CG90">
        <v>0</v>
      </c>
      <c r="CM90">
        <v>0</v>
      </c>
      <c r="CN90" t="s">
        <v>3</v>
      </c>
      <c r="CO90">
        <v>0</v>
      </c>
      <c r="CP90">
        <f t="shared" si="51"/>
        <v>353657.72</v>
      </c>
      <c r="CQ90">
        <f t="shared" si="52"/>
        <v>1593.0528000000002</v>
      </c>
      <c r="CR90">
        <f>(((ET90)*BB90-(EU90)*BS90)+AE90*BS90)</f>
        <v>0</v>
      </c>
      <c r="CS90">
        <f t="shared" si="53"/>
        <v>0</v>
      </c>
      <c r="CT90">
        <f t="shared" si="54"/>
        <v>0</v>
      </c>
      <c r="CU90">
        <f t="shared" si="55"/>
        <v>0</v>
      </c>
      <c r="CV90">
        <f t="shared" si="56"/>
        <v>0</v>
      </c>
      <c r="CW90">
        <f t="shared" si="57"/>
        <v>0</v>
      </c>
      <c r="CX90">
        <f t="shared" si="58"/>
        <v>0</v>
      </c>
      <c r="CY90">
        <f t="shared" si="59"/>
        <v>0</v>
      </c>
      <c r="CZ90">
        <f t="shared" si="60"/>
        <v>0</v>
      </c>
      <c r="DC90" t="s">
        <v>3</v>
      </c>
      <c r="DD90" t="s">
        <v>3</v>
      </c>
      <c r="DE90" t="s">
        <v>3</v>
      </c>
      <c r="DF90" t="s">
        <v>3</v>
      </c>
      <c r="DG90" t="s">
        <v>3</v>
      </c>
      <c r="DH90" t="s">
        <v>3</v>
      </c>
      <c r="DI90" t="s">
        <v>3</v>
      </c>
      <c r="DJ90" t="s">
        <v>3</v>
      </c>
      <c r="DK90" t="s">
        <v>3</v>
      </c>
      <c r="DL90" t="s">
        <v>3</v>
      </c>
      <c r="DM90" t="s">
        <v>3</v>
      </c>
      <c r="DN90">
        <v>0</v>
      </c>
      <c r="DO90">
        <v>0</v>
      </c>
      <c r="DP90">
        <v>1</v>
      </c>
      <c r="DQ90">
        <v>1</v>
      </c>
      <c r="DU90">
        <v>1013</v>
      </c>
      <c r="DV90" t="s">
        <v>162</v>
      </c>
      <c r="DW90" t="s">
        <v>162</v>
      </c>
      <c r="DX90">
        <v>1</v>
      </c>
      <c r="DZ90" t="s">
        <v>3</v>
      </c>
      <c r="EA90" t="s">
        <v>3</v>
      </c>
      <c r="EB90" t="s">
        <v>3</v>
      </c>
      <c r="EC90" t="s">
        <v>3</v>
      </c>
      <c r="EE90">
        <v>140625274</v>
      </c>
      <c r="EF90">
        <v>8</v>
      </c>
      <c r="EG90" t="s">
        <v>84</v>
      </c>
      <c r="EH90">
        <v>0</v>
      </c>
      <c r="EI90" t="s">
        <v>3</v>
      </c>
      <c r="EJ90">
        <v>1</v>
      </c>
      <c r="EK90">
        <v>1100</v>
      </c>
      <c r="EL90" t="s">
        <v>85</v>
      </c>
      <c r="EM90" t="s">
        <v>86</v>
      </c>
      <c r="EO90" t="s">
        <v>3</v>
      </c>
      <c r="EQ90">
        <v>131072</v>
      </c>
      <c r="ER90">
        <v>187.86</v>
      </c>
      <c r="ES90">
        <v>187.86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5</v>
      </c>
      <c r="FC90">
        <v>1</v>
      </c>
      <c r="FD90">
        <v>18</v>
      </c>
      <c r="FF90">
        <v>1785</v>
      </c>
      <c r="FQ90">
        <v>0</v>
      </c>
      <c r="FR90">
        <f t="shared" si="61"/>
        <v>0</v>
      </c>
      <c r="FS90">
        <v>0</v>
      </c>
      <c r="FX90">
        <v>0</v>
      </c>
      <c r="FY90">
        <v>0</v>
      </c>
      <c r="GA90" t="s">
        <v>230</v>
      </c>
      <c r="GD90">
        <v>1</v>
      </c>
      <c r="GF90">
        <v>-8168166</v>
      </c>
      <c r="GG90">
        <v>2</v>
      </c>
      <c r="GH90">
        <v>3</v>
      </c>
      <c r="GI90">
        <v>4</v>
      </c>
      <c r="GJ90">
        <v>0</v>
      </c>
      <c r="GK90">
        <v>0</v>
      </c>
      <c r="GL90">
        <f t="shared" si="62"/>
        <v>0</v>
      </c>
      <c r="GM90">
        <f t="shared" si="63"/>
        <v>353657.72</v>
      </c>
      <c r="GN90">
        <f t="shared" si="64"/>
        <v>353657.72</v>
      </c>
      <c r="GO90">
        <f t="shared" si="65"/>
        <v>0</v>
      </c>
      <c r="GP90">
        <f t="shared" si="66"/>
        <v>0</v>
      </c>
      <c r="GR90">
        <v>1</v>
      </c>
      <c r="GS90">
        <v>1</v>
      </c>
      <c r="GT90">
        <v>0</v>
      </c>
      <c r="GU90" t="s">
        <v>3</v>
      </c>
      <c r="GV90">
        <f t="shared" si="67"/>
        <v>0</v>
      </c>
      <c r="GW90">
        <v>1</v>
      </c>
      <c r="GX90">
        <f t="shared" si="68"/>
        <v>0</v>
      </c>
      <c r="HA90">
        <v>0</v>
      </c>
      <c r="HB90">
        <v>0</v>
      </c>
      <c r="HC90">
        <f t="shared" si="69"/>
        <v>0</v>
      </c>
      <c r="HE90" t="s">
        <v>53</v>
      </c>
      <c r="HF90" t="s">
        <v>32</v>
      </c>
      <c r="HM90" t="s">
        <v>3</v>
      </c>
      <c r="HN90" t="s">
        <v>3</v>
      </c>
      <c r="HO90" t="s">
        <v>3</v>
      </c>
      <c r="HP90" t="s">
        <v>3</v>
      </c>
      <c r="HQ90" t="s">
        <v>3</v>
      </c>
      <c r="IK90">
        <v>0</v>
      </c>
    </row>
    <row r="91" spans="1:245" x14ac:dyDescent="0.2">
      <c r="A91">
        <v>17</v>
      </c>
      <c r="B91">
        <v>1</v>
      </c>
      <c r="E91" t="s">
        <v>231</v>
      </c>
      <c r="F91" t="s">
        <v>156</v>
      </c>
      <c r="G91" t="s">
        <v>232</v>
      </c>
      <c r="H91" t="s">
        <v>162</v>
      </c>
      <c r="I91">
        <v>66</v>
      </c>
      <c r="J91">
        <v>0</v>
      </c>
      <c r="K91">
        <v>66</v>
      </c>
      <c r="O91">
        <f t="shared" si="36"/>
        <v>25627.75</v>
      </c>
      <c r="P91">
        <f t="shared" si="37"/>
        <v>25627.75</v>
      </c>
      <c r="Q91">
        <f t="shared" si="38"/>
        <v>0</v>
      </c>
      <c r="R91">
        <f t="shared" si="39"/>
        <v>0</v>
      </c>
      <c r="S91">
        <f t="shared" si="40"/>
        <v>0</v>
      </c>
      <c r="T91">
        <f t="shared" si="41"/>
        <v>0</v>
      </c>
      <c r="U91">
        <f t="shared" si="42"/>
        <v>0</v>
      </c>
      <c r="V91">
        <f t="shared" si="43"/>
        <v>0</v>
      </c>
      <c r="W91">
        <f t="shared" si="44"/>
        <v>0</v>
      </c>
      <c r="X91">
        <f t="shared" si="45"/>
        <v>0</v>
      </c>
      <c r="Y91">
        <f t="shared" si="46"/>
        <v>0</v>
      </c>
      <c r="AA91">
        <v>145262827</v>
      </c>
      <c r="AB91">
        <f t="shared" si="47"/>
        <v>45.79</v>
      </c>
      <c r="AC91">
        <f t="shared" si="48"/>
        <v>45.79</v>
      </c>
      <c r="AD91">
        <f>ROUND((((ET91)-(EU91))+AE91),2)</f>
        <v>0</v>
      </c>
      <c r="AE91">
        <f t="shared" si="78"/>
        <v>0</v>
      </c>
      <c r="AF91">
        <f t="shared" si="78"/>
        <v>0</v>
      </c>
      <c r="AG91">
        <f t="shared" si="49"/>
        <v>0</v>
      </c>
      <c r="AH91">
        <f t="shared" si="79"/>
        <v>0</v>
      </c>
      <c r="AI91">
        <f t="shared" si="79"/>
        <v>0</v>
      </c>
      <c r="AJ91">
        <f t="shared" si="50"/>
        <v>0</v>
      </c>
      <c r="AK91">
        <v>45.79</v>
      </c>
      <c r="AL91">
        <v>45.79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1</v>
      </c>
      <c r="AW91">
        <v>1</v>
      </c>
      <c r="AZ91">
        <v>1</v>
      </c>
      <c r="BA91">
        <v>1</v>
      </c>
      <c r="BB91">
        <v>1</v>
      </c>
      <c r="BC91">
        <v>8.48</v>
      </c>
      <c r="BD91" t="s">
        <v>3</v>
      </c>
      <c r="BE91" t="s">
        <v>3</v>
      </c>
      <c r="BF91" t="s">
        <v>3</v>
      </c>
      <c r="BG91" t="s">
        <v>3</v>
      </c>
      <c r="BH91">
        <v>3</v>
      </c>
      <c r="BI91">
        <v>1</v>
      </c>
      <c r="BJ91" t="s">
        <v>3</v>
      </c>
      <c r="BM91">
        <v>1100</v>
      </c>
      <c r="BN91">
        <v>0</v>
      </c>
      <c r="BO91" t="s">
        <v>3</v>
      </c>
      <c r="BP91">
        <v>0</v>
      </c>
      <c r="BQ91">
        <v>8</v>
      </c>
      <c r="BR91">
        <v>0</v>
      </c>
      <c r="BS91">
        <v>1</v>
      </c>
      <c r="BT91">
        <v>1</v>
      </c>
      <c r="BU91">
        <v>1</v>
      </c>
      <c r="BV91">
        <v>1</v>
      </c>
      <c r="BW91">
        <v>1</v>
      </c>
      <c r="BX91">
        <v>1</v>
      </c>
      <c r="BY91" t="s">
        <v>3</v>
      </c>
      <c r="BZ91">
        <v>0</v>
      </c>
      <c r="CA91">
        <v>0</v>
      </c>
      <c r="CB91" t="s">
        <v>3</v>
      </c>
      <c r="CE91">
        <v>0</v>
      </c>
      <c r="CF91">
        <v>0</v>
      </c>
      <c r="CG91">
        <v>0</v>
      </c>
      <c r="CM91">
        <v>0</v>
      </c>
      <c r="CN91" t="s">
        <v>3</v>
      </c>
      <c r="CO91">
        <v>0</v>
      </c>
      <c r="CP91">
        <f t="shared" si="51"/>
        <v>25627.75</v>
      </c>
      <c r="CQ91">
        <f t="shared" si="52"/>
        <v>388.29919999999998</v>
      </c>
      <c r="CR91">
        <f>(((ET91)*BB91-(EU91)*BS91)+AE91*BS91)</f>
        <v>0</v>
      </c>
      <c r="CS91">
        <f t="shared" si="53"/>
        <v>0</v>
      </c>
      <c r="CT91">
        <f t="shared" si="54"/>
        <v>0</v>
      </c>
      <c r="CU91">
        <f t="shared" si="55"/>
        <v>0</v>
      </c>
      <c r="CV91">
        <f t="shared" si="56"/>
        <v>0</v>
      </c>
      <c r="CW91">
        <f t="shared" si="57"/>
        <v>0</v>
      </c>
      <c r="CX91">
        <f t="shared" si="58"/>
        <v>0</v>
      </c>
      <c r="CY91">
        <f t="shared" si="59"/>
        <v>0</v>
      </c>
      <c r="CZ91">
        <f t="shared" si="60"/>
        <v>0</v>
      </c>
      <c r="DC91" t="s">
        <v>3</v>
      </c>
      <c r="DD91" t="s">
        <v>3</v>
      </c>
      <c r="DE91" t="s">
        <v>3</v>
      </c>
      <c r="DF91" t="s">
        <v>3</v>
      </c>
      <c r="DG91" t="s">
        <v>3</v>
      </c>
      <c r="DH91" t="s">
        <v>3</v>
      </c>
      <c r="DI91" t="s">
        <v>3</v>
      </c>
      <c r="DJ91" t="s">
        <v>3</v>
      </c>
      <c r="DK91" t="s">
        <v>3</v>
      </c>
      <c r="DL91" t="s">
        <v>3</v>
      </c>
      <c r="DM91" t="s">
        <v>3</v>
      </c>
      <c r="DN91">
        <v>0</v>
      </c>
      <c r="DO91">
        <v>0</v>
      </c>
      <c r="DP91">
        <v>1</v>
      </c>
      <c r="DQ91">
        <v>1</v>
      </c>
      <c r="DU91">
        <v>1013</v>
      </c>
      <c r="DV91" t="s">
        <v>162</v>
      </c>
      <c r="DW91" t="s">
        <v>162</v>
      </c>
      <c r="DX91">
        <v>1</v>
      </c>
      <c r="DZ91" t="s">
        <v>3</v>
      </c>
      <c r="EA91" t="s">
        <v>3</v>
      </c>
      <c r="EB91" t="s">
        <v>3</v>
      </c>
      <c r="EC91" t="s">
        <v>3</v>
      </c>
      <c r="EE91">
        <v>140625274</v>
      </c>
      <c r="EF91">
        <v>8</v>
      </c>
      <c r="EG91" t="s">
        <v>84</v>
      </c>
      <c r="EH91">
        <v>0</v>
      </c>
      <c r="EI91" t="s">
        <v>3</v>
      </c>
      <c r="EJ91">
        <v>1</v>
      </c>
      <c r="EK91">
        <v>1100</v>
      </c>
      <c r="EL91" t="s">
        <v>85</v>
      </c>
      <c r="EM91" t="s">
        <v>86</v>
      </c>
      <c r="EO91" t="s">
        <v>3</v>
      </c>
      <c r="EQ91">
        <v>0</v>
      </c>
      <c r="ER91">
        <v>45.79</v>
      </c>
      <c r="ES91">
        <v>45.79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0</v>
      </c>
      <c r="EZ91">
        <v>5</v>
      </c>
      <c r="FC91">
        <v>1</v>
      </c>
      <c r="FD91">
        <v>18</v>
      </c>
      <c r="FF91">
        <v>435</v>
      </c>
      <c r="FQ91">
        <v>0</v>
      </c>
      <c r="FR91">
        <f t="shared" si="61"/>
        <v>0</v>
      </c>
      <c r="FS91">
        <v>0</v>
      </c>
      <c r="FX91">
        <v>0</v>
      </c>
      <c r="FY91">
        <v>0</v>
      </c>
      <c r="GA91" t="s">
        <v>233</v>
      </c>
      <c r="GD91">
        <v>1</v>
      </c>
      <c r="GF91">
        <v>822068674</v>
      </c>
      <c r="GG91">
        <v>2</v>
      </c>
      <c r="GH91">
        <v>3</v>
      </c>
      <c r="GI91">
        <v>4</v>
      </c>
      <c r="GJ91">
        <v>0</v>
      </c>
      <c r="GK91">
        <v>0</v>
      </c>
      <c r="GL91">
        <f t="shared" si="62"/>
        <v>0</v>
      </c>
      <c r="GM91">
        <f t="shared" si="63"/>
        <v>25627.75</v>
      </c>
      <c r="GN91">
        <f t="shared" si="64"/>
        <v>25627.75</v>
      </c>
      <c r="GO91">
        <f t="shared" si="65"/>
        <v>0</v>
      </c>
      <c r="GP91">
        <f t="shared" si="66"/>
        <v>0</v>
      </c>
      <c r="GR91">
        <v>1</v>
      </c>
      <c r="GS91">
        <v>1</v>
      </c>
      <c r="GT91">
        <v>0</v>
      </c>
      <c r="GU91" t="s">
        <v>3</v>
      </c>
      <c r="GV91">
        <f t="shared" si="67"/>
        <v>0</v>
      </c>
      <c r="GW91">
        <v>1</v>
      </c>
      <c r="GX91">
        <f t="shared" si="68"/>
        <v>0</v>
      </c>
      <c r="HA91">
        <v>0</v>
      </c>
      <c r="HB91">
        <v>0</v>
      </c>
      <c r="HC91">
        <f t="shared" si="69"/>
        <v>0</v>
      </c>
      <c r="HE91" t="s">
        <v>53</v>
      </c>
      <c r="HF91" t="s">
        <v>32</v>
      </c>
      <c r="HM91" t="s">
        <v>3</v>
      </c>
      <c r="HN91" t="s">
        <v>3</v>
      </c>
      <c r="HO91" t="s">
        <v>3</v>
      </c>
      <c r="HP91" t="s">
        <v>3</v>
      </c>
      <c r="HQ91" t="s">
        <v>3</v>
      </c>
      <c r="IK91">
        <v>0</v>
      </c>
    </row>
    <row r="92" spans="1:245" x14ac:dyDescent="0.2">
      <c r="A92">
        <v>17</v>
      </c>
      <c r="B92">
        <v>1</v>
      </c>
      <c r="E92" t="s">
        <v>234</v>
      </c>
      <c r="F92" t="s">
        <v>156</v>
      </c>
      <c r="G92" t="s">
        <v>235</v>
      </c>
      <c r="H92" t="s">
        <v>162</v>
      </c>
      <c r="I92">
        <v>222</v>
      </c>
      <c r="J92">
        <v>0</v>
      </c>
      <c r="K92">
        <v>222</v>
      </c>
      <c r="O92">
        <f t="shared" si="36"/>
        <v>54481.29</v>
      </c>
      <c r="P92">
        <f t="shared" si="37"/>
        <v>54481.29</v>
      </c>
      <c r="Q92">
        <f t="shared" si="38"/>
        <v>0</v>
      </c>
      <c r="R92">
        <f t="shared" si="39"/>
        <v>0</v>
      </c>
      <c r="S92">
        <f t="shared" si="40"/>
        <v>0</v>
      </c>
      <c r="T92">
        <f t="shared" si="41"/>
        <v>0</v>
      </c>
      <c r="U92">
        <f t="shared" si="42"/>
        <v>0</v>
      </c>
      <c r="V92">
        <f t="shared" si="43"/>
        <v>0</v>
      </c>
      <c r="W92">
        <f t="shared" si="44"/>
        <v>0</v>
      </c>
      <c r="X92">
        <f t="shared" si="45"/>
        <v>0</v>
      </c>
      <c r="Y92">
        <f t="shared" si="46"/>
        <v>0</v>
      </c>
      <c r="AA92">
        <v>145262827</v>
      </c>
      <c r="AB92">
        <f t="shared" si="47"/>
        <v>28.94</v>
      </c>
      <c r="AC92">
        <f t="shared" si="48"/>
        <v>28.94</v>
      </c>
      <c r="AD92">
        <f>ROUND((((ET92)-(EU92))+AE92),2)</f>
        <v>0</v>
      </c>
      <c r="AE92">
        <f t="shared" si="78"/>
        <v>0</v>
      </c>
      <c r="AF92">
        <f t="shared" si="78"/>
        <v>0</v>
      </c>
      <c r="AG92">
        <f t="shared" si="49"/>
        <v>0</v>
      </c>
      <c r="AH92">
        <f t="shared" si="79"/>
        <v>0</v>
      </c>
      <c r="AI92">
        <f t="shared" si="79"/>
        <v>0</v>
      </c>
      <c r="AJ92">
        <f t="shared" si="50"/>
        <v>0</v>
      </c>
      <c r="AK92">
        <v>28.94</v>
      </c>
      <c r="AL92">
        <v>28.94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1</v>
      </c>
      <c r="AW92">
        <v>1</v>
      </c>
      <c r="AZ92">
        <v>1</v>
      </c>
      <c r="BA92">
        <v>1</v>
      </c>
      <c r="BB92">
        <v>1</v>
      </c>
      <c r="BC92">
        <v>8.48</v>
      </c>
      <c r="BD92" t="s">
        <v>3</v>
      </c>
      <c r="BE92" t="s">
        <v>3</v>
      </c>
      <c r="BF92" t="s">
        <v>3</v>
      </c>
      <c r="BG92" t="s">
        <v>3</v>
      </c>
      <c r="BH92">
        <v>3</v>
      </c>
      <c r="BI92">
        <v>1</v>
      </c>
      <c r="BJ92" t="s">
        <v>3</v>
      </c>
      <c r="BM92">
        <v>1100</v>
      </c>
      <c r="BN92">
        <v>0</v>
      </c>
      <c r="BO92" t="s">
        <v>3</v>
      </c>
      <c r="BP92">
        <v>0</v>
      </c>
      <c r="BQ92">
        <v>8</v>
      </c>
      <c r="BR92">
        <v>0</v>
      </c>
      <c r="BS92">
        <v>1</v>
      </c>
      <c r="BT92">
        <v>1</v>
      </c>
      <c r="BU92">
        <v>1</v>
      </c>
      <c r="BV92">
        <v>1</v>
      </c>
      <c r="BW92">
        <v>1</v>
      </c>
      <c r="BX92">
        <v>1</v>
      </c>
      <c r="BY92" t="s">
        <v>3</v>
      </c>
      <c r="BZ92">
        <v>0</v>
      </c>
      <c r="CA92">
        <v>0</v>
      </c>
      <c r="CB92" t="s">
        <v>3</v>
      </c>
      <c r="CE92">
        <v>0</v>
      </c>
      <c r="CF92">
        <v>0</v>
      </c>
      <c r="CG92">
        <v>0</v>
      </c>
      <c r="CM92">
        <v>0</v>
      </c>
      <c r="CN92" t="s">
        <v>3</v>
      </c>
      <c r="CO92">
        <v>0</v>
      </c>
      <c r="CP92">
        <f t="shared" si="51"/>
        <v>54481.29</v>
      </c>
      <c r="CQ92">
        <f t="shared" si="52"/>
        <v>245.41120000000004</v>
      </c>
      <c r="CR92">
        <f>(((ET92)*BB92-(EU92)*BS92)+AE92*BS92)</f>
        <v>0</v>
      </c>
      <c r="CS92">
        <f t="shared" si="53"/>
        <v>0</v>
      </c>
      <c r="CT92">
        <f t="shared" si="54"/>
        <v>0</v>
      </c>
      <c r="CU92">
        <f t="shared" si="55"/>
        <v>0</v>
      </c>
      <c r="CV92">
        <f t="shared" si="56"/>
        <v>0</v>
      </c>
      <c r="CW92">
        <f t="shared" si="57"/>
        <v>0</v>
      </c>
      <c r="CX92">
        <f t="shared" si="58"/>
        <v>0</v>
      </c>
      <c r="CY92">
        <f t="shared" si="59"/>
        <v>0</v>
      </c>
      <c r="CZ92">
        <f t="shared" si="60"/>
        <v>0</v>
      </c>
      <c r="DC92" t="s">
        <v>3</v>
      </c>
      <c r="DD92" t="s">
        <v>3</v>
      </c>
      <c r="DE92" t="s">
        <v>3</v>
      </c>
      <c r="DF92" t="s">
        <v>3</v>
      </c>
      <c r="DG92" t="s">
        <v>3</v>
      </c>
      <c r="DH92" t="s">
        <v>3</v>
      </c>
      <c r="DI92" t="s">
        <v>3</v>
      </c>
      <c r="DJ92" t="s">
        <v>3</v>
      </c>
      <c r="DK92" t="s">
        <v>3</v>
      </c>
      <c r="DL92" t="s">
        <v>3</v>
      </c>
      <c r="DM92" t="s">
        <v>3</v>
      </c>
      <c r="DN92">
        <v>0</v>
      </c>
      <c r="DO92">
        <v>0</v>
      </c>
      <c r="DP92">
        <v>1</v>
      </c>
      <c r="DQ92">
        <v>1</v>
      </c>
      <c r="DU92">
        <v>1013</v>
      </c>
      <c r="DV92" t="s">
        <v>162</v>
      </c>
      <c r="DW92" t="s">
        <v>162</v>
      </c>
      <c r="DX92">
        <v>1</v>
      </c>
      <c r="DZ92" t="s">
        <v>3</v>
      </c>
      <c r="EA92" t="s">
        <v>3</v>
      </c>
      <c r="EB92" t="s">
        <v>3</v>
      </c>
      <c r="EC92" t="s">
        <v>3</v>
      </c>
      <c r="EE92">
        <v>140625274</v>
      </c>
      <c r="EF92">
        <v>8</v>
      </c>
      <c r="EG92" t="s">
        <v>84</v>
      </c>
      <c r="EH92">
        <v>0</v>
      </c>
      <c r="EI92" t="s">
        <v>3</v>
      </c>
      <c r="EJ92">
        <v>1</v>
      </c>
      <c r="EK92">
        <v>1100</v>
      </c>
      <c r="EL92" t="s">
        <v>85</v>
      </c>
      <c r="EM92" t="s">
        <v>86</v>
      </c>
      <c r="EO92" t="s">
        <v>3</v>
      </c>
      <c r="EQ92">
        <v>0</v>
      </c>
      <c r="ER92">
        <v>28.94</v>
      </c>
      <c r="ES92">
        <v>28.94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5</v>
      </c>
      <c r="FC92">
        <v>1</v>
      </c>
      <c r="FD92">
        <v>18</v>
      </c>
      <c r="FF92">
        <v>275</v>
      </c>
      <c r="FQ92">
        <v>0</v>
      </c>
      <c r="FR92">
        <f t="shared" si="61"/>
        <v>0</v>
      </c>
      <c r="FS92">
        <v>0</v>
      </c>
      <c r="FX92">
        <v>0</v>
      </c>
      <c r="FY92">
        <v>0</v>
      </c>
      <c r="GA92" t="s">
        <v>236</v>
      </c>
      <c r="GD92">
        <v>1</v>
      </c>
      <c r="GF92">
        <v>-1452867276</v>
      </c>
      <c r="GG92">
        <v>2</v>
      </c>
      <c r="GH92">
        <v>3</v>
      </c>
      <c r="GI92">
        <v>4</v>
      </c>
      <c r="GJ92">
        <v>0</v>
      </c>
      <c r="GK92">
        <v>0</v>
      </c>
      <c r="GL92">
        <f t="shared" si="62"/>
        <v>0</v>
      </c>
      <c r="GM92">
        <f t="shared" si="63"/>
        <v>54481.29</v>
      </c>
      <c r="GN92">
        <f t="shared" si="64"/>
        <v>54481.29</v>
      </c>
      <c r="GO92">
        <f t="shared" si="65"/>
        <v>0</v>
      </c>
      <c r="GP92">
        <f t="shared" si="66"/>
        <v>0</v>
      </c>
      <c r="GR92">
        <v>1</v>
      </c>
      <c r="GS92">
        <v>1</v>
      </c>
      <c r="GT92">
        <v>0</v>
      </c>
      <c r="GU92" t="s">
        <v>3</v>
      </c>
      <c r="GV92">
        <f t="shared" si="67"/>
        <v>0</v>
      </c>
      <c r="GW92">
        <v>1</v>
      </c>
      <c r="GX92">
        <f t="shared" si="68"/>
        <v>0</v>
      </c>
      <c r="HA92">
        <v>0</v>
      </c>
      <c r="HB92">
        <v>0</v>
      </c>
      <c r="HC92">
        <f t="shared" si="69"/>
        <v>0</v>
      </c>
      <c r="HE92" t="s">
        <v>53</v>
      </c>
      <c r="HF92" t="s">
        <v>32</v>
      </c>
      <c r="HM92" t="s">
        <v>3</v>
      </c>
      <c r="HN92" t="s">
        <v>3</v>
      </c>
      <c r="HO92" t="s">
        <v>3</v>
      </c>
      <c r="HP92" t="s">
        <v>3</v>
      </c>
      <c r="HQ92" t="s">
        <v>3</v>
      </c>
      <c r="IK92">
        <v>0</v>
      </c>
    </row>
    <row r="93" spans="1:245" x14ac:dyDescent="0.2">
      <c r="A93">
        <v>17</v>
      </c>
      <c r="B93">
        <v>1</v>
      </c>
      <c r="C93">
        <f>ROW(SmtRes!A99)</f>
        <v>99</v>
      </c>
      <c r="D93">
        <f>ROW(EtalonRes!A110)</f>
        <v>110</v>
      </c>
      <c r="E93" t="s">
        <v>237</v>
      </c>
      <c r="F93" t="s">
        <v>238</v>
      </c>
      <c r="G93" t="s">
        <v>239</v>
      </c>
      <c r="H93" t="s">
        <v>24</v>
      </c>
      <c r="I93">
        <f>ROUND(ROUND((0.84*151.8+0.23*200+0.48*104.5)/100,4),9)</f>
        <v>2.2366999999999999</v>
      </c>
      <c r="J93">
        <v>0</v>
      </c>
      <c r="K93">
        <f>ROUND(ROUND((0.84*151.8+0.23*200+0.48*104.5)/100,4),9)</f>
        <v>2.2366999999999999</v>
      </c>
      <c r="O93">
        <f t="shared" si="36"/>
        <v>67947.360000000001</v>
      </c>
      <c r="P93">
        <f t="shared" si="37"/>
        <v>0</v>
      </c>
      <c r="Q93">
        <f t="shared" si="38"/>
        <v>704.89</v>
      </c>
      <c r="R93">
        <f t="shared" si="39"/>
        <v>287.99</v>
      </c>
      <c r="S93">
        <f t="shared" si="40"/>
        <v>67242.47</v>
      </c>
      <c r="T93">
        <f t="shared" si="41"/>
        <v>0</v>
      </c>
      <c r="U93">
        <f t="shared" si="42"/>
        <v>268.76970044999996</v>
      </c>
      <c r="V93">
        <f t="shared" si="43"/>
        <v>0.75488624999999998</v>
      </c>
      <c r="W93">
        <f t="shared" si="44"/>
        <v>0</v>
      </c>
      <c r="X93">
        <f t="shared" si="45"/>
        <v>73608.2</v>
      </c>
      <c r="Y93">
        <f t="shared" si="46"/>
        <v>38492.36</v>
      </c>
      <c r="AA93">
        <v>145262827</v>
      </c>
      <c r="AB93">
        <f t="shared" si="47"/>
        <v>1052.3499999999999</v>
      </c>
      <c r="AC93">
        <f>ROUND(((ES93*0)),2)</f>
        <v>0</v>
      </c>
      <c r="AD93">
        <f>ROUND(((((ET93*1.25))-((EU93*1.25)))+AE93),2)</f>
        <v>27.35</v>
      </c>
      <c r="AE93">
        <f>ROUND(((EU93*1.25)),2)</f>
        <v>4.3899999999999997</v>
      </c>
      <c r="AF93">
        <f>ROUND((((EV93*(1+(0.005*(30-15))))*1.15)),2)</f>
        <v>1025</v>
      </c>
      <c r="AG93">
        <f t="shared" si="49"/>
        <v>0</v>
      </c>
      <c r="AH93">
        <f>(((EW93*(1+(0.005*(30-15))))*1.15))</f>
        <v>120.16349999999998</v>
      </c>
      <c r="AI93">
        <f>((EX93*1.25))</f>
        <v>0.33750000000000002</v>
      </c>
      <c r="AJ93">
        <f t="shared" si="50"/>
        <v>0</v>
      </c>
      <c r="AK93">
        <v>7367.18</v>
      </c>
      <c r="AL93">
        <v>6516.18</v>
      </c>
      <c r="AM93">
        <v>21.88</v>
      </c>
      <c r="AN93">
        <v>3.51</v>
      </c>
      <c r="AO93">
        <v>829.12</v>
      </c>
      <c r="AP93">
        <v>0</v>
      </c>
      <c r="AQ93">
        <v>97.2</v>
      </c>
      <c r="AR93">
        <v>0.27</v>
      </c>
      <c r="AS93">
        <v>0</v>
      </c>
      <c r="AT93">
        <v>109</v>
      </c>
      <c r="AU93">
        <v>57</v>
      </c>
      <c r="AV93">
        <v>1</v>
      </c>
      <c r="AW93">
        <v>1</v>
      </c>
      <c r="AZ93">
        <v>1</v>
      </c>
      <c r="BA93">
        <v>29.33</v>
      </c>
      <c r="BB93">
        <v>11.52</v>
      </c>
      <c r="BC93">
        <v>8.48</v>
      </c>
      <c r="BD93" t="s">
        <v>3</v>
      </c>
      <c r="BE93" t="s">
        <v>3</v>
      </c>
      <c r="BF93" t="s">
        <v>3</v>
      </c>
      <c r="BG93" t="s">
        <v>3</v>
      </c>
      <c r="BH93">
        <v>0</v>
      </c>
      <c r="BI93">
        <v>1</v>
      </c>
      <c r="BJ93" t="s">
        <v>240</v>
      </c>
      <c r="BM93">
        <v>12001</v>
      </c>
      <c r="BN93">
        <v>0</v>
      </c>
      <c r="BO93" t="s">
        <v>3</v>
      </c>
      <c r="BP93">
        <v>0</v>
      </c>
      <c r="BQ93">
        <v>2</v>
      </c>
      <c r="BR93">
        <v>0</v>
      </c>
      <c r="BS93">
        <v>29.33</v>
      </c>
      <c r="BT93">
        <v>1</v>
      </c>
      <c r="BU93">
        <v>1</v>
      </c>
      <c r="BV93">
        <v>1</v>
      </c>
      <c r="BW93">
        <v>1</v>
      </c>
      <c r="BX93">
        <v>1</v>
      </c>
      <c r="BY93" t="s">
        <v>3</v>
      </c>
      <c r="BZ93">
        <v>109</v>
      </c>
      <c r="CA93">
        <v>57</v>
      </c>
      <c r="CB93" t="s">
        <v>3</v>
      </c>
      <c r="CE93">
        <v>0</v>
      </c>
      <c r="CF93">
        <v>0</v>
      </c>
      <c r="CG93">
        <v>0</v>
      </c>
      <c r="CM93">
        <v>0</v>
      </c>
      <c r="CN93" t="s">
        <v>599</v>
      </c>
      <c r="CO93">
        <v>0</v>
      </c>
      <c r="CP93">
        <f t="shared" si="51"/>
        <v>67947.360000000001</v>
      </c>
      <c r="CQ93">
        <f t="shared" si="52"/>
        <v>0</v>
      </c>
      <c r="CR93">
        <f>((((ET93*1.25))*BB93-((EU93*1.25))*BS93)+AE93*BS93)</f>
        <v>315.14532499999996</v>
      </c>
      <c r="CS93">
        <f t="shared" si="53"/>
        <v>128.75869999999998</v>
      </c>
      <c r="CT93">
        <f t="shared" si="54"/>
        <v>30063.25</v>
      </c>
      <c r="CU93">
        <f t="shared" si="55"/>
        <v>0</v>
      </c>
      <c r="CV93">
        <f t="shared" si="56"/>
        <v>120.16349999999998</v>
      </c>
      <c r="CW93">
        <f t="shared" si="57"/>
        <v>0.33750000000000002</v>
      </c>
      <c r="CX93">
        <f t="shared" si="58"/>
        <v>0</v>
      </c>
      <c r="CY93">
        <f t="shared" si="59"/>
        <v>73608.201400000005</v>
      </c>
      <c r="CZ93">
        <f t="shared" si="60"/>
        <v>38492.362200000003</v>
      </c>
      <c r="DC93" t="s">
        <v>3</v>
      </c>
      <c r="DD93" t="s">
        <v>241</v>
      </c>
      <c r="DE93" t="s">
        <v>148</v>
      </c>
      <c r="DF93" t="s">
        <v>148</v>
      </c>
      <c r="DG93" t="s">
        <v>172</v>
      </c>
      <c r="DH93" t="s">
        <v>3</v>
      </c>
      <c r="DI93" t="s">
        <v>172</v>
      </c>
      <c r="DJ93" t="s">
        <v>148</v>
      </c>
      <c r="DK93" t="s">
        <v>3</v>
      </c>
      <c r="DL93" t="s">
        <v>3</v>
      </c>
      <c r="DM93" t="s">
        <v>3</v>
      </c>
      <c r="DN93">
        <v>0</v>
      </c>
      <c r="DO93">
        <v>0</v>
      </c>
      <c r="DP93">
        <v>1</v>
      </c>
      <c r="DQ93">
        <v>1</v>
      </c>
      <c r="DU93">
        <v>1005</v>
      </c>
      <c r="DV93" t="s">
        <v>24</v>
      </c>
      <c r="DW93" t="s">
        <v>24</v>
      </c>
      <c r="DX93">
        <v>100</v>
      </c>
      <c r="DZ93" t="s">
        <v>3</v>
      </c>
      <c r="EA93" t="s">
        <v>3</v>
      </c>
      <c r="EB93" t="s">
        <v>3</v>
      </c>
      <c r="EC93" t="s">
        <v>3</v>
      </c>
      <c r="EE93">
        <v>140625032</v>
      </c>
      <c r="EF93">
        <v>2</v>
      </c>
      <c r="EG93" t="s">
        <v>26</v>
      </c>
      <c r="EH93">
        <v>12</v>
      </c>
      <c r="EI93" t="s">
        <v>173</v>
      </c>
      <c r="EJ93">
        <v>1</v>
      </c>
      <c r="EK93">
        <v>12001</v>
      </c>
      <c r="EL93" t="s">
        <v>173</v>
      </c>
      <c r="EM93" t="s">
        <v>174</v>
      </c>
      <c r="EO93" t="s">
        <v>242</v>
      </c>
      <c r="EQ93">
        <v>131072</v>
      </c>
      <c r="ER93">
        <v>7367.18</v>
      </c>
      <c r="ES93">
        <v>6516.18</v>
      </c>
      <c r="ET93">
        <v>21.88</v>
      </c>
      <c r="EU93">
        <v>3.51</v>
      </c>
      <c r="EV93">
        <v>829.12</v>
      </c>
      <c r="EW93">
        <v>97.2</v>
      </c>
      <c r="EX93">
        <v>0.27</v>
      </c>
      <c r="EY93">
        <v>0</v>
      </c>
      <c r="FQ93">
        <v>0</v>
      </c>
      <c r="FR93">
        <f t="shared" si="61"/>
        <v>0</v>
      </c>
      <c r="FS93">
        <v>0</v>
      </c>
      <c r="FX93">
        <v>109</v>
      </c>
      <c r="FY93">
        <v>57</v>
      </c>
      <c r="GA93" t="s">
        <v>3</v>
      </c>
      <c r="GD93">
        <v>1</v>
      </c>
      <c r="GF93">
        <v>-601591418</v>
      </c>
      <c r="GG93">
        <v>2</v>
      </c>
      <c r="GH93">
        <v>1</v>
      </c>
      <c r="GI93">
        <v>4</v>
      </c>
      <c r="GJ93">
        <v>0</v>
      </c>
      <c r="GK93">
        <v>0</v>
      </c>
      <c r="GL93">
        <f t="shared" si="62"/>
        <v>0</v>
      </c>
      <c r="GM93">
        <f t="shared" si="63"/>
        <v>180047.92</v>
      </c>
      <c r="GN93">
        <f t="shared" si="64"/>
        <v>180047.92</v>
      </c>
      <c r="GO93">
        <f t="shared" si="65"/>
        <v>0</v>
      </c>
      <c r="GP93">
        <f t="shared" si="66"/>
        <v>0</v>
      </c>
      <c r="GR93">
        <v>0</v>
      </c>
      <c r="GS93">
        <v>3</v>
      </c>
      <c r="GT93">
        <v>0</v>
      </c>
      <c r="GU93" t="s">
        <v>3</v>
      </c>
      <c r="GV93">
        <f t="shared" si="67"/>
        <v>0</v>
      </c>
      <c r="GW93">
        <v>1</v>
      </c>
      <c r="GX93">
        <f t="shared" si="68"/>
        <v>0</v>
      </c>
      <c r="HA93">
        <v>0</v>
      </c>
      <c r="HB93">
        <v>0</v>
      </c>
      <c r="HC93">
        <f t="shared" si="69"/>
        <v>0</v>
      </c>
      <c r="HE93" t="s">
        <v>3</v>
      </c>
      <c r="HF93" t="s">
        <v>3</v>
      </c>
      <c r="HM93" t="s">
        <v>3</v>
      </c>
      <c r="HN93" t="s">
        <v>176</v>
      </c>
      <c r="HO93" t="s">
        <v>177</v>
      </c>
      <c r="HP93" t="s">
        <v>173</v>
      </c>
      <c r="HQ93" t="s">
        <v>173</v>
      </c>
      <c r="IK93">
        <v>0</v>
      </c>
    </row>
    <row r="94" spans="1:245" x14ac:dyDescent="0.2">
      <c r="A94">
        <v>17</v>
      </c>
      <c r="B94">
        <v>1</v>
      </c>
      <c r="E94" t="s">
        <v>243</v>
      </c>
      <c r="F94" t="s">
        <v>156</v>
      </c>
      <c r="G94" t="s">
        <v>244</v>
      </c>
      <c r="H94" t="s">
        <v>158</v>
      </c>
      <c r="I94">
        <f>ROUND(ROUND(223.672*1.45,2),9)</f>
        <v>324.32</v>
      </c>
      <c r="J94">
        <v>0</v>
      </c>
      <c r="K94">
        <f>ROUND(ROUND(223.672*1.45,2),9)</f>
        <v>324.32</v>
      </c>
      <c r="O94">
        <f t="shared" si="36"/>
        <v>335748.52</v>
      </c>
      <c r="P94">
        <f t="shared" si="37"/>
        <v>335748.52</v>
      </c>
      <c r="Q94">
        <f t="shared" si="38"/>
        <v>0</v>
      </c>
      <c r="R94">
        <f t="shared" si="39"/>
        <v>0</v>
      </c>
      <c r="S94">
        <f t="shared" si="40"/>
        <v>0</v>
      </c>
      <c r="T94">
        <f t="shared" si="41"/>
        <v>0</v>
      </c>
      <c r="U94">
        <f t="shared" si="42"/>
        <v>0</v>
      </c>
      <c r="V94">
        <f t="shared" si="43"/>
        <v>0</v>
      </c>
      <c r="W94">
        <f t="shared" si="44"/>
        <v>0</v>
      </c>
      <c r="X94">
        <f t="shared" si="45"/>
        <v>0</v>
      </c>
      <c r="Y94">
        <f t="shared" si="46"/>
        <v>0</v>
      </c>
      <c r="AA94">
        <v>145262827</v>
      </c>
      <c r="AB94">
        <f t="shared" si="47"/>
        <v>122.08</v>
      </c>
      <c r="AC94">
        <f>ROUND((ES94),2)</f>
        <v>122.08</v>
      </c>
      <c r="AD94">
        <f>ROUND((((ET94)-(EU94))+AE94),2)</f>
        <v>0</v>
      </c>
      <c r="AE94">
        <f t="shared" ref="AE94:AF97" si="80">ROUND((EU94),2)</f>
        <v>0</v>
      </c>
      <c r="AF94">
        <f t="shared" si="80"/>
        <v>0</v>
      </c>
      <c r="AG94">
        <f t="shared" si="49"/>
        <v>0</v>
      </c>
      <c r="AH94">
        <f t="shared" ref="AH94:AI97" si="81">(EW94)</f>
        <v>0</v>
      </c>
      <c r="AI94">
        <f t="shared" si="81"/>
        <v>0</v>
      </c>
      <c r="AJ94">
        <f t="shared" si="50"/>
        <v>0</v>
      </c>
      <c r="AK94">
        <v>122.08</v>
      </c>
      <c r="AL94">
        <v>122.08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1</v>
      </c>
      <c r="AW94">
        <v>1</v>
      </c>
      <c r="AZ94">
        <v>1</v>
      </c>
      <c r="BA94">
        <v>1</v>
      </c>
      <c r="BB94">
        <v>1</v>
      </c>
      <c r="BC94">
        <v>8.48</v>
      </c>
      <c r="BD94" t="s">
        <v>3</v>
      </c>
      <c r="BE94" t="s">
        <v>3</v>
      </c>
      <c r="BF94" t="s">
        <v>3</v>
      </c>
      <c r="BG94" t="s">
        <v>3</v>
      </c>
      <c r="BH94">
        <v>3</v>
      </c>
      <c r="BI94">
        <v>1</v>
      </c>
      <c r="BJ94" t="s">
        <v>3</v>
      </c>
      <c r="BM94">
        <v>1100</v>
      </c>
      <c r="BN94">
        <v>0</v>
      </c>
      <c r="BO94" t="s">
        <v>3</v>
      </c>
      <c r="BP94">
        <v>0</v>
      </c>
      <c r="BQ94">
        <v>8</v>
      </c>
      <c r="BR94">
        <v>0</v>
      </c>
      <c r="BS94">
        <v>1</v>
      </c>
      <c r="BT94">
        <v>1</v>
      </c>
      <c r="BU94">
        <v>1</v>
      </c>
      <c r="BV94">
        <v>1</v>
      </c>
      <c r="BW94">
        <v>1</v>
      </c>
      <c r="BX94">
        <v>1</v>
      </c>
      <c r="BY94" t="s">
        <v>3</v>
      </c>
      <c r="BZ94">
        <v>0</v>
      </c>
      <c r="CA94">
        <v>0</v>
      </c>
      <c r="CB94" t="s">
        <v>3</v>
      </c>
      <c r="CE94">
        <v>0</v>
      </c>
      <c r="CF94">
        <v>0</v>
      </c>
      <c r="CG94">
        <v>0</v>
      </c>
      <c r="CM94">
        <v>0</v>
      </c>
      <c r="CN94" t="s">
        <v>3</v>
      </c>
      <c r="CO94">
        <v>0</v>
      </c>
      <c r="CP94">
        <f t="shared" si="51"/>
        <v>335748.52</v>
      </c>
      <c r="CQ94">
        <f t="shared" si="52"/>
        <v>1035.2384</v>
      </c>
      <c r="CR94">
        <f>(((ET94)*BB94-(EU94)*BS94)+AE94*BS94)</f>
        <v>0</v>
      </c>
      <c r="CS94">
        <f t="shared" si="53"/>
        <v>0</v>
      </c>
      <c r="CT94">
        <f t="shared" si="54"/>
        <v>0</v>
      </c>
      <c r="CU94">
        <f t="shared" si="55"/>
        <v>0</v>
      </c>
      <c r="CV94">
        <f t="shared" si="56"/>
        <v>0</v>
      </c>
      <c r="CW94">
        <f t="shared" si="57"/>
        <v>0</v>
      </c>
      <c r="CX94">
        <f t="shared" si="58"/>
        <v>0</v>
      </c>
      <c r="CY94">
        <f t="shared" si="59"/>
        <v>0</v>
      </c>
      <c r="CZ94">
        <f t="shared" si="60"/>
        <v>0</v>
      </c>
      <c r="DC94" t="s">
        <v>3</v>
      </c>
      <c r="DD94" t="s">
        <v>3</v>
      </c>
      <c r="DE94" t="s">
        <v>3</v>
      </c>
      <c r="DF94" t="s">
        <v>3</v>
      </c>
      <c r="DG94" t="s">
        <v>3</v>
      </c>
      <c r="DH94" t="s">
        <v>3</v>
      </c>
      <c r="DI94" t="s">
        <v>3</v>
      </c>
      <c r="DJ94" t="s">
        <v>3</v>
      </c>
      <c r="DK94" t="s">
        <v>3</v>
      </c>
      <c r="DL94" t="s">
        <v>3</v>
      </c>
      <c r="DM94" t="s">
        <v>3</v>
      </c>
      <c r="DN94">
        <v>0</v>
      </c>
      <c r="DO94">
        <v>0</v>
      </c>
      <c r="DP94">
        <v>1</v>
      </c>
      <c r="DQ94">
        <v>1</v>
      </c>
      <c r="DU94">
        <v>1005</v>
      </c>
      <c r="DV94" t="s">
        <v>158</v>
      </c>
      <c r="DW94" t="s">
        <v>158</v>
      </c>
      <c r="DX94">
        <v>1</v>
      </c>
      <c r="DZ94" t="s">
        <v>3</v>
      </c>
      <c r="EA94" t="s">
        <v>3</v>
      </c>
      <c r="EB94" t="s">
        <v>3</v>
      </c>
      <c r="EC94" t="s">
        <v>3</v>
      </c>
      <c r="EE94">
        <v>140625274</v>
      </c>
      <c r="EF94">
        <v>8</v>
      </c>
      <c r="EG94" t="s">
        <v>84</v>
      </c>
      <c r="EH94">
        <v>0</v>
      </c>
      <c r="EI94" t="s">
        <v>3</v>
      </c>
      <c r="EJ94">
        <v>1</v>
      </c>
      <c r="EK94">
        <v>1100</v>
      </c>
      <c r="EL94" t="s">
        <v>85</v>
      </c>
      <c r="EM94" t="s">
        <v>86</v>
      </c>
      <c r="EO94" t="s">
        <v>3</v>
      </c>
      <c r="EQ94">
        <v>131072</v>
      </c>
      <c r="ER94">
        <v>122.08</v>
      </c>
      <c r="ES94">
        <v>122.08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5</v>
      </c>
      <c r="FC94">
        <v>1</v>
      </c>
      <c r="FD94">
        <v>18</v>
      </c>
      <c r="FF94">
        <v>1160</v>
      </c>
      <c r="FQ94">
        <v>0</v>
      </c>
      <c r="FR94">
        <f t="shared" si="61"/>
        <v>0</v>
      </c>
      <c r="FS94">
        <v>0</v>
      </c>
      <c r="FX94">
        <v>0</v>
      </c>
      <c r="FY94">
        <v>0</v>
      </c>
      <c r="GA94" t="s">
        <v>245</v>
      </c>
      <c r="GD94">
        <v>1</v>
      </c>
      <c r="GF94">
        <v>2087505176</v>
      </c>
      <c r="GG94">
        <v>2</v>
      </c>
      <c r="GH94">
        <v>3</v>
      </c>
      <c r="GI94">
        <v>4</v>
      </c>
      <c r="GJ94">
        <v>0</v>
      </c>
      <c r="GK94">
        <v>0</v>
      </c>
      <c r="GL94">
        <f t="shared" si="62"/>
        <v>0</v>
      </c>
      <c r="GM94">
        <f t="shared" si="63"/>
        <v>335748.52</v>
      </c>
      <c r="GN94">
        <f t="shared" si="64"/>
        <v>335748.52</v>
      </c>
      <c r="GO94">
        <f t="shared" si="65"/>
        <v>0</v>
      </c>
      <c r="GP94">
        <f t="shared" si="66"/>
        <v>0</v>
      </c>
      <c r="GR94">
        <v>1</v>
      </c>
      <c r="GS94">
        <v>1</v>
      </c>
      <c r="GT94">
        <v>0</v>
      </c>
      <c r="GU94" t="s">
        <v>3</v>
      </c>
      <c r="GV94">
        <f t="shared" si="67"/>
        <v>0</v>
      </c>
      <c r="GW94">
        <v>1</v>
      </c>
      <c r="GX94">
        <f t="shared" si="68"/>
        <v>0</v>
      </c>
      <c r="HA94">
        <v>0</v>
      </c>
      <c r="HB94">
        <v>0</v>
      </c>
      <c r="HC94">
        <f t="shared" si="69"/>
        <v>0</v>
      </c>
      <c r="HE94" t="s">
        <v>53</v>
      </c>
      <c r="HF94" t="s">
        <v>32</v>
      </c>
      <c r="HM94" t="s">
        <v>3</v>
      </c>
      <c r="HN94" t="s">
        <v>3</v>
      </c>
      <c r="HO94" t="s">
        <v>3</v>
      </c>
      <c r="HP94" t="s">
        <v>3</v>
      </c>
      <c r="HQ94" t="s">
        <v>3</v>
      </c>
      <c r="IK94">
        <v>0</v>
      </c>
    </row>
    <row r="95" spans="1:245" x14ac:dyDescent="0.2">
      <c r="A95">
        <v>17</v>
      </c>
      <c r="B95">
        <v>1</v>
      </c>
      <c r="E95" t="s">
        <v>246</v>
      </c>
      <c r="F95" t="s">
        <v>156</v>
      </c>
      <c r="G95" t="s">
        <v>247</v>
      </c>
      <c r="H95" t="s">
        <v>162</v>
      </c>
      <c r="I95">
        <v>2764</v>
      </c>
      <c r="J95">
        <v>0</v>
      </c>
      <c r="K95">
        <v>2764</v>
      </c>
      <c r="O95">
        <f t="shared" si="36"/>
        <v>40314.6</v>
      </c>
      <c r="P95">
        <f t="shared" si="37"/>
        <v>40314.6</v>
      </c>
      <c r="Q95">
        <f t="shared" si="38"/>
        <v>0</v>
      </c>
      <c r="R95">
        <f t="shared" si="39"/>
        <v>0</v>
      </c>
      <c r="S95">
        <f t="shared" si="40"/>
        <v>0</v>
      </c>
      <c r="T95">
        <f t="shared" si="41"/>
        <v>0</v>
      </c>
      <c r="U95">
        <f t="shared" si="42"/>
        <v>0</v>
      </c>
      <c r="V95">
        <f t="shared" si="43"/>
        <v>0</v>
      </c>
      <c r="W95">
        <f t="shared" si="44"/>
        <v>0</v>
      </c>
      <c r="X95">
        <f t="shared" si="45"/>
        <v>0</v>
      </c>
      <c r="Y95">
        <f t="shared" si="46"/>
        <v>0</v>
      </c>
      <c r="AA95">
        <v>145262827</v>
      </c>
      <c r="AB95">
        <f t="shared" si="47"/>
        <v>1.72</v>
      </c>
      <c r="AC95">
        <f>ROUND((ES95),2)</f>
        <v>1.72</v>
      </c>
      <c r="AD95">
        <f>ROUND((((ET95)-(EU95))+AE95),2)</f>
        <v>0</v>
      </c>
      <c r="AE95">
        <f t="shared" si="80"/>
        <v>0</v>
      </c>
      <c r="AF95">
        <f t="shared" si="80"/>
        <v>0</v>
      </c>
      <c r="AG95">
        <f t="shared" si="49"/>
        <v>0</v>
      </c>
      <c r="AH95">
        <f t="shared" si="81"/>
        <v>0</v>
      </c>
      <c r="AI95">
        <f t="shared" si="81"/>
        <v>0</v>
      </c>
      <c r="AJ95">
        <f t="shared" si="50"/>
        <v>0</v>
      </c>
      <c r="AK95">
        <v>1.7200000000000002</v>
      </c>
      <c r="AL95">
        <v>1.7200000000000002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1</v>
      </c>
      <c r="AW95">
        <v>1</v>
      </c>
      <c r="AZ95">
        <v>1</v>
      </c>
      <c r="BA95">
        <v>1</v>
      </c>
      <c r="BB95">
        <v>1</v>
      </c>
      <c r="BC95">
        <v>8.48</v>
      </c>
      <c r="BD95" t="s">
        <v>3</v>
      </c>
      <c r="BE95" t="s">
        <v>3</v>
      </c>
      <c r="BF95" t="s">
        <v>3</v>
      </c>
      <c r="BG95" t="s">
        <v>3</v>
      </c>
      <c r="BH95">
        <v>3</v>
      </c>
      <c r="BI95">
        <v>1</v>
      </c>
      <c r="BJ95" t="s">
        <v>3</v>
      </c>
      <c r="BM95">
        <v>1100</v>
      </c>
      <c r="BN95">
        <v>0</v>
      </c>
      <c r="BO95" t="s">
        <v>3</v>
      </c>
      <c r="BP95">
        <v>0</v>
      </c>
      <c r="BQ95">
        <v>8</v>
      </c>
      <c r="BR95">
        <v>0</v>
      </c>
      <c r="BS95">
        <v>1</v>
      </c>
      <c r="BT95">
        <v>1</v>
      </c>
      <c r="BU95">
        <v>1</v>
      </c>
      <c r="BV95">
        <v>1</v>
      </c>
      <c r="BW95">
        <v>1</v>
      </c>
      <c r="BX95">
        <v>1</v>
      </c>
      <c r="BY95" t="s">
        <v>3</v>
      </c>
      <c r="BZ95">
        <v>0</v>
      </c>
      <c r="CA95">
        <v>0</v>
      </c>
      <c r="CB95" t="s">
        <v>3</v>
      </c>
      <c r="CE95">
        <v>0</v>
      </c>
      <c r="CF95">
        <v>0</v>
      </c>
      <c r="CG95">
        <v>0</v>
      </c>
      <c r="CM95">
        <v>0</v>
      </c>
      <c r="CN95" t="s">
        <v>3</v>
      </c>
      <c r="CO95">
        <v>0</v>
      </c>
      <c r="CP95">
        <f t="shared" si="51"/>
        <v>40314.6</v>
      </c>
      <c r="CQ95">
        <f t="shared" si="52"/>
        <v>14.585600000000001</v>
      </c>
      <c r="CR95">
        <f>(((ET95)*BB95-(EU95)*BS95)+AE95*BS95)</f>
        <v>0</v>
      </c>
      <c r="CS95">
        <f t="shared" si="53"/>
        <v>0</v>
      </c>
      <c r="CT95">
        <f t="shared" si="54"/>
        <v>0</v>
      </c>
      <c r="CU95">
        <f t="shared" si="55"/>
        <v>0</v>
      </c>
      <c r="CV95">
        <f t="shared" si="56"/>
        <v>0</v>
      </c>
      <c r="CW95">
        <f t="shared" si="57"/>
        <v>0</v>
      </c>
      <c r="CX95">
        <f t="shared" si="58"/>
        <v>0</v>
      </c>
      <c r="CY95">
        <f t="shared" si="59"/>
        <v>0</v>
      </c>
      <c r="CZ95">
        <f t="shared" si="60"/>
        <v>0</v>
      </c>
      <c r="DC95" t="s">
        <v>3</v>
      </c>
      <c r="DD95" t="s">
        <v>3</v>
      </c>
      <c r="DE95" t="s">
        <v>3</v>
      </c>
      <c r="DF95" t="s">
        <v>3</v>
      </c>
      <c r="DG95" t="s">
        <v>3</v>
      </c>
      <c r="DH95" t="s">
        <v>3</v>
      </c>
      <c r="DI95" t="s">
        <v>3</v>
      </c>
      <c r="DJ95" t="s">
        <v>3</v>
      </c>
      <c r="DK95" t="s">
        <v>3</v>
      </c>
      <c r="DL95" t="s">
        <v>3</v>
      </c>
      <c r="DM95" t="s">
        <v>3</v>
      </c>
      <c r="DN95">
        <v>0</v>
      </c>
      <c r="DO95">
        <v>0</v>
      </c>
      <c r="DP95">
        <v>1</v>
      </c>
      <c r="DQ95">
        <v>1</v>
      </c>
      <c r="DU95">
        <v>1013</v>
      </c>
      <c r="DV95" t="s">
        <v>162</v>
      </c>
      <c r="DW95" t="s">
        <v>162</v>
      </c>
      <c r="DX95">
        <v>1</v>
      </c>
      <c r="DZ95" t="s">
        <v>3</v>
      </c>
      <c r="EA95" t="s">
        <v>3</v>
      </c>
      <c r="EB95" t="s">
        <v>3</v>
      </c>
      <c r="EC95" t="s">
        <v>3</v>
      </c>
      <c r="EE95">
        <v>140625274</v>
      </c>
      <c r="EF95">
        <v>8</v>
      </c>
      <c r="EG95" t="s">
        <v>84</v>
      </c>
      <c r="EH95">
        <v>0</v>
      </c>
      <c r="EI95" t="s">
        <v>3</v>
      </c>
      <c r="EJ95">
        <v>1</v>
      </c>
      <c r="EK95">
        <v>1100</v>
      </c>
      <c r="EL95" t="s">
        <v>85</v>
      </c>
      <c r="EM95" t="s">
        <v>86</v>
      </c>
      <c r="EO95" t="s">
        <v>3</v>
      </c>
      <c r="EQ95">
        <v>131072</v>
      </c>
      <c r="ER95">
        <v>2.2000000000000002</v>
      </c>
      <c r="ES95">
        <v>1.7200000000000002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5</v>
      </c>
      <c r="FC95">
        <v>1</v>
      </c>
      <c r="FD95">
        <v>18</v>
      </c>
      <c r="FF95">
        <v>16.39</v>
      </c>
      <c r="FQ95">
        <v>0</v>
      </c>
      <c r="FR95">
        <f t="shared" si="61"/>
        <v>0</v>
      </c>
      <c r="FS95">
        <v>0</v>
      </c>
      <c r="FX95">
        <v>0</v>
      </c>
      <c r="FY95">
        <v>0</v>
      </c>
      <c r="GA95" t="s">
        <v>248</v>
      </c>
      <c r="GD95">
        <v>1</v>
      </c>
      <c r="GF95">
        <v>1314600736</v>
      </c>
      <c r="GG95">
        <v>2</v>
      </c>
      <c r="GH95">
        <v>3</v>
      </c>
      <c r="GI95">
        <v>4</v>
      </c>
      <c r="GJ95">
        <v>0</v>
      </c>
      <c r="GK95">
        <v>0</v>
      </c>
      <c r="GL95">
        <f t="shared" si="62"/>
        <v>0</v>
      </c>
      <c r="GM95">
        <f t="shared" si="63"/>
        <v>40314.6</v>
      </c>
      <c r="GN95">
        <f t="shared" si="64"/>
        <v>40314.6</v>
      </c>
      <c r="GO95">
        <f t="shared" si="65"/>
        <v>0</v>
      </c>
      <c r="GP95">
        <f t="shared" si="66"/>
        <v>0</v>
      </c>
      <c r="GR95">
        <v>1</v>
      </c>
      <c r="GS95">
        <v>1</v>
      </c>
      <c r="GT95">
        <v>0</v>
      </c>
      <c r="GU95" t="s">
        <v>3</v>
      </c>
      <c r="GV95">
        <f t="shared" si="67"/>
        <v>0</v>
      </c>
      <c r="GW95">
        <v>1</v>
      </c>
      <c r="GX95">
        <f t="shared" si="68"/>
        <v>0</v>
      </c>
      <c r="HA95">
        <v>0</v>
      </c>
      <c r="HB95">
        <v>0</v>
      </c>
      <c r="HC95">
        <f t="shared" si="69"/>
        <v>0</v>
      </c>
      <c r="HE95" t="s">
        <v>53</v>
      </c>
      <c r="HF95" t="s">
        <v>32</v>
      </c>
      <c r="HM95" t="s">
        <v>3</v>
      </c>
      <c r="HN95" t="s">
        <v>3</v>
      </c>
      <c r="HO95" t="s">
        <v>3</v>
      </c>
      <c r="HP95" t="s">
        <v>3</v>
      </c>
      <c r="HQ95" t="s">
        <v>3</v>
      </c>
      <c r="IK95">
        <v>0</v>
      </c>
    </row>
    <row r="96" spans="1:245" x14ac:dyDescent="0.2">
      <c r="A96">
        <v>17</v>
      </c>
      <c r="B96">
        <v>1</v>
      </c>
      <c r="E96" t="s">
        <v>249</v>
      </c>
      <c r="F96" t="s">
        <v>156</v>
      </c>
      <c r="G96" t="s">
        <v>250</v>
      </c>
      <c r="H96" t="s">
        <v>162</v>
      </c>
      <c r="I96">
        <v>1122</v>
      </c>
      <c r="J96">
        <v>0</v>
      </c>
      <c r="K96">
        <v>1122</v>
      </c>
      <c r="O96">
        <f t="shared" si="36"/>
        <v>17221.349999999999</v>
      </c>
      <c r="P96">
        <f t="shared" si="37"/>
        <v>17221.349999999999</v>
      </c>
      <c r="Q96">
        <f t="shared" si="38"/>
        <v>0</v>
      </c>
      <c r="R96">
        <f t="shared" si="39"/>
        <v>0</v>
      </c>
      <c r="S96">
        <f t="shared" si="40"/>
        <v>0</v>
      </c>
      <c r="T96">
        <f t="shared" si="41"/>
        <v>0</v>
      </c>
      <c r="U96">
        <f t="shared" si="42"/>
        <v>0</v>
      </c>
      <c r="V96">
        <f t="shared" si="43"/>
        <v>0</v>
      </c>
      <c r="W96">
        <f t="shared" si="44"/>
        <v>0</v>
      </c>
      <c r="X96">
        <f t="shared" si="45"/>
        <v>0</v>
      </c>
      <c r="Y96">
        <f t="shared" si="46"/>
        <v>0</v>
      </c>
      <c r="AA96">
        <v>145262827</v>
      </c>
      <c r="AB96">
        <f t="shared" si="47"/>
        <v>1.81</v>
      </c>
      <c r="AC96">
        <f>ROUND((ES96),2)</f>
        <v>1.81</v>
      </c>
      <c r="AD96">
        <f>ROUND((((ET96)-(EU96))+AE96),2)</f>
        <v>0</v>
      </c>
      <c r="AE96">
        <f t="shared" si="80"/>
        <v>0</v>
      </c>
      <c r="AF96">
        <f t="shared" si="80"/>
        <v>0</v>
      </c>
      <c r="AG96">
        <f t="shared" si="49"/>
        <v>0</v>
      </c>
      <c r="AH96">
        <f t="shared" si="81"/>
        <v>0</v>
      </c>
      <c r="AI96">
        <f t="shared" si="81"/>
        <v>0</v>
      </c>
      <c r="AJ96">
        <f t="shared" si="50"/>
        <v>0</v>
      </c>
      <c r="AK96">
        <v>1.81</v>
      </c>
      <c r="AL96">
        <v>1.81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1</v>
      </c>
      <c r="AW96">
        <v>1</v>
      </c>
      <c r="AZ96">
        <v>1</v>
      </c>
      <c r="BA96">
        <v>1</v>
      </c>
      <c r="BB96">
        <v>1</v>
      </c>
      <c r="BC96">
        <v>8.48</v>
      </c>
      <c r="BD96" t="s">
        <v>3</v>
      </c>
      <c r="BE96" t="s">
        <v>3</v>
      </c>
      <c r="BF96" t="s">
        <v>3</v>
      </c>
      <c r="BG96" t="s">
        <v>3</v>
      </c>
      <c r="BH96">
        <v>3</v>
      </c>
      <c r="BI96">
        <v>1</v>
      </c>
      <c r="BJ96" t="s">
        <v>3</v>
      </c>
      <c r="BM96">
        <v>1100</v>
      </c>
      <c r="BN96">
        <v>0</v>
      </c>
      <c r="BO96" t="s">
        <v>3</v>
      </c>
      <c r="BP96">
        <v>0</v>
      </c>
      <c r="BQ96">
        <v>8</v>
      </c>
      <c r="BR96">
        <v>0</v>
      </c>
      <c r="BS96">
        <v>1</v>
      </c>
      <c r="BT96">
        <v>1</v>
      </c>
      <c r="BU96">
        <v>1</v>
      </c>
      <c r="BV96">
        <v>1</v>
      </c>
      <c r="BW96">
        <v>1</v>
      </c>
      <c r="BX96">
        <v>1</v>
      </c>
      <c r="BY96" t="s">
        <v>3</v>
      </c>
      <c r="BZ96">
        <v>0</v>
      </c>
      <c r="CA96">
        <v>0</v>
      </c>
      <c r="CB96" t="s">
        <v>3</v>
      </c>
      <c r="CE96">
        <v>0</v>
      </c>
      <c r="CF96">
        <v>0</v>
      </c>
      <c r="CG96">
        <v>0</v>
      </c>
      <c r="CM96">
        <v>0</v>
      </c>
      <c r="CN96" t="s">
        <v>3</v>
      </c>
      <c r="CO96">
        <v>0</v>
      </c>
      <c r="CP96">
        <f t="shared" si="51"/>
        <v>17221.349999999999</v>
      </c>
      <c r="CQ96">
        <f t="shared" si="52"/>
        <v>15.348800000000001</v>
      </c>
      <c r="CR96">
        <f>(((ET96)*BB96-(EU96)*BS96)+AE96*BS96)</f>
        <v>0</v>
      </c>
      <c r="CS96">
        <f t="shared" si="53"/>
        <v>0</v>
      </c>
      <c r="CT96">
        <f t="shared" si="54"/>
        <v>0</v>
      </c>
      <c r="CU96">
        <f t="shared" si="55"/>
        <v>0</v>
      </c>
      <c r="CV96">
        <f t="shared" si="56"/>
        <v>0</v>
      </c>
      <c r="CW96">
        <f t="shared" si="57"/>
        <v>0</v>
      </c>
      <c r="CX96">
        <f t="shared" si="58"/>
        <v>0</v>
      </c>
      <c r="CY96">
        <f t="shared" si="59"/>
        <v>0</v>
      </c>
      <c r="CZ96">
        <f t="shared" si="60"/>
        <v>0</v>
      </c>
      <c r="DC96" t="s">
        <v>3</v>
      </c>
      <c r="DD96" t="s">
        <v>3</v>
      </c>
      <c r="DE96" t="s">
        <v>3</v>
      </c>
      <c r="DF96" t="s">
        <v>3</v>
      </c>
      <c r="DG96" t="s">
        <v>3</v>
      </c>
      <c r="DH96" t="s">
        <v>3</v>
      </c>
      <c r="DI96" t="s">
        <v>3</v>
      </c>
      <c r="DJ96" t="s">
        <v>3</v>
      </c>
      <c r="DK96" t="s">
        <v>3</v>
      </c>
      <c r="DL96" t="s">
        <v>3</v>
      </c>
      <c r="DM96" t="s">
        <v>3</v>
      </c>
      <c r="DN96">
        <v>0</v>
      </c>
      <c r="DO96">
        <v>0</v>
      </c>
      <c r="DP96">
        <v>1</v>
      </c>
      <c r="DQ96">
        <v>1</v>
      </c>
      <c r="DU96">
        <v>1013</v>
      </c>
      <c r="DV96" t="s">
        <v>162</v>
      </c>
      <c r="DW96" t="s">
        <v>162</v>
      </c>
      <c r="DX96">
        <v>1</v>
      </c>
      <c r="DZ96" t="s">
        <v>3</v>
      </c>
      <c r="EA96" t="s">
        <v>3</v>
      </c>
      <c r="EB96" t="s">
        <v>3</v>
      </c>
      <c r="EC96" t="s">
        <v>3</v>
      </c>
      <c r="EE96">
        <v>140625274</v>
      </c>
      <c r="EF96">
        <v>8</v>
      </c>
      <c r="EG96" t="s">
        <v>84</v>
      </c>
      <c r="EH96">
        <v>0</v>
      </c>
      <c r="EI96" t="s">
        <v>3</v>
      </c>
      <c r="EJ96">
        <v>1</v>
      </c>
      <c r="EK96">
        <v>1100</v>
      </c>
      <c r="EL96" t="s">
        <v>85</v>
      </c>
      <c r="EM96" t="s">
        <v>86</v>
      </c>
      <c r="EO96" t="s">
        <v>3</v>
      </c>
      <c r="EQ96">
        <v>131072</v>
      </c>
      <c r="ER96">
        <v>2.3299999999999996</v>
      </c>
      <c r="ES96">
        <v>1.81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5</v>
      </c>
      <c r="FC96">
        <v>1</v>
      </c>
      <c r="FD96">
        <v>18</v>
      </c>
      <c r="FF96">
        <v>17.22</v>
      </c>
      <c r="FQ96">
        <v>0</v>
      </c>
      <c r="FR96">
        <f t="shared" si="61"/>
        <v>0</v>
      </c>
      <c r="FS96">
        <v>0</v>
      </c>
      <c r="FX96">
        <v>0</v>
      </c>
      <c r="FY96">
        <v>0</v>
      </c>
      <c r="GA96" t="s">
        <v>251</v>
      </c>
      <c r="GD96">
        <v>1</v>
      </c>
      <c r="GF96">
        <v>679082619</v>
      </c>
      <c r="GG96">
        <v>2</v>
      </c>
      <c r="GH96">
        <v>3</v>
      </c>
      <c r="GI96">
        <v>4</v>
      </c>
      <c r="GJ96">
        <v>0</v>
      </c>
      <c r="GK96">
        <v>0</v>
      </c>
      <c r="GL96">
        <f t="shared" si="62"/>
        <v>0</v>
      </c>
      <c r="GM96">
        <f t="shared" si="63"/>
        <v>17221.349999999999</v>
      </c>
      <c r="GN96">
        <f t="shared" si="64"/>
        <v>17221.349999999999</v>
      </c>
      <c r="GO96">
        <f t="shared" si="65"/>
        <v>0</v>
      </c>
      <c r="GP96">
        <f t="shared" si="66"/>
        <v>0</v>
      </c>
      <c r="GR96">
        <v>1</v>
      </c>
      <c r="GS96">
        <v>1</v>
      </c>
      <c r="GT96">
        <v>0</v>
      </c>
      <c r="GU96" t="s">
        <v>3</v>
      </c>
      <c r="GV96">
        <f t="shared" si="67"/>
        <v>0</v>
      </c>
      <c r="GW96">
        <v>1</v>
      </c>
      <c r="GX96">
        <f t="shared" si="68"/>
        <v>0</v>
      </c>
      <c r="HA96">
        <v>0</v>
      </c>
      <c r="HB96">
        <v>0</v>
      </c>
      <c r="HC96">
        <f t="shared" si="69"/>
        <v>0</v>
      </c>
      <c r="HE96" t="s">
        <v>53</v>
      </c>
      <c r="HF96" t="s">
        <v>32</v>
      </c>
      <c r="HM96" t="s">
        <v>3</v>
      </c>
      <c r="HN96" t="s">
        <v>3</v>
      </c>
      <c r="HO96" t="s">
        <v>3</v>
      </c>
      <c r="HP96" t="s">
        <v>3</v>
      </c>
      <c r="HQ96" t="s">
        <v>3</v>
      </c>
      <c r="IK96">
        <v>0</v>
      </c>
    </row>
    <row r="97" spans="1:245" x14ac:dyDescent="0.2">
      <c r="A97">
        <v>17</v>
      </c>
      <c r="B97">
        <v>1</v>
      </c>
      <c r="E97" t="s">
        <v>252</v>
      </c>
      <c r="F97" t="s">
        <v>156</v>
      </c>
      <c r="G97" t="s">
        <v>253</v>
      </c>
      <c r="H97" t="s">
        <v>162</v>
      </c>
      <c r="I97">
        <v>722</v>
      </c>
      <c r="J97">
        <v>0</v>
      </c>
      <c r="K97">
        <v>722</v>
      </c>
      <c r="O97">
        <f t="shared" si="36"/>
        <v>9489.9699999999993</v>
      </c>
      <c r="P97">
        <f t="shared" si="37"/>
        <v>9489.9699999999993</v>
      </c>
      <c r="Q97">
        <f t="shared" si="38"/>
        <v>0</v>
      </c>
      <c r="R97">
        <f t="shared" si="39"/>
        <v>0</v>
      </c>
      <c r="S97">
        <f t="shared" si="40"/>
        <v>0</v>
      </c>
      <c r="T97">
        <f t="shared" si="41"/>
        <v>0</v>
      </c>
      <c r="U97">
        <f t="shared" si="42"/>
        <v>0</v>
      </c>
      <c r="V97">
        <f t="shared" si="43"/>
        <v>0</v>
      </c>
      <c r="W97">
        <f t="shared" si="44"/>
        <v>0</v>
      </c>
      <c r="X97">
        <f t="shared" si="45"/>
        <v>0</v>
      </c>
      <c r="Y97">
        <f t="shared" si="46"/>
        <v>0</v>
      </c>
      <c r="AA97">
        <v>145262827</v>
      </c>
      <c r="AB97">
        <f t="shared" si="47"/>
        <v>1.55</v>
      </c>
      <c r="AC97">
        <f>ROUND((ES97),2)</f>
        <v>1.55</v>
      </c>
      <c r="AD97">
        <f>ROUND((((ET97)-(EU97))+AE97),2)</f>
        <v>0</v>
      </c>
      <c r="AE97">
        <f t="shared" si="80"/>
        <v>0</v>
      </c>
      <c r="AF97">
        <f t="shared" si="80"/>
        <v>0</v>
      </c>
      <c r="AG97">
        <f t="shared" si="49"/>
        <v>0</v>
      </c>
      <c r="AH97">
        <f t="shared" si="81"/>
        <v>0</v>
      </c>
      <c r="AI97">
        <f t="shared" si="81"/>
        <v>0</v>
      </c>
      <c r="AJ97">
        <f t="shared" si="50"/>
        <v>0</v>
      </c>
      <c r="AK97">
        <v>1.55</v>
      </c>
      <c r="AL97">
        <v>1.55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1</v>
      </c>
      <c r="AW97">
        <v>1</v>
      </c>
      <c r="AZ97">
        <v>1</v>
      </c>
      <c r="BA97">
        <v>1</v>
      </c>
      <c r="BB97">
        <v>1</v>
      </c>
      <c r="BC97">
        <v>8.48</v>
      </c>
      <c r="BD97" t="s">
        <v>3</v>
      </c>
      <c r="BE97" t="s">
        <v>3</v>
      </c>
      <c r="BF97" t="s">
        <v>3</v>
      </c>
      <c r="BG97" t="s">
        <v>3</v>
      </c>
      <c r="BH97">
        <v>3</v>
      </c>
      <c r="BI97">
        <v>1</v>
      </c>
      <c r="BJ97" t="s">
        <v>3</v>
      </c>
      <c r="BM97">
        <v>1100</v>
      </c>
      <c r="BN97">
        <v>0</v>
      </c>
      <c r="BO97" t="s">
        <v>3</v>
      </c>
      <c r="BP97">
        <v>0</v>
      </c>
      <c r="BQ97">
        <v>8</v>
      </c>
      <c r="BR97">
        <v>0</v>
      </c>
      <c r="BS97">
        <v>1</v>
      </c>
      <c r="BT97">
        <v>1</v>
      </c>
      <c r="BU97">
        <v>1</v>
      </c>
      <c r="BV97">
        <v>1</v>
      </c>
      <c r="BW97">
        <v>1</v>
      </c>
      <c r="BX97">
        <v>1</v>
      </c>
      <c r="BY97" t="s">
        <v>3</v>
      </c>
      <c r="BZ97">
        <v>0</v>
      </c>
      <c r="CA97">
        <v>0</v>
      </c>
      <c r="CB97" t="s">
        <v>3</v>
      </c>
      <c r="CE97">
        <v>0</v>
      </c>
      <c r="CF97">
        <v>0</v>
      </c>
      <c r="CG97">
        <v>0</v>
      </c>
      <c r="CM97">
        <v>0</v>
      </c>
      <c r="CN97" t="s">
        <v>3</v>
      </c>
      <c r="CO97">
        <v>0</v>
      </c>
      <c r="CP97">
        <f t="shared" si="51"/>
        <v>9489.9699999999993</v>
      </c>
      <c r="CQ97">
        <f t="shared" si="52"/>
        <v>13.144000000000002</v>
      </c>
      <c r="CR97">
        <f>(((ET97)*BB97-(EU97)*BS97)+AE97*BS97)</f>
        <v>0</v>
      </c>
      <c r="CS97">
        <f t="shared" si="53"/>
        <v>0</v>
      </c>
      <c r="CT97">
        <f t="shared" si="54"/>
        <v>0</v>
      </c>
      <c r="CU97">
        <f t="shared" si="55"/>
        <v>0</v>
      </c>
      <c r="CV97">
        <f t="shared" si="56"/>
        <v>0</v>
      </c>
      <c r="CW97">
        <f t="shared" si="57"/>
        <v>0</v>
      </c>
      <c r="CX97">
        <f t="shared" si="58"/>
        <v>0</v>
      </c>
      <c r="CY97">
        <f t="shared" si="59"/>
        <v>0</v>
      </c>
      <c r="CZ97">
        <f t="shared" si="60"/>
        <v>0</v>
      </c>
      <c r="DC97" t="s">
        <v>3</v>
      </c>
      <c r="DD97" t="s">
        <v>3</v>
      </c>
      <c r="DE97" t="s">
        <v>3</v>
      </c>
      <c r="DF97" t="s">
        <v>3</v>
      </c>
      <c r="DG97" t="s">
        <v>3</v>
      </c>
      <c r="DH97" t="s">
        <v>3</v>
      </c>
      <c r="DI97" t="s">
        <v>3</v>
      </c>
      <c r="DJ97" t="s">
        <v>3</v>
      </c>
      <c r="DK97" t="s">
        <v>3</v>
      </c>
      <c r="DL97" t="s">
        <v>3</v>
      </c>
      <c r="DM97" t="s">
        <v>3</v>
      </c>
      <c r="DN97">
        <v>0</v>
      </c>
      <c r="DO97">
        <v>0</v>
      </c>
      <c r="DP97">
        <v>1</v>
      </c>
      <c r="DQ97">
        <v>1</v>
      </c>
      <c r="DU97">
        <v>1013</v>
      </c>
      <c r="DV97" t="s">
        <v>162</v>
      </c>
      <c r="DW97" t="s">
        <v>162</v>
      </c>
      <c r="DX97">
        <v>1</v>
      </c>
      <c r="DZ97" t="s">
        <v>3</v>
      </c>
      <c r="EA97" t="s">
        <v>3</v>
      </c>
      <c r="EB97" t="s">
        <v>3</v>
      </c>
      <c r="EC97" t="s">
        <v>3</v>
      </c>
      <c r="EE97">
        <v>140625274</v>
      </c>
      <c r="EF97">
        <v>8</v>
      </c>
      <c r="EG97" t="s">
        <v>84</v>
      </c>
      <c r="EH97">
        <v>0</v>
      </c>
      <c r="EI97" t="s">
        <v>3</v>
      </c>
      <c r="EJ97">
        <v>1</v>
      </c>
      <c r="EK97">
        <v>1100</v>
      </c>
      <c r="EL97" t="s">
        <v>85</v>
      </c>
      <c r="EM97" t="s">
        <v>86</v>
      </c>
      <c r="EO97" t="s">
        <v>3</v>
      </c>
      <c r="EQ97">
        <v>131072</v>
      </c>
      <c r="ER97">
        <v>1.9900000000000002</v>
      </c>
      <c r="ES97">
        <v>1.55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EZ97">
        <v>5</v>
      </c>
      <c r="FC97">
        <v>1</v>
      </c>
      <c r="FD97">
        <v>18</v>
      </c>
      <c r="FF97">
        <v>14.75</v>
      </c>
      <c r="FQ97">
        <v>0</v>
      </c>
      <c r="FR97">
        <f t="shared" si="61"/>
        <v>0</v>
      </c>
      <c r="FS97">
        <v>0</v>
      </c>
      <c r="FX97">
        <v>0</v>
      </c>
      <c r="FY97">
        <v>0</v>
      </c>
      <c r="GA97" t="s">
        <v>254</v>
      </c>
      <c r="GD97">
        <v>1</v>
      </c>
      <c r="GF97">
        <v>1094761748</v>
      </c>
      <c r="GG97">
        <v>2</v>
      </c>
      <c r="GH97">
        <v>3</v>
      </c>
      <c r="GI97">
        <v>4</v>
      </c>
      <c r="GJ97">
        <v>0</v>
      </c>
      <c r="GK97">
        <v>0</v>
      </c>
      <c r="GL97">
        <f t="shared" si="62"/>
        <v>0</v>
      </c>
      <c r="GM97">
        <f t="shared" si="63"/>
        <v>9489.9699999999993</v>
      </c>
      <c r="GN97">
        <f t="shared" si="64"/>
        <v>9489.9699999999993</v>
      </c>
      <c r="GO97">
        <f t="shared" si="65"/>
        <v>0</v>
      </c>
      <c r="GP97">
        <f t="shared" si="66"/>
        <v>0</v>
      </c>
      <c r="GR97">
        <v>1</v>
      </c>
      <c r="GS97">
        <v>1</v>
      </c>
      <c r="GT97">
        <v>0</v>
      </c>
      <c r="GU97" t="s">
        <v>3</v>
      </c>
      <c r="GV97">
        <f t="shared" si="67"/>
        <v>0</v>
      </c>
      <c r="GW97">
        <v>1</v>
      </c>
      <c r="GX97">
        <f t="shared" si="68"/>
        <v>0</v>
      </c>
      <c r="HA97">
        <v>0</v>
      </c>
      <c r="HB97">
        <v>0</v>
      </c>
      <c r="HC97">
        <f t="shared" si="69"/>
        <v>0</v>
      </c>
      <c r="HE97" t="s">
        <v>53</v>
      </c>
      <c r="HF97" t="s">
        <v>32</v>
      </c>
      <c r="HM97" t="s">
        <v>3</v>
      </c>
      <c r="HN97" t="s">
        <v>3</v>
      </c>
      <c r="HO97" t="s">
        <v>3</v>
      </c>
      <c r="HP97" t="s">
        <v>3</v>
      </c>
      <c r="HQ97" t="s">
        <v>3</v>
      </c>
      <c r="IK97">
        <v>0</v>
      </c>
    </row>
    <row r="98" spans="1:245" x14ac:dyDescent="0.2">
      <c r="A98">
        <v>19</v>
      </c>
      <c r="B98">
        <v>1</v>
      </c>
      <c r="F98" t="s">
        <v>3</v>
      </c>
      <c r="G98" t="s">
        <v>255</v>
      </c>
      <c r="H98" t="s">
        <v>3</v>
      </c>
      <c r="AA98">
        <v>1</v>
      </c>
      <c r="IK98">
        <v>0</v>
      </c>
    </row>
    <row r="99" spans="1:245" x14ac:dyDescent="0.2">
      <c r="A99">
        <v>17</v>
      </c>
      <c r="B99">
        <v>1</v>
      </c>
      <c r="C99">
        <f>ROW(SmtRes!A120)</f>
        <v>120</v>
      </c>
      <c r="D99">
        <f>ROW(EtalonRes!A132)</f>
        <v>132</v>
      </c>
      <c r="E99" t="s">
        <v>256</v>
      </c>
      <c r="F99" t="s">
        <v>257</v>
      </c>
      <c r="G99" t="s">
        <v>258</v>
      </c>
      <c r="H99" t="s">
        <v>206</v>
      </c>
      <c r="I99">
        <f>ROUND(ROUND(59.58*1.01,3),9)</f>
        <v>60.176000000000002</v>
      </c>
      <c r="J99">
        <v>0</v>
      </c>
      <c r="K99">
        <f>ROUND(ROUND(59.58*1.01,3),9)</f>
        <v>60.176000000000002</v>
      </c>
      <c r="O99">
        <f t="shared" ref="O99:O108" si="82">ROUND(CP99,2)</f>
        <v>537168.78</v>
      </c>
      <c r="P99">
        <f t="shared" ref="P99:P108" si="83">ROUND(CQ99*I99,2)</f>
        <v>43624.9</v>
      </c>
      <c r="Q99">
        <f t="shared" ref="Q99:Q108" si="84">ROUND(CR99*I99,2)</f>
        <v>243431.1</v>
      </c>
      <c r="R99">
        <f t="shared" ref="R99:R108" si="85">ROUND(CS99*I99,2)</f>
        <v>54378.48</v>
      </c>
      <c r="S99">
        <f t="shared" ref="S99:S108" si="86">ROUND(CT99*I99,2)</f>
        <v>250112.78</v>
      </c>
      <c r="T99">
        <f t="shared" ref="T99:T108" si="87">ROUND(CU99*I99,2)</f>
        <v>0</v>
      </c>
      <c r="U99">
        <f t="shared" ref="U99:U108" si="88">CV99*I99</f>
        <v>975.75383999999997</v>
      </c>
      <c r="V99">
        <f t="shared" ref="V99:V108" si="89">CW99*I99</f>
        <v>131.63499999999999</v>
      </c>
      <c r="W99">
        <f t="shared" ref="W99:W108" si="90">ROUND(CX99*I99,2)</f>
        <v>0</v>
      </c>
      <c r="X99">
        <f t="shared" ref="X99:X108" si="91">ROUND(CY99,2)</f>
        <v>283176.87</v>
      </c>
      <c r="Y99">
        <f t="shared" ref="Y99:Y108" si="92">ROUND(CZ99,2)</f>
        <v>188784.58</v>
      </c>
      <c r="AA99">
        <v>145262827</v>
      </c>
      <c r="AB99">
        <f t="shared" ref="AB99:AB108" si="93">ROUND((AC99+AD99+AF99),2)</f>
        <v>578.36</v>
      </c>
      <c r="AC99">
        <f t="shared" ref="AC99:AC107" si="94">ROUND((ES99),2)</f>
        <v>85.49</v>
      </c>
      <c r="AD99">
        <f>ROUND(((((ET99*1.25))-((EU99*1.25)))+AE99),2)</f>
        <v>351.16</v>
      </c>
      <c r="AE99">
        <f>ROUND(((EU99*1.25)),2)</f>
        <v>30.81</v>
      </c>
      <c r="AF99">
        <f>ROUND(((EV99*1.15)),2)</f>
        <v>141.71</v>
      </c>
      <c r="AG99">
        <f t="shared" ref="AG99:AG108" si="95">ROUND((AP99),2)</f>
        <v>0</v>
      </c>
      <c r="AH99">
        <f>((EW99*1.15))</f>
        <v>16.215</v>
      </c>
      <c r="AI99">
        <f>((EX99*1.25))</f>
        <v>2.1875</v>
      </c>
      <c r="AJ99">
        <f t="shared" ref="AJ99:AJ108" si="96">(AS99)</f>
        <v>0</v>
      </c>
      <c r="AK99">
        <v>489.65</v>
      </c>
      <c r="AL99">
        <v>85.49</v>
      </c>
      <c r="AM99">
        <v>280.93</v>
      </c>
      <c r="AN99">
        <v>24.65</v>
      </c>
      <c r="AO99">
        <v>123.23</v>
      </c>
      <c r="AP99">
        <v>0</v>
      </c>
      <c r="AQ99">
        <v>14.1</v>
      </c>
      <c r="AR99">
        <v>1.75</v>
      </c>
      <c r="AS99">
        <v>0</v>
      </c>
      <c r="AT99">
        <v>93</v>
      </c>
      <c r="AU99">
        <v>62</v>
      </c>
      <c r="AV99">
        <v>1</v>
      </c>
      <c r="AW99">
        <v>1</v>
      </c>
      <c r="AZ99">
        <v>1</v>
      </c>
      <c r="BA99">
        <v>29.33</v>
      </c>
      <c r="BB99">
        <v>11.52</v>
      </c>
      <c r="BC99">
        <v>8.48</v>
      </c>
      <c r="BD99" t="s">
        <v>3</v>
      </c>
      <c r="BE99" t="s">
        <v>3</v>
      </c>
      <c r="BF99" t="s">
        <v>3</v>
      </c>
      <c r="BG99" t="s">
        <v>3</v>
      </c>
      <c r="BH99">
        <v>0</v>
      </c>
      <c r="BI99">
        <v>1</v>
      </c>
      <c r="BJ99" t="s">
        <v>259</v>
      </c>
      <c r="BM99">
        <v>9001</v>
      </c>
      <c r="BN99">
        <v>0</v>
      </c>
      <c r="BO99" t="s">
        <v>3</v>
      </c>
      <c r="BP99">
        <v>0</v>
      </c>
      <c r="BQ99">
        <v>2</v>
      </c>
      <c r="BR99">
        <v>0</v>
      </c>
      <c r="BS99">
        <v>29.33</v>
      </c>
      <c r="BT99">
        <v>1</v>
      </c>
      <c r="BU99">
        <v>1</v>
      </c>
      <c r="BV99">
        <v>1</v>
      </c>
      <c r="BW99">
        <v>1</v>
      </c>
      <c r="BX99">
        <v>1</v>
      </c>
      <c r="BY99" t="s">
        <v>3</v>
      </c>
      <c r="BZ99">
        <v>93</v>
      </c>
      <c r="CA99">
        <v>62</v>
      </c>
      <c r="CB99" t="s">
        <v>3</v>
      </c>
      <c r="CE99">
        <v>0</v>
      </c>
      <c r="CF99">
        <v>0</v>
      </c>
      <c r="CG99">
        <v>0</v>
      </c>
      <c r="CM99">
        <v>0</v>
      </c>
      <c r="CN99" t="s">
        <v>597</v>
      </c>
      <c r="CO99">
        <v>0</v>
      </c>
      <c r="CP99">
        <f t="shared" ref="CP99:CP108" si="97">(P99+Q99+S99)</f>
        <v>537168.78</v>
      </c>
      <c r="CQ99">
        <f t="shared" ref="CQ99:CQ108" si="98">AC99*BC99</f>
        <v>724.95519999999999</v>
      </c>
      <c r="CR99">
        <f>((((ET99*1.25))*BB99-((EU99*1.25))*BS99)+AE99*BS99)</f>
        <v>4045.3186750000004</v>
      </c>
      <c r="CS99">
        <f t="shared" ref="CS99:CS108" si="99">AE99*BS99</f>
        <v>903.65729999999996</v>
      </c>
      <c r="CT99">
        <f t="shared" ref="CT99:CT108" si="100">AF99*BA99</f>
        <v>4156.3543</v>
      </c>
      <c r="CU99">
        <f t="shared" ref="CU99:CU108" si="101">AG99</f>
        <v>0</v>
      </c>
      <c r="CV99">
        <f t="shared" ref="CV99:CV108" si="102">AH99</f>
        <v>16.215</v>
      </c>
      <c r="CW99">
        <f t="shared" ref="CW99:CW108" si="103">AI99</f>
        <v>2.1875</v>
      </c>
      <c r="CX99">
        <f t="shared" ref="CX99:CX108" si="104">AJ99</f>
        <v>0</v>
      </c>
      <c r="CY99">
        <f t="shared" ref="CY99:CY108" si="105">(((S99+R99)*AT99)/100)</f>
        <v>283176.87180000002</v>
      </c>
      <c r="CZ99">
        <f t="shared" ref="CZ99:CZ108" si="106">(((S99+R99)*AU99)/100)</f>
        <v>188784.58120000002</v>
      </c>
      <c r="DC99" t="s">
        <v>3</v>
      </c>
      <c r="DD99" t="s">
        <v>3</v>
      </c>
      <c r="DE99" t="s">
        <v>148</v>
      </c>
      <c r="DF99" t="s">
        <v>148</v>
      </c>
      <c r="DG99" t="s">
        <v>149</v>
      </c>
      <c r="DH99" t="s">
        <v>3</v>
      </c>
      <c r="DI99" t="s">
        <v>149</v>
      </c>
      <c r="DJ99" t="s">
        <v>148</v>
      </c>
      <c r="DK99" t="s">
        <v>3</v>
      </c>
      <c r="DL99" t="s">
        <v>3</v>
      </c>
      <c r="DM99" t="s">
        <v>3</v>
      </c>
      <c r="DN99">
        <v>0</v>
      </c>
      <c r="DO99">
        <v>0</v>
      </c>
      <c r="DP99">
        <v>1</v>
      </c>
      <c r="DQ99">
        <v>1</v>
      </c>
      <c r="DU99">
        <v>1009</v>
      </c>
      <c r="DV99" t="s">
        <v>206</v>
      </c>
      <c r="DW99" t="s">
        <v>206</v>
      </c>
      <c r="DX99">
        <v>1000</v>
      </c>
      <c r="DZ99" t="s">
        <v>3</v>
      </c>
      <c r="EA99" t="s">
        <v>3</v>
      </c>
      <c r="EB99" t="s">
        <v>3</v>
      </c>
      <c r="EC99" t="s">
        <v>3</v>
      </c>
      <c r="EE99">
        <v>140625026</v>
      </c>
      <c r="EF99">
        <v>2</v>
      </c>
      <c r="EG99" t="s">
        <v>26</v>
      </c>
      <c r="EH99">
        <v>9</v>
      </c>
      <c r="EI99" t="s">
        <v>150</v>
      </c>
      <c r="EJ99">
        <v>1</v>
      </c>
      <c r="EK99">
        <v>9001</v>
      </c>
      <c r="EL99" t="s">
        <v>150</v>
      </c>
      <c r="EM99" t="s">
        <v>151</v>
      </c>
      <c r="EO99" t="s">
        <v>152</v>
      </c>
      <c r="EQ99">
        <v>0</v>
      </c>
      <c r="ER99">
        <v>489.65</v>
      </c>
      <c r="ES99">
        <v>85.49</v>
      </c>
      <c r="ET99">
        <v>280.93</v>
      </c>
      <c r="EU99">
        <v>24.65</v>
      </c>
      <c r="EV99">
        <v>123.23</v>
      </c>
      <c r="EW99">
        <v>14.1</v>
      </c>
      <c r="EX99">
        <v>1.75</v>
      </c>
      <c r="EY99">
        <v>0</v>
      </c>
      <c r="FQ99">
        <v>0</v>
      </c>
      <c r="FR99">
        <f t="shared" ref="FR99:FR108" si="107">ROUND(IF(BI99=3,GM99,0),2)</f>
        <v>0</v>
      </c>
      <c r="FS99">
        <v>0</v>
      </c>
      <c r="FX99">
        <v>93</v>
      </c>
      <c r="FY99">
        <v>62</v>
      </c>
      <c r="GA99" t="s">
        <v>3</v>
      </c>
      <c r="GD99">
        <v>1</v>
      </c>
      <c r="GF99">
        <v>1123762340</v>
      </c>
      <c r="GG99">
        <v>2</v>
      </c>
      <c r="GH99">
        <v>1</v>
      </c>
      <c r="GI99">
        <v>4</v>
      </c>
      <c r="GJ99">
        <v>0</v>
      </c>
      <c r="GK99">
        <v>0</v>
      </c>
      <c r="GL99">
        <f t="shared" ref="GL99:GL108" si="108">ROUND(IF(AND(BH99=3,BI99=3,FS99&lt;&gt;0),P99,0),2)</f>
        <v>0</v>
      </c>
      <c r="GM99">
        <f t="shared" ref="GM99:GM108" si="109">ROUND(O99+X99+Y99,2)+GX99</f>
        <v>1009130.23</v>
      </c>
      <c r="GN99">
        <f t="shared" ref="GN99:GN108" si="110">IF(OR(BI99=0,BI99=1),ROUND(O99+X99+Y99,2),0)</f>
        <v>1009130.23</v>
      </c>
      <c r="GO99">
        <f t="shared" ref="GO99:GO108" si="111">IF(BI99=2,ROUND(O99+X99+Y99,2),0)</f>
        <v>0</v>
      </c>
      <c r="GP99">
        <f t="shared" ref="GP99:GP108" si="112">IF(BI99=4,ROUND(O99+X99+Y99,2)+GX99,0)</f>
        <v>0</v>
      </c>
      <c r="GR99">
        <v>0</v>
      </c>
      <c r="GS99">
        <v>3</v>
      </c>
      <c r="GT99">
        <v>0</v>
      </c>
      <c r="GU99" t="s">
        <v>3</v>
      </c>
      <c r="GV99">
        <f t="shared" ref="GV99:GV108" si="113">ROUND((GT99),2)</f>
        <v>0</v>
      </c>
      <c r="GW99">
        <v>1</v>
      </c>
      <c r="GX99">
        <f t="shared" ref="GX99:GX108" si="114">ROUND(HC99*I99,2)</f>
        <v>0</v>
      </c>
      <c r="HA99">
        <v>0</v>
      </c>
      <c r="HB99">
        <v>0</v>
      </c>
      <c r="HC99">
        <f t="shared" ref="HC99:HC108" si="115">GV99*GW99</f>
        <v>0</v>
      </c>
      <c r="HE99" t="s">
        <v>3</v>
      </c>
      <c r="HF99" t="s">
        <v>3</v>
      </c>
      <c r="HM99" t="s">
        <v>3</v>
      </c>
      <c r="HN99" t="s">
        <v>153</v>
      </c>
      <c r="HO99" t="s">
        <v>154</v>
      </c>
      <c r="HP99" t="s">
        <v>150</v>
      </c>
      <c r="HQ99" t="s">
        <v>150</v>
      </c>
      <c r="IK99">
        <v>0</v>
      </c>
    </row>
    <row r="100" spans="1:245" x14ac:dyDescent="0.2">
      <c r="A100">
        <v>17</v>
      </c>
      <c r="B100">
        <v>1</v>
      </c>
      <c r="C100">
        <f>ROW(SmtRes!A132)</f>
        <v>132</v>
      </c>
      <c r="D100">
        <f>ROW(EtalonRes!A144)</f>
        <v>144</v>
      </c>
      <c r="E100" t="s">
        <v>260</v>
      </c>
      <c r="F100" t="s">
        <v>261</v>
      </c>
      <c r="G100" t="s">
        <v>262</v>
      </c>
      <c r="H100" t="s">
        <v>206</v>
      </c>
      <c r="I100">
        <f>ROUND((I101+I102)/1.02,9)</f>
        <v>59.58</v>
      </c>
      <c r="J100">
        <v>0</v>
      </c>
      <c r="K100">
        <f>ROUND((I101+I102)/1.02,9)</f>
        <v>59.58</v>
      </c>
      <c r="O100">
        <f t="shared" si="82"/>
        <v>646236.57999999996</v>
      </c>
      <c r="P100">
        <f t="shared" si="83"/>
        <v>20992.66</v>
      </c>
      <c r="Q100">
        <f t="shared" si="84"/>
        <v>157897.49</v>
      </c>
      <c r="R100">
        <f t="shared" si="85"/>
        <v>57439.71</v>
      </c>
      <c r="S100">
        <f t="shared" si="86"/>
        <v>467346.43</v>
      </c>
      <c r="T100">
        <f t="shared" si="87"/>
        <v>0</v>
      </c>
      <c r="U100">
        <f t="shared" si="88"/>
        <v>1656.3240000000001</v>
      </c>
      <c r="V100">
        <f t="shared" si="89"/>
        <v>179.9316</v>
      </c>
      <c r="W100">
        <f t="shared" si="90"/>
        <v>0</v>
      </c>
      <c r="X100">
        <f t="shared" si="91"/>
        <v>472307.53</v>
      </c>
      <c r="Y100">
        <f t="shared" si="92"/>
        <v>236153.76</v>
      </c>
      <c r="AA100">
        <v>145262827</v>
      </c>
      <c r="AB100">
        <f t="shared" si="93"/>
        <v>539.04</v>
      </c>
      <c r="AC100">
        <f t="shared" si="94"/>
        <v>41.55</v>
      </c>
      <c r="AD100">
        <f>ROUND((((ET100)-(EU100))+AE100),2)</f>
        <v>230.05</v>
      </c>
      <c r="AE100">
        <f t="shared" ref="AE100:AF102" si="116">ROUND((EU100),2)</f>
        <v>32.869999999999997</v>
      </c>
      <c r="AF100">
        <f t="shared" si="116"/>
        <v>267.44</v>
      </c>
      <c r="AG100">
        <f t="shared" si="95"/>
        <v>0</v>
      </c>
      <c r="AH100">
        <f t="shared" ref="AH100:AI102" si="117">(EW100)</f>
        <v>27.8</v>
      </c>
      <c r="AI100">
        <f t="shared" si="117"/>
        <v>3.02</v>
      </c>
      <c r="AJ100">
        <f t="shared" si="96"/>
        <v>0</v>
      </c>
      <c r="AK100">
        <v>539.04</v>
      </c>
      <c r="AL100">
        <v>41.55</v>
      </c>
      <c r="AM100">
        <v>230.05</v>
      </c>
      <c r="AN100">
        <v>32.869999999999997</v>
      </c>
      <c r="AO100">
        <v>267.44</v>
      </c>
      <c r="AP100">
        <v>0</v>
      </c>
      <c r="AQ100">
        <v>27.8</v>
      </c>
      <c r="AR100">
        <v>3.02</v>
      </c>
      <c r="AS100">
        <v>0</v>
      </c>
      <c r="AT100">
        <v>90</v>
      </c>
      <c r="AU100">
        <v>45</v>
      </c>
      <c r="AV100">
        <v>1</v>
      </c>
      <c r="AW100">
        <v>1</v>
      </c>
      <c r="AZ100">
        <v>1</v>
      </c>
      <c r="BA100">
        <v>29.33</v>
      </c>
      <c r="BB100">
        <v>11.52</v>
      </c>
      <c r="BC100">
        <v>8.48</v>
      </c>
      <c r="BD100" t="s">
        <v>3</v>
      </c>
      <c r="BE100" t="s">
        <v>3</v>
      </c>
      <c r="BF100" t="s">
        <v>3</v>
      </c>
      <c r="BG100" t="s">
        <v>3</v>
      </c>
      <c r="BH100">
        <v>0</v>
      </c>
      <c r="BI100">
        <v>2</v>
      </c>
      <c r="BJ100" t="s">
        <v>263</v>
      </c>
      <c r="BM100">
        <v>138001</v>
      </c>
      <c r="BN100">
        <v>0</v>
      </c>
      <c r="BO100" t="s">
        <v>3</v>
      </c>
      <c r="BP100">
        <v>0</v>
      </c>
      <c r="BQ100">
        <v>3</v>
      </c>
      <c r="BR100">
        <v>0</v>
      </c>
      <c r="BS100">
        <v>29.33</v>
      </c>
      <c r="BT100">
        <v>1</v>
      </c>
      <c r="BU100">
        <v>1</v>
      </c>
      <c r="BV100">
        <v>1</v>
      </c>
      <c r="BW100">
        <v>1</v>
      </c>
      <c r="BX100">
        <v>1</v>
      </c>
      <c r="BY100" t="s">
        <v>3</v>
      </c>
      <c r="BZ100">
        <v>90</v>
      </c>
      <c r="CA100">
        <v>45</v>
      </c>
      <c r="CB100" t="s">
        <v>3</v>
      </c>
      <c r="CE100">
        <v>0</v>
      </c>
      <c r="CF100">
        <v>0</v>
      </c>
      <c r="CG100">
        <v>0</v>
      </c>
      <c r="CM100">
        <v>0</v>
      </c>
      <c r="CN100" t="s">
        <v>3</v>
      </c>
      <c r="CO100">
        <v>0</v>
      </c>
      <c r="CP100">
        <f t="shared" si="97"/>
        <v>646236.57999999996</v>
      </c>
      <c r="CQ100">
        <f t="shared" si="98"/>
        <v>352.34399999999999</v>
      </c>
      <c r="CR100">
        <f>(((ET100)*BB100-(EU100)*BS100)+AE100*BS100)</f>
        <v>2650.1759999999999</v>
      </c>
      <c r="CS100">
        <f t="shared" si="99"/>
        <v>964.07709999999986</v>
      </c>
      <c r="CT100">
        <f t="shared" si="100"/>
        <v>7844.0151999999998</v>
      </c>
      <c r="CU100">
        <f t="shared" si="101"/>
        <v>0</v>
      </c>
      <c r="CV100">
        <f t="shared" si="102"/>
        <v>27.8</v>
      </c>
      <c r="CW100">
        <f t="shared" si="103"/>
        <v>3.02</v>
      </c>
      <c r="CX100">
        <f t="shared" si="104"/>
        <v>0</v>
      </c>
      <c r="CY100">
        <f t="shared" si="105"/>
        <v>472307.52600000001</v>
      </c>
      <c r="CZ100">
        <f t="shared" si="106"/>
        <v>236153.76300000001</v>
      </c>
      <c r="DC100" t="s">
        <v>3</v>
      </c>
      <c r="DD100" t="s">
        <v>3</v>
      </c>
      <c r="DE100" t="s">
        <v>3</v>
      </c>
      <c r="DF100" t="s">
        <v>3</v>
      </c>
      <c r="DG100" t="s">
        <v>3</v>
      </c>
      <c r="DH100" t="s">
        <v>3</v>
      </c>
      <c r="DI100" t="s">
        <v>3</v>
      </c>
      <c r="DJ100" t="s">
        <v>3</v>
      </c>
      <c r="DK100" t="s">
        <v>3</v>
      </c>
      <c r="DL100" t="s">
        <v>3</v>
      </c>
      <c r="DM100" t="s">
        <v>3</v>
      </c>
      <c r="DN100">
        <v>0</v>
      </c>
      <c r="DO100">
        <v>0</v>
      </c>
      <c r="DP100">
        <v>1</v>
      </c>
      <c r="DQ100">
        <v>1</v>
      </c>
      <c r="DU100">
        <v>1009</v>
      </c>
      <c r="DV100" t="s">
        <v>206</v>
      </c>
      <c r="DW100" t="s">
        <v>206</v>
      </c>
      <c r="DX100">
        <v>1000</v>
      </c>
      <c r="DZ100" t="s">
        <v>3</v>
      </c>
      <c r="EA100" t="s">
        <v>3</v>
      </c>
      <c r="EB100" t="s">
        <v>3</v>
      </c>
      <c r="EC100" t="s">
        <v>3</v>
      </c>
      <c r="EE100">
        <v>140624915</v>
      </c>
      <c r="EF100">
        <v>3</v>
      </c>
      <c r="EG100" t="s">
        <v>208</v>
      </c>
      <c r="EH100">
        <v>80</v>
      </c>
      <c r="EI100" t="s">
        <v>209</v>
      </c>
      <c r="EJ100">
        <v>2</v>
      </c>
      <c r="EK100">
        <v>138001</v>
      </c>
      <c r="EL100" t="s">
        <v>209</v>
      </c>
      <c r="EM100" t="s">
        <v>210</v>
      </c>
      <c r="EO100" t="s">
        <v>3</v>
      </c>
      <c r="EQ100">
        <v>0</v>
      </c>
      <c r="ER100">
        <v>539.04</v>
      </c>
      <c r="ES100">
        <v>41.55</v>
      </c>
      <c r="ET100">
        <v>230.05</v>
      </c>
      <c r="EU100">
        <v>32.869999999999997</v>
      </c>
      <c r="EV100">
        <v>267.44</v>
      </c>
      <c r="EW100">
        <v>27.8</v>
      </c>
      <c r="EX100">
        <v>3.02</v>
      </c>
      <c r="EY100">
        <v>0</v>
      </c>
      <c r="FQ100">
        <v>0</v>
      </c>
      <c r="FR100">
        <f t="shared" si="107"/>
        <v>0</v>
      </c>
      <c r="FS100">
        <v>0</v>
      </c>
      <c r="FX100">
        <v>90</v>
      </c>
      <c r="FY100">
        <v>45</v>
      </c>
      <c r="GA100" t="s">
        <v>3</v>
      </c>
      <c r="GD100">
        <v>1</v>
      </c>
      <c r="GF100">
        <v>844820237</v>
      </c>
      <c r="GG100">
        <v>2</v>
      </c>
      <c r="GH100">
        <v>1</v>
      </c>
      <c r="GI100">
        <v>4</v>
      </c>
      <c r="GJ100">
        <v>0</v>
      </c>
      <c r="GK100">
        <v>0</v>
      </c>
      <c r="GL100">
        <f t="shared" si="108"/>
        <v>0</v>
      </c>
      <c r="GM100">
        <f t="shared" si="109"/>
        <v>1354697.87</v>
      </c>
      <c r="GN100">
        <f t="shared" si="110"/>
        <v>0</v>
      </c>
      <c r="GO100">
        <f t="shared" si="111"/>
        <v>1354697.87</v>
      </c>
      <c r="GP100">
        <f t="shared" si="112"/>
        <v>0</v>
      </c>
      <c r="GR100">
        <v>0</v>
      </c>
      <c r="GS100">
        <v>3</v>
      </c>
      <c r="GT100">
        <v>0</v>
      </c>
      <c r="GU100" t="s">
        <v>3</v>
      </c>
      <c r="GV100">
        <f t="shared" si="113"/>
        <v>0</v>
      </c>
      <c r="GW100">
        <v>1</v>
      </c>
      <c r="GX100">
        <f t="shared" si="114"/>
        <v>0</v>
      </c>
      <c r="HA100">
        <v>0</v>
      </c>
      <c r="HB100">
        <v>0</v>
      </c>
      <c r="HC100">
        <f t="shared" si="115"/>
        <v>0</v>
      </c>
      <c r="HE100" t="s">
        <v>3</v>
      </c>
      <c r="HF100" t="s">
        <v>3</v>
      </c>
      <c r="HM100" t="s">
        <v>3</v>
      </c>
      <c r="HN100" t="s">
        <v>211</v>
      </c>
      <c r="HO100" t="s">
        <v>212</v>
      </c>
      <c r="HP100" t="s">
        <v>209</v>
      </c>
      <c r="HQ100" t="s">
        <v>209</v>
      </c>
      <c r="IK100">
        <v>0</v>
      </c>
    </row>
    <row r="101" spans="1:245" x14ac:dyDescent="0.2">
      <c r="A101">
        <v>17</v>
      </c>
      <c r="B101">
        <v>1</v>
      </c>
      <c r="E101" t="s">
        <v>264</v>
      </c>
      <c r="F101" t="s">
        <v>156</v>
      </c>
      <c r="G101" t="s">
        <v>265</v>
      </c>
      <c r="H101" t="s">
        <v>206</v>
      </c>
      <c r="I101">
        <f>ROUND(57.4*1.02,9)</f>
        <v>58.548000000000002</v>
      </c>
      <c r="J101">
        <v>0</v>
      </c>
      <c r="K101">
        <f>ROUND(57.4*1.02,9)</f>
        <v>58.548000000000002</v>
      </c>
      <c r="O101">
        <f t="shared" si="82"/>
        <v>4593622.22</v>
      </c>
      <c r="P101">
        <f t="shared" si="83"/>
        <v>4593622.22</v>
      </c>
      <c r="Q101">
        <f t="shared" si="84"/>
        <v>0</v>
      </c>
      <c r="R101">
        <f t="shared" si="85"/>
        <v>0</v>
      </c>
      <c r="S101">
        <f t="shared" si="86"/>
        <v>0</v>
      </c>
      <c r="T101">
        <f t="shared" si="87"/>
        <v>0</v>
      </c>
      <c r="U101">
        <f t="shared" si="88"/>
        <v>0</v>
      </c>
      <c r="V101">
        <f t="shared" si="89"/>
        <v>0</v>
      </c>
      <c r="W101">
        <f t="shared" si="90"/>
        <v>0</v>
      </c>
      <c r="X101">
        <f t="shared" si="91"/>
        <v>0</v>
      </c>
      <c r="Y101">
        <f t="shared" si="92"/>
        <v>0</v>
      </c>
      <c r="AA101">
        <v>145262827</v>
      </c>
      <c r="AB101">
        <f t="shared" si="93"/>
        <v>9252.25</v>
      </c>
      <c r="AC101">
        <f t="shared" si="94"/>
        <v>9252.25</v>
      </c>
      <c r="AD101">
        <f>ROUND((((ET101)-(EU101))+AE101),2)</f>
        <v>0</v>
      </c>
      <c r="AE101">
        <f t="shared" si="116"/>
        <v>0</v>
      </c>
      <c r="AF101">
        <f t="shared" si="116"/>
        <v>0</v>
      </c>
      <c r="AG101">
        <f t="shared" si="95"/>
        <v>0</v>
      </c>
      <c r="AH101">
        <f t="shared" si="117"/>
        <v>0</v>
      </c>
      <c r="AI101">
        <f t="shared" si="117"/>
        <v>0</v>
      </c>
      <c r="AJ101">
        <f t="shared" si="96"/>
        <v>0</v>
      </c>
      <c r="AK101">
        <v>9252.2499999999982</v>
      </c>
      <c r="AL101">
        <v>9252.2499999999982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1</v>
      </c>
      <c r="AW101">
        <v>1</v>
      </c>
      <c r="AZ101">
        <v>1</v>
      </c>
      <c r="BA101">
        <v>1</v>
      </c>
      <c r="BB101">
        <v>1</v>
      </c>
      <c r="BC101">
        <v>8.48</v>
      </c>
      <c r="BD101" t="s">
        <v>3</v>
      </c>
      <c r="BE101" t="s">
        <v>3</v>
      </c>
      <c r="BF101" t="s">
        <v>3</v>
      </c>
      <c r="BG101" t="s">
        <v>3</v>
      </c>
      <c r="BH101">
        <v>3</v>
      </c>
      <c r="BI101">
        <v>1</v>
      </c>
      <c r="BJ101" t="s">
        <v>3</v>
      </c>
      <c r="BM101">
        <v>1100</v>
      </c>
      <c r="BN101">
        <v>0</v>
      </c>
      <c r="BO101" t="s">
        <v>3</v>
      </c>
      <c r="BP101">
        <v>0</v>
      </c>
      <c r="BQ101">
        <v>8</v>
      </c>
      <c r="BR101">
        <v>0</v>
      </c>
      <c r="BS101">
        <v>1</v>
      </c>
      <c r="BT101">
        <v>1</v>
      </c>
      <c r="BU101">
        <v>1</v>
      </c>
      <c r="BV101">
        <v>1</v>
      </c>
      <c r="BW101">
        <v>1</v>
      </c>
      <c r="BX101">
        <v>1</v>
      </c>
      <c r="BY101" t="s">
        <v>3</v>
      </c>
      <c r="BZ101">
        <v>0</v>
      </c>
      <c r="CA101">
        <v>0</v>
      </c>
      <c r="CB101" t="s">
        <v>3</v>
      </c>
      <c r="CE101">
        <v>0</v>
      </c>
      <c r="CF101">
        <v>0</v>
      </c>
      <c r="CG101">
        <v>0</v>
      </c>
      <c r="CM101">
        <v>0</v>
      </c>
      <c r="CN101" t="s">
        <v>3</v>
      </c>
      <c r="CO101">
        <v>0</v>
      </c>
      <c r="CP101">
        <f t="shared" si="97"/>
        <v>4593622.22</v>
      </c>
      <c r="CQ101">
        <f t="shared" si="98"/>
        <v>78459.08</v>
      </c>
      <c r="CR101">
        <f>(((ET101)*BB101-(EU101)*BS101)+AE101*BS101)</f>
        <v>0</v>
      </c>
      <c r="CS101">
        <f t="shared" si="99"/>
        <v>0</v>
      </c>
      <c r="CT101">
        <f t="shared" si="100"/>
        <v>0</v>
      </c>
      <c r="CU101">
        <f t="shared" si="101"/>
        <v>0</v>
      </c>
      <c r="CV101">
        <f t="shared" si="102"/>
        <v>0</v>
      </c>
      <c r="CW101">
        <f t="shared" si="103"/>
        <v>0</v>
      </c>
      <c r="CX101">
        <f t="shared" si="104"/>
        <v>0</v>
      </c>
      <c r="CY101">
        <f t="shared" si="105"/>
        <v>0</v>
      </c>
      <c r="CZ101">
        <f t="shared" si="106"/>
        <v>0</v>
      </c>
      <c r="DC101" t="s">
        <v>3</v>
      </c>
      <c r="DD101" t="s">
        <v>3</v>
      </c>
      <c r="DE101" t="s">
        <v>3</v>
      </c>
      <c r="DF101" t="s">
        <v>3</v>
      </c>
      <c r="DG101" t="s">
        <v>3</v>
      </c>
      <c r="DH101" t="s">
        <v>3</v>
      </c>
      <c r="DI101" t="s">
        <v>3</v>
      </c>
      <c r="DJ101" t="s">
        <v>3</v>
      </c>
      <c r="DK101" t="s">
        <v>3</v>
      </c>
      <c r="DL101" t="s">
        <v>3</v>
      </c>
      <c r="DM101" t="s">
        <v>3</v>
      </c>
      <c r="DN101">
        <v>0</v>
      </c>
      <c r="DO101">
        <v>0</v>
      </c>
      <c r="DP101">
        <v>1</v>
      </c>
      <c r="DQ101">
        <v>1</v>
      </c>
      <c r="DU101">
        <v>1009</v>
      </c>
      <c r="DV101" t="s">
        <v>206</v>
      </c>
      <c r="DW101" t="s">
        <v>206</v>
      </c>
      <c r="DX101">
        <v>1000</v>
      </c>
      <c r="DZ101" t="s">
        <v>3</v>
      </c>
      <c r="EA101" t="s">
        <v>3</v>
      </c>
      <c r="EB101" t="s">
        <v>3</v>
      </c>
      <c r="EC101" t="s">
        <v>3</v>
      </c>
      <c r="EE101">
        <v>140625274</v>
      </c>
      <c r="EF101">
        <v>8</v>
      </c>
      <c r="EG101" t="s">
        <v>84</v>
      </c>
      <c r="EH101">
        <v>0</v>
      </c>
      <c r="EI101" t="s">
        <v>3</v>
      </c>
      <c r="EJ101">
        <v>1</v>
      </c>
      <c r="EK101">
        <v>1100</v>
      </c>
      <c r="EL101" t="s">
        <v>85</v>
      </c>
      <c r="EM101" t="s">
        <v>86</v>
      </c>
      <c r="EO101" t="s">
        <v>3</v>
      </c>
      <c r="EQ101">
        <v>0</v>
      </c>
      <c r="ER101">
        <v>9252.2499999999982</v>
      </c>
      <c r="ES101">
        <v>9252.2499999999982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5</v>
      </c>
      <c r="FC101">
        <v>1</v>
      </c>
      <c r="FD101">
        <v>18</v>
      </c>
      <c r="FF101">
        <v>89000</v>
      </c>
      <c r="FQ101">
        <v>0</v>
      </c>
      <c r="FR101">
        <f t="shared" si="107"/>
        <v>0</v>
      </c>
      <c r="FS101">
        <v>0</v>
      </c>
      <c r="FX101">
        <v>0</v>
      </c>
      <c r="FY101">
        <v>0</v>
      </c>
      <c r="GA101" t="s">
        <v>266</v>
      </c>
      <c r="GD101">
        <v>1</v>
      </c>
      <c r="GF101">
        <v>-1470958760</v>
      </c>
      <c r="GG101">
        <v>2</v>
      </c>
      <c r="GH101">
        <v>3</v>
      </c>
      <c r="GI101">
        <v>4</v>
      </c>
      <c r="GJ101">
        <v>0</v>
      </c>
      <c r="GK101">
        <v>0</v>
      </c>
      <c r="GL101">
        <f t="shared" si="108"/>
        <v>0</v>
      </c>
      <c r="GM101">
        <f t="shared" si="109"/>
        <v>4593622.22</v>
      </c>
      <c r="GN101">
        <f t="shared" si="110"/>
        <v>4593622.22</v>
      </c>
      <c r="GO101">
        <f t="shared" si="111"/>
        <v>0</v>
      </c>
      <c r="GP101">
        <f t="shared" si="112"/>
        <v>0</v>
      </c>
      <c r="GR101">
        <v>1</v>
      </c>
      <c r="GS101">
        <v>1</v>
      </c>
      <c r="GT101">
        <v>0</v>
      </c>
      <c r="GU101" t="s">
        <v>3</v>
      </c>
      <c r="GV101">
        <f t="shared" si="113"/>
        <v>0</v>
      </c>
      <c r="GW101">
        <v>1</v>
      </c>
      <c r="GX101">
        <f t="shared" si="114"/>
        <v>0</v>
      </c>
      <c r="HA101">
        <v>0</v>
      </c>
      <c r="HB101">
        <v>0</v>
      </c>
      <c r="HC101">
        <f t="shared" si="115"/>
        <v>0</v>
      </c>
      <c r="HE101" t="s">
        <v>53</v>
      </c>
      <c r="HF101" t="s">
        <v>216</v>
      </c>
      <c r="HM101" t="s">
        <v>3</v>
      </c>
      <c r="HN101" t="s">
        <v>3</v>
      </c>
      <c r="HO101" t="s">
        <v>3</v>
      </c>
      <c r="HP101" t="s">
        <v>3</v>
      </c>
      <c r="HQ101" t="s">
        <v>3</v>
      </c>
      <c r="IK101">
        <v>0</v>
      </c>
    </row>
    <row r="102" spans="1:245" x14ac:dyDescent="0.2">
      <c r="A102">
        <v>17</v>
      </c>
      <c r="B102">
        <v>1</v>
      </c>
      <c r="E102" t="s">
        <v>267</v>
      </c>
      <c r="F102" t="s">
        <v>156</v>
      </c>
      <c r="G102" t="s">
        <v>268</v>
      </c>
      <c r="H102" t="s">
        <v>206</v>
      </c>
      <c r="I102">
        <f>ROUND(2.18*1.02,9)</f>
        <v>2.2235999999999998</v>
      </c>
      <c r="J102">
        <v>0</v>
      </c>
      <c r="K102">
        <f>ROUND(2.18*1.02,9)</f>
        <v>2.2235999999999998</v>
      </c>
      <c r="O102">
        <f t="shared" si="82"/>
        <v>148978.31</v>
      </c>
      <c r="P102">
        <f t="shared" si="83"/>
        <v>148978.31</v>
      </c>
      <c r="Q102">
        <f t="shared" si="84"/>
        <v>0</v>
      </c>
      <c r="R102">
        <f t="shared" si="85"/>
        <v>0</v>
      </c>
      <c r="S102">
        <f t="shared" si="86"/>
        <v>0</v>
      </c>
      <c r="T102">
        <f t="shared" si="87"/>
        <v>0</v>
      </c>
      <c r="U102">
        <f t="shared" si="88"/>
        <v>0</v>
      </c>
      <c r="V102">
        <f t="shared" si="89"/>
        <v>0</v>
      </c>
      <c r="W102">
        <f t="shared" si="90"/>
        <v>0</v>
      </c>
      <c r="X102">
        <f t="shared" si="91"/>
        <v>0</v>
      </c>
      <c r="Y102">
        <f t="shared" si="92"/>
        <v>0</v>
      </c>
      <c r="AA102">
        <v>145262827</v>
      </c>
      <c r="AB102">
        <f t="shared" si="93"/>
        <v>7900.79</v>
      </c>
      <c r="AC102">
        <f t="shared" si="94"/>
        <v>7900.79</v>
      </c>
      <c r="AD102">
        <f>ROUND((((ET102)-(EU102))+AE102),2)</f>
        <v>0</v>
      </c>
      <c r="AE102">
        <f t="shared" si="116"/>
        <v>0</v>
      </c>
      <c r="AF102">
        <f t="shared" si="116"/>
        <v>0</v>
      </c>
      <c r="AG102">
        <f t="shared" si="95"/>
        <v>0</v>
      </c>
      <c r="AH102">
        <f t="shared" si="117"/>
        <v>0</v>
      </c>
      <c r="AI102">
        <f t="shared" si="117"/>
        <v>0</v>
      </c>
      <c r="AJ102">
        <f t="shared" si="96"/>
        <v>0</v>
      </c>
      <c r="AK102">
        <v>7900.7900000000009</v>
      </c>
      <c r="AL102">
        <v>7900.7900000000009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1</v>
      </c>
      <c r="AW102">
        <v>1</v>
      </c>
      <c r="AZ102">
        <v>1</v>
      </c>
      <c r="BA102">
        <v>1</v>
      </c>
      <c r="BB102">
        <v>1</v>
      </c>
      <c r="BC102">
        <v>8.48</v>
      </c>
      <c r="BD102" t="s">
        <v>3</v>
      </c>
      <c r="BE102" t="s">
        <v>3</v>
      </c>
      <c r="BF102" t="s">
        <v>3</v>
      </c>
      <c r="BG102" t="s">
        <v>3</v>
      </c>
      <c r="BH102">
        <v>3</v>
      </c>
      <c r="BI102">
        <v>1</v>
      </c>
      <c r="BJ102" t="s">
        <v>3</v>
      </c>
      <c r="BM102">
        <v>1100</v>
      </c>
      <c r="BN102">
        <v>0</v>
      </c>
      <c r="BO102" t="s">
        <v>3</v>
      </c>
      <c r="BP102">
        <v>0</v>
      </c>
      <c r="BQ102">
        <v>8</v>
      </c>
      <c r="BR102">
        <v>0</v>
      </c>
      <c r="BS102">
        <v>1</v>
      </c>
      <c r="BT102">
        <v>1</v>
      </c>
      <c r="BU102">
        <v>1</v>
      </c>
      <c r="BV102">
        <v>1</v>
      </c>
      <c r="BW102">
        <v>1</v>
      </c>
      <c r="BX102">
        <v>1</v>
      </c>
      <c r="BY102" t="s">
        <v>3</v>
      </c>
      <c r="BZ102">
        <v>0</v>
      </c>
      <c r="CA102">
        <v>0</v>
      </c>
      <c r="CB102" t="s">
        <v>3</v>
      </c>
      <c r="CE102">
        <v>0</v>
      </c>
      <c r="CF102">
        <v>0</v>
      </c>
      <c r="CG102">
        <v>0</v>
      </c>
      <c r="CM102">
        <v>0</v>
      </c>
      <c r="CN102" t="s">
        <v>3</v>
      </c>
      <c r="CO102">
        <v>0</v>
      </c>
      <c r="CP102">
        <f t="shared" si="97"/>
        <v>148978.31</v>
      </c>
      <c r="CQ102">
        <f t="shared" si="98"/>
        <v>66998.699200000003</v>
      </c>
      <c r="CR102">
        <f>(((ET102)*BB102-(EU102)*BS102)+AE102*BS102)</f>
        <v>0</v>
      </c>
      <c r="CS102">
        <f t="shared" si="99"/>
        <v>0</v>
      </c>
      <c r="CT102">
        <f t="shared" si="100"/>
        <v>0</v>
      </c>
      <c r="CU102">
        <f t="shared" si="101"/>
        <v>0</v>
      </c>
      <c r="CV102">
        <f t="shared" si="102"/>
        <v>0</v>
      </c>
      <c r="CW102">
        <f t="shared" si="103"/>
        <v>0</v>
      </c>
      <c r="CX102">
        <f t="shared" si="104"/>
        <v>0</v>
      </c>
      <c r="CY102">
        <f t="shared" si="105"/>
        <v>0</v>
      </c>
      <c r="CZ102">
        <f t="shared" si="106"/>
        <v>0</v>
      </c>
      <c r="DC102" t="s">
        <v>3</v>
      </c>
      <c r="DD102" t="s">
        <v>3</v>
      </c>
      <c r="DE102" t="s">
        <v>3</v>
      </c>
      <c r="DF102" t="s">
        <v>3</v>
      </c>
      <c r="DG102" t="s">
        <v>3</v>
      </c>
      <c r="DH102" t="s">
        <v>3</v>
      </c>
      <c r="DI102" t="s">
        <v>3</v>
      </c>
      <c r="DJ102" t="s">
        <v>3</v>
      </c>
      <c r="DK102" t="s">
        <v>3</v>
      </c>
      <c r="DL102" t="s">
        <v>3</v>
      </c>
      <c r="DM102" t="s">
        <v>3</v>
      </c>
      <c r="DN102">
        <v>0</v>
      </c>
      <c r="DO102">
        <v>0</v>
      </c>
      <c r="DP102">
        <v>1</v>
      </c>
      <c r="DQ102">
        <v>1</v>
      </c>
      <c r="DU102">
        <v>1009</v>
      </c>
      <c r="DV102" t="s">
        <v>206</v>
      </c>
      <c r="DW102" t="s">
        <v>206</v>
      </c>
      <c r="DX102">
        <v>1000</v>
      </c>
      <c r="DZ102" t="s">
        <v>3</v>
      </c>
      <c r="EA102" t="s">
        <v>3</v>
      </c>
      <c r="EB102" t="s">
        <v>3</v>
      </c>
      <c r="EC102" t="s">
        <v>3</v>
      </c>
      <c r="EE102">
        <v>140625274</v>
      </c>
      <c r="EF102">
        <v>8</v>
      </c>
      <c r="EG102" t="s">
        <v>84</v>
      </c>
      <c r="EH102">
        <v>0</v>
      </c>
      <c r="EI102" t="s">
        <v>3</v>
      </c>
      <c r="EJ102">
        <v>1</v>
      </c>
      <c r="EK102">
        <v>1100</v>
      </c>
      <c r="EL102" t="s">
        <v>85</v>
      </c>
      <c r="EM102" t="s">
        <v>86</v>
      </c>
      <c r="EO102" t="s">
        <v>3</v>
      </c>
      <c r="EQ102">
        <v>0</v>
      </c>
      <c r="ER102">
        <v>7900.7900000000009</v>
      </c>
      <c r="ES102">
        <v>7900.7900000000009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5</v>
      </c>
      <c r="FC102">
        <v>1</v>
      </c>
      <c r="FD102">
        <v>18</v>
      </c>
      <c r="FF102">
        <v>76000</v>
      </c>
      <c r="FQ102">
        <v>0</v>
      </c>
      <c r="FR102">
        <f t="shared" si="107"/>
        <v>0</v>
      </c>
      <c r="FS102">
        <v>0</v>
      </c>
      <c r="FX102">
        <v>0</v>
      </c>
      <c r="FY102">
        <v>0</v>
      </c>
      <c r="GA102" t="s">
        <v>269</v>
      </c>
      <c r="GD102">
        <v>1</v>
      </c>
      <c r="GF102">
        <v>241088314</v>
      </c>
      <c r="GG102">
        <v>2</v>
      </c>
      <c r="GH102">
        <v>3</v>
      </c>
      <c r="GI102">
        <v>4</v>
      </c>
      <c r="GJ102">
        <v>0</v>
      </c>
      <c r="GK102">
        <v>0</v>
      </c>
      <c r="GL102">
        <f t="shared" si="108"/>
        <v>0</v>
      </c>
      <c r="GM102">
        <f t="shared" si="109"/>
        <v>148978.31</v>
      </c>
      <c r="GN102">
        <f t="shared" si="110"/>
        <v>148978.31</v>
      </c>
      <c r="GO102">
        <f t="shared" si="111"/>
        <v>0</v>
      </c>
      <c r="GP102">
        <f t="shared" si="112"/>
        <v>0</v>
      </c>
      <c r="GR102">
        <v>1</v>
      </c>
      <c r="GS102">
        <v>1</v>
      </c>
      <c r="GT102">
        <v>0</v>
      </c>
      <c r="GU102" t="s">
        <v>3</v>
      </c>
      <c r="GV102">
        <f t="shared" si="113"/>
        <v>0</v>
      </c>
      <c r="GW102">
        <v>1</v>
      </c>
      <c r="GX102">
        <f t="shared" si="114"/>
        <v>0</v>
      </c>
      <c r="HA102">
        <v>0</v>
      </c>
      <c r="HB102">
        <v>0</v>
      </c>
      <c r="HC102">
        <f t="shared" si="115"/>
        <v>0</v>
      </c>
      <c r="HE102" t="s">
        <v>53</v>
      </c>
      <c r="HF102" t="s">
        <v>216</v>
      </c>
      <c r="HM102" t="s">
        <v>3</v>
      </c>
      <c r="HN102" t="s">
        <v>3</v>
      </c>
      <c r="HO102" t="s">
        <v>3</v>
      </c>
      <c r="HP102" t="s">
        <v>3</v>
      </c>
      <c r="HQ102" t="s">
        <v>3</v>
      </c>
      <c r="IK102">
        <v>0</v>
      </c>
    </row>
    <row r="103" spans="1:245" x14ac:dyDescent="0.2">
      <c r="A103">
        <v>17</v>
      </c>
      <c r="B103">
        <v>1</v>
      </c>
      <c r="C103">
        <f>ROW(SmtRes!A140)</f>
        <v>140</v>
      </c>
      <c r="D103">
        <f>ROW(EtalonRes!A153)</f>
        <v>153</v>
      </c>
      <c r="E103" t="s">
        <v>270</v>
      </c>
      <c r="F103" t="s">
        <v>271</v>
      </c>
      <c r="G103" t="s">
        <v>272</v>
      </c>
      <c r="H103" t="s">
        <v>170</v>
      </c>
      <c r="I103">
        <f>ROUND(662/100,9)</f>
        <v>6.62</v>
      </c>
      <c r="J103">
        <v>0</v>
      </c>
      <c r="K103">
        <f>ROUND(662/100,9)</f>
        <v>6.62</v>
      </c>
      <c r="O103">
        <f t="shared" si="82"/>
        <v>18260.43</v>
      </c>
      <c r="P103">
        <f t="shared" si="83"/>
        <v>1089.6300000000001</v>
      </c>
      <c r="Q103">
        <f t="shared" si="84"/>
        <v>4623.88</v>
      </c>
      <c r="R103">
        <f t="shared" si="85"/>
        <v>1283.43</v>
      </c>
      <c r="S103">
        <f t="shared" si="86"/>
        <v>12546.92</v>
      </c>
      <c r="T103">
        <f t="shared" si="87"/>
        <v>0</v>
      </c>
      <c r="U103">
        <f t="shared" si="88"/>
        <v>48.285452499999998</v>
      </c>
      <c r="V103">
        <f t="shared" si="89"/>
        <v>3.3927499999999999</v>
      </c>
      <c r="W103">
        <f t="shared" si="90"/>
        <v>0</v>
      </c>
      <c r="X103">
        <f t="shared" si="91"/>
        <v>15075.08</v>
      </c>
      <c r="Y103">
        <f t="shared" si="92"/>
        <v>7883.3</v>
      </c>
      <c r="AA103">
        <v>145262827</v>
      </c>
      <c r="AB103">
        <f t="shared" si="93"/>
        <v>144.66999999999999</v>
      </c>
      <c r="AC103">
        <f t="shared" si="94"/>
        <v>19.41</v>
      </c>
      <c r="AD103">
        <f>ROUND(((((ET103*1.25))-((EU103*1.25)))+AE103),2)</f>
        <v>60.64</v>
      </c>
      <c r="AE103">
        <f>ROUND(((EU103*1.25)),2)</f>
        <v>6.61</v>
      </c>
      <c r="AF103">
        <f>ROUND((((EV103*(1+(0.005*(30-15))))*1.15)),2)</f>
        <v>64.62</v>
      </c>
      <c r="AG103">
        <f t="shared" si="95"/>
        <v>0</v>
      </c>
      <c r="AH103">
        <f>(((EW103*(1+(0.005*(30-15))))*1.15))</f>
        <v>7.2938749999999999</v>
      </c>
      <c r="AI103">
        <f>((EX103*1.25))</f>
        <v>0.51249999999999996</v>
      </c>
      <c r="AJ103">
        <f t="shared" si="96"/>
        <v>0</v>
      </c>
      <c r="AK103">
        <v>120.19</v>
      </c>
      <c r="AL103">
        <v>19.41</v>
      </c>
      <c r="AM103">
        <v>48.51</v>
      </c>
      <c r="AN103">
        <v>5.29</v>
      </c>
      <c r="AO103">
        <v>52.27</v>
      </c>
      <c r="AP103">
        <v>0</v>
      </c>
      <c r="AQ103">
        <v>5.9</v>
      </c>
      <c r="AR103">
        <v>0.41</v>
      </c>
      <c r="AS103">
        <v>0</v>
      </c>
      <c r="AT103">
        <v>109</v>
      </c>
      <c r="AU103">
        <v>57</v>
      </c>
      <c r="AV103">
        <v>1</v>
      </c>
      <c r="AW103">
        <v>1</v>
      </c>
      <c r="AZ103">
        <v>1</v>
      </c>
      <c r="BA103">
        <v>29.33</v>
      </c>
      <c r="BB103">
        <v>11.52</v>
      </c>
      <c r="BC103">
        <v>8.48</v>
      </c>
      <c r="BD103" t="s">
        <v>3</v>
      </c>
      <c r="BE103" t="s">
        <v>3</v>
      </c>
      <c r="BF103" t="s">
        <v>3</v>
      </c>
      <c r="BG103" t="s">
        <v>3</v>
      </c>
      <c r="BH103">
        <v>0</v>
      </c>
      <c r="BI103">
        <v>1</v>
      </c>
      <c r="BJ103" t="s">
        <v>273</v>
      </c>
      <c r="BM103">
        <v>12001</v>
      </c>
      <c r="BN103">
        <v>0</v>
      </c>
      <c r="BO103" t="s">
        <v>3</v>
      </c>
      <c r="BP103">
        <v>0</v>
      </c>
      <c r="BQ103">
        <v>2</v>
      </c>
      <c r="BR103">
        <v>0</v>
      </c>
      <c r="BS103">
        <v>29.33</v>
      </c>
      <c r="BT103">
        <v>1</v>
      </c>
      <c r="BU103">
        <v>1</v>
      </c>
      <c r="BV103">
        <v>1</v>
      </c>
      <c r="BW103">
        <v>1</v>
      </c>
      <c r="BX103">
        <v>1</v>
      </c>
      <c r="BY103" t="s">
        <v>3</v>
      </c>
      <c r="BZ103">
        <v>109</v>
      </c>
      <c r="CA103">
        <v>57</v>
      </c>
      <c r="CB103" t="s">
        <v>3</v>
      </c>
      <c r="CE103">
        <v>0</v>
      </c>
      <c r="CF103">
        <v>0</v>
      </c>
      <c r="CG103">
        <v>0</v>
      </c>
      <c r="CM103">
        <v>0</v>
      </c>
      <c r="CN103" t="s">
        <v>598</v>
      </c>
      <c r="CO103">
        <v>0</v>
      </c>
      <c r="CP103">
        <f t="shared" si="97"/>
        <v>18260.43</v>
      </c>
      <c r="CQ103">
        <f t="shared" si="98"/>
        <v>164.5968</v>
      </c>
      <c r="CR103">
        <f>((((ET103*1.25))*BB103-((EU103*1.25))*BS103)+AE103*BS103)</f>
        <v>698.47067499999991</v>
      </c>
      <c r="CS103">
        <f t="shared" si="99"/>
        <v>193.87129999999999</v>
      </c>
      <c r="CT103">
        <f t="shared" si="100"/>
        <v>1895.3045999999999</v>
      </c>
      <c r="CU103">
        <f t="shared" si="101"/>
        <v>0</v>
      </c>
      <c r="CV103">
        <f t="shared" si="102"/>
        <v>7.2938749999999999</v>
      </c>
      <c r="CW103">
        <f t="shared" si="103"/>
        <v>0.51249999999999996</v>
      </c>
      <c r="CX103">
        <f t="shared" si="104"/>
        <v>0</v>
      </c>
      <c r="CY103">
        <f t="shared" si="105"/>
        <v>15075.081500000002</v>
      </c>
      <c r="CZ103">
        <f t="shared" si="106"/>
        <v>7883.299500000001</v>
      </c>
      <c r="DC103" t="s">
        <v>3</v>
      </c>
      <c r="DD103" t="s">
        <v>3</v>
      </c>
      <c r="DE103" t="s">
        <v>148</v>
      </c>
      <c r="DF103" t="s">
        <v>148</v>
      </c>
      <c r="DG103" t="s">
        <v>172</v>
      </c>
      <c r="DH103" t="s">
        <v>3</v>
      </c>
      <c r="DI103" t="s">
        <v>172</v>
      </c>
      <c r="DJ103" t="s">
        <v>148</v>
      </c>
      <c r="DK103" t="s">
        <v>3</v>
      </c>
      <c r="DL103" t="s">
        <v>3</v>
      </c>
      <c r="DM103" t="s">
        <v>3</v>
      </c>
      <c r="DN103">
        <v>0</v>
      </c>
      <c r="DO103">
        <v>0</v>
      </c>
      <c r="DP103">
        <v>1</v>
      </c>
      <c r="DQ103">
        <v>1</v>
      </c>
      <c r="DU103">
        <v>1003</v>
      </c>
      <c r="DV103" t="s">
        <v>170</v>
      </c>
      <c r="DW103" t="s">
        <v>170</v>
      </c>
      <c r="DX103">
        <v>100</v>
      </c>
      <c r="DZ103" t="s">
        <v>3</v>
      </c>
      <c r="EA103" t="s">
        <v>3</v>
      </c>
      <c r="EB103" t="s">
        <v>3</v>
      </c>
      <c r="EC103" t="s">
        <v>3</v>
      </c>
      <c r="EE103">
        <v>140625032</v>
      </c>
      <c r="EF103">
        <v>2</v>
      </c>
      <c r="EG103" t="s">
        <v>26</v>
      </c>
      <c r="EH103">
        <v>12</v>
      </c>
      <c r="EI103" t="s">
        <v>173</v>
      </c>
      <c r="EJ103">
        <v>1</v>
      </c>
      <c r="EK103">
        <v>12001</v>
      </c>
      <c r="EL103" t="s">
        <v>173</v>
      </c>
      <c r="EM103" t="s">
        <v>174</v>
      </c>
      <c r="EO103" t="s">
        <v>175</v>
      </c>
      <c r="EQ103">
        <v>0</v>
      </c>
      <c r="ER103">
        <v>120.19</v>
      </c>
      <c r="ES103">
        <v>19.41</v>
      </c>
      <c r="ET103">
        <v>48.51</v>
      </c>
      <c r="EU103">
        <v>5.29</v>
      </c>
      <c r="EV103">
        <v>52.27</v>
      </c>
      <c r="EW103">
        <v>5.9</v>
      </c>
      <c r="EX103">
        <v>0.41</v>
      </c>
      <c r="EY103">
        <v>0</v>
      </c>
      <c r="FQ103">
        <v>0</v>
      </c>
      <c r="FR103">
        <f t="shared" si="107"/>
        <v>0</v>
      </c>
      <c r="FS103">
        <v>0</v>
      </c>
      <c r="FX103">
        <v>109</v>
      </c>
      <c r="FY103">
        <v>57</v>
      </c>
      <c r="GA103" t="s">
        <v>3</v>
      </c>
      <c r="GD103">
        <v>1</v>
      </c>
      <c r="GF103">
        <v>2103090415</v>
      </c>
      <c r="GG103">
        <v>2</v>
      </c>
      <c r="GH103">
        <v>1</v>
      </c>
      <c r="GI103">
        <v>4</v>
      </c>
      <c r="GJ103">
        <v>0</v>
      </c>
      <c r="GK103">
        <v>0</v>
      </c>
      <c r="GL103">
        <f t="shared" si="108"/>
        <v>0</v>
      </c>
      <c r="GM103">
        <f t="shared" si="109"/>
        <v>41218.81</v>
      </c>
      <c r="GN103">
        <f t="shared" si="110"/>
        <v>41218.81</v>
      </c>
      <c r="GO103">
        <f t="shared" si="111"/>
        <v>0</v>
      </c>
      <c r="GP103">
        <f t="shared" si="112"/>
        <v>0</v>
      </c>
      <c r="GR103">
        <v>0</v>
      </c>
      <c r="GS103">
        <v>3</v>
      </c>
      <c r="GT103">
        <v>0</v>
      </c>
      <c r="GU103" t="s">
        <v>3</v>
      </c>
      <c r="GV103">
        <f t="shared" si="113"/>
        <v>0</v>
      </c>
      <c r="GW103">
        <v>1</v>
      </c>
      <c r="GX103">
        <f t="shared" si="114"/>
        <v>0</v>
      </c>
      <c r="HA103">
        <v>0</v>
      </c>
      <c r="HB103">
        <v>0</v>
      </c>
      <c r="HC103">
        <f t="shared" si="115"/>
        <v>0</v>
      </c>
      <c r="HE103" t="s">
        <v>3</v>
      </c>
      <c r="HF103" t="s">
        <v>3</v>
      </c>
      <c r="HM103" t="s">
        <v>3</v>
      </c>
      <c r="HN103" t="s">
        <v>176</v>
      </c>
      <c r="HO103" t="s">
        <v>177</v>
      </c>
      <c r="HP103" t="s">
        <v>173</v>
      </c>
      <c r="HQ103" t="s">
        <v>173</v>
      </c>
      <c r="IK103">
        <v>0</v>
      </c>
    </row>
    <row r="104" spans="1:245" x14ac:dyDescent="0.2">
      <c r="A104">
        <v>17</v>
      </c>
      <c r="B104">
        <v>1</v>
      </c>
      <c r="C104">
        <f>ROW(SmtRes!A153)</f>
        <v>153</v>
      </c>
      <c r="D104">
        <f>ROW(EtalonRes!A166)</f>
        <v>166</v>
      </c>
      <c r="E104" t="s">
        <v>274</v>
      </c>
      <c r="F104" t="s">
        <v>275</v>
      </c>
      <c r="G104" t="s">
        <v>276</v>
      </c>
      <c r="H104" t="s">
        <v>206</v>
      </c>
      <c r="I104">
        <f>ROUND(ROUND(3.77,3),9)</f>
        <v>3.77</v>
      </c>
      <c r="J104">
        <v>0</v>
      </c>
      <c r="K104">
        <f>ROUND(ROUND(3.77,3),9)</f>
        <v>3.77</v>
      </c>
      <c r="O104">
        <f t="shared" si="82"/>
        <v>224339.86</v>
      </c>
      <c r="P104">
        <f t="shared" si="83"/>
        <v>6871.23</v>
      </c>
      <c r="Q104">
        <f t="shared" si="84"/>
        <v>82347.08</v>
      </c>
      <c r="R104">
        <f t="shared" si="85"/>
        <v>4669.54</v>
      </c>
      <c r="S104">
        <f t="shared" si="86"/>
        <v>135121.54999999999</v>
      </c>
      <c r="T104">
        <f t="shared" si="87"/>
        <v>0</v>
      </c>
      <c r="U104">
        <f t="shared" si="88"/>
        <v>490.1</v>
      </c>
      <c r="V104">
        <f t="shared" si="89"/>
        <v>14.891500000000001</v>
      </c>
      <c r="W104">
        <f t="shared" si="90"/>
        <v>0</v>
      </c>
      <c r="X104">
        <f t="shared" si="91"/>
        <v>125811.98</v>
      </c>
      <c r="Y104">
        <f t="shared" si="92"/>
        <v>62905.99</v>
      </c>
      <c r="AA104">
        <v>145262827</v>
      </c>
      <c r="AB104">
        <f t="shared" si="93"/>
        <v>3333</v>
      </c>
      <c r="AC104">
        <f t="shared" si="94"/>
        <v>214.93</v>
      </c>
      <c r="AD104">
        <f>ROUND((((ET104)-(EU104))+AE104),2)</f>
        <v>1896.07</v>
      </c>
      <c r="AE104">
        <f t="shared" ref="AE104:AF106" si="118">ROUND((EU104),2)</f>
        <v>42.23</v>
      </c>
      <c r="AF104">
        <f t="shared" si="118"/>
        <v>1222</v>
      </c>
      <c r="AG104">
        <f t="shared" si="95"/>
        <v>0</v>
      </c>
      <c r="AH104">
        <f t="shared" ref="AH104:AI106" si="119">(EW104)</f>
        <v>130</v>
      </c>
      <c r="AI104">
        <f t="shared" si="119"/>
        <v>3.95</v>
      </c>
      <c r="AJ104">
        <f t="shared" si="96"/>
        <v>0</v>
      </c>
      <c r="AK104">
        <v>3333</v>
      </c>
      <c r="AL104">
        <v>214.93</v>
      </c>
      <c r="AM104">
        <v>1896.07</v>
      </c>
      <c r="AN104">
        <v>42.23</v>
      </c>
      <c r="AO104">
        <v>1222</v>
      </c>
      <c r="AP104">
        <v>0</v>
      </c>
      <c r="AQ104">
        <v>130</v>
      </c>
      <c r="AR104">
        <v>3.95</v>
      </c>
      <c r="AS104">
        <v>0</v>
      </c>
      <c r="AT104">
        <v>90</v>
      </c>
      <c r="AU104">
        <v>45</v>
      </c>
      <c r="AV104">
        <v>1</v>
      </c>
      <c r="AW104">
        <v>1</v>
      </c>
      <c r="AZ104">
        <v>1</v>
      </c>
      <c r="BA104">
        <v>29.33</v>
      </c>
      <c r="BB104">
        <v>11.52</v>
      </c>
      <c r="BC104">
        <v>8.48</v>
      </c>
      <c r="BD104" t="s">
        <v>3</v>
      </c>
      <c r="BE104" t="s">
        <v>3</v>
      </c>
      <c r="BF104" t="s">
        <v>3</v>
      </c>
      <c r="BG104" t="s">
        <v>3</v>
      </c>
      <c r="BH104">
        <v>0</v>
      </c>
      <c r="BI104">
        <v>2</v>
      </c>
      <c r="BJ104" t="s">
        <v>277</v>
      </c>
      <c r="BM104">
        <v>138001</v>
      </c>
      <c r="BN104">
        <v>0</v>
      </c>
      <c r="BO104" t="s">
        <v>3</v>
      </c>
      <c r="BP104">
        <v>0</v>
      </c>
      <c r="BQ104">
        <v>3</v>
      </c>
      <c r="BR104">
        <v>0</v>
      </c>
      <c r="BS104">
        <v>29.33</v>
      </c>
      <c r="BT104">
        <v>1</v>
      </c>
      <c r="BU104">
        <v>1</v>
      </c>
      <c r="BV104">
        <v>1</v>
      </c>
      <c r="BW104">
        <v>1</v>
      </c>
      <c r="BX104">
        <v>1</v>
      </c>
      <c r="BY104" t="s">
        <v>3</v>
      </c>
      <c r="BZ104">
        <v>90</v>
      </c>
      <c r="CA104">
        <v>45</v>
      </c>
      <c r="CB104" t="s">
        <v>3</v>
      </c>
      <c r="CE104">
        <v>0</v>
      </c>
      <c r="CF104">
        <v>0</v>
      </c>
      <c r="CG104">
        <v>0</v>
      </c>
      <c r="CM104">
        <v>0</v>
      </c>
      <c r="CN104" t="s">
        <v>3</v>
      </c>
      <c r="CO104">
        <v>0</v>
      </c>
      <c r="CP104">
        <f t="shared" si="97"/>
        <v>224339.86</v>
      </c>
      <c r="CQ104">
        <f t="shared" si="98"/>
        <v>1822.6064000000001</v>
      </c>
      <c r="CR104">
        <f>(((ET104)*BB104-(EU104)*BS104)+AE104*BS104)</f>
        <v>21842.7264</v>
      </c>
      <c r="CS104">
        <f t="shared" si="99"/>
        <v>1238.6058999999998</v>
      </c>
      <c r="CT104">
        <f t="shared" si="100"/>
        <v>35841.259999999995</v>
      </c>
      <c r="CU104">
        <f t="shared" si="101"/>
        <v>0</v>
      </c>
      <c r="CV104">
        <f t="shared" si="102"/>
        <v>130</v>
      </c>
      <c r="CW104">
        <f t="shared" si="103"/>
        <v>3.95</v>
      </c>
      <c r="CX104">
        <f t="shared" si="104"/>
        <v>0</v>
      </c>
      <c r="CY104">
        <f t="shared" si="105"/>
        <v>125811.981</v>
      </c>
      <c r="CZ104">
        <f t="shared" si="106"/>
        <v>62905.9905</v>
      </c>
      <c r="DC104" t="s">
        <v>3</v>
      </c>
      <c r="DD104" t="s">
        <v>3</v>
      </c>
      <c r="DE104" t="s">
        <v>3</v>
      </c>
      <c r="DF104" t="s">
        <v>3</v>
      </c>
      <c r="DG104" t="s">
        <v>3</v>
      </c>
      <c r="DH104" t="s">
        <v>3</v>
      </c>
      <c r="DI104" t="s">
        <v>3</v>
      </c>
      <c r="DJ104" t="s">
        <v>3</v>
      </c>
      <c r="DK104" t="s">
        <v>3</v>
      </c>
      <c r="DL104" t="s">
        <v>3</v>
      </c>
      <c r="DM104" t="s">
        <v>3</v>
      </c>
      <c r="DN104">
        <v>0</v>
      </c>
      <c r="DO104">
        <v>0</v>
      </c>
      <c r="DP104">
        <v>1</v>
      </c>
      <c r="DQ104">
        <v>1</v>
      </c>
      <c r="DU104">
        <v>1009</v>
      </c>
      <c r="DV104" t="s">
        <v>206</v>
      </c>
      <c r="DW104" t="s">
        <v>206</v>
      </c>
      <c r="DX104">
        <v>1000</v>
      </c>
      <c r="DZ104" t="s">
        <v>3</v>
      </c>
      <c r="EA104" t="s">
        <v>3</v>
      </c>
      <c r="EB104" t="s">
        <v>3</v>
      </c>
      <c r="EC104" t="s">
        <v>3</v>
      </c>
      <c r="EE104">
        <v>140624915</v>
      </c>
      <c r="EF104">
        <v>3</v>
      </c>
      <c r="EG104" t="s">
        <v>208</v>
      </c>
      <c r="EH104">
        <v>80</v>
      </c>
      <c r="EI104" t="s">
        <v>209</v>
      </c>
      <c r="EJ104">
        <v>2</v>
      </c>
      <c r="EK104">
        <v>138001</v>
      </c>
      <c r="EL104" t="s">
        <v>209</v>
      </c>
      <c r="EM104" t="s">
        <v>210</v>
      </c>
      <c r="EO104" t="s">
        <v>3</v>
      </c>
      <c r="EQ104">
        <v>0</v>
      </c>
      <c r="ER104">
        <v>3333</v>
      </c>
      <c r="ES104">
        <v>214.93</v>
      </c>
      <c r="ET104">
        <v>1896.07</v>
      </c>
      <c r="EU104">
        <v>42.23</v>
      </c>
      <c r="EV104">
        <v>1222</v>
      </c>
      <c r="EW104">
        <v>130</v>
      </c>
      <c r="EX104">
        <v>3.95</v>
      </c>
      <c r="EY104">
        <v>0</v>
      </c>
      <c r="FQ104">
        <v>0</v>
      </c>
      <c r="FR104">
        <f t="shared" si="107"/>
        <v>0</v>
      </c>
      <c r="FS104">
        <v>0</v>
      </c>
      <c r="FX104">
        <v>90</v>
      </c>
      <c r="FY104">
        <v>45</v>
      </c>
      <c r="GA104" t="s">
        <v>3</v>
      </c>
      <c r="GD104">
        <v>1</v>
      </c>
      <c r="GF104">
        <v>1386639995</v>
      </c>
      <c r="GG104">
        <v>2</v>
      </c>
      <c r="GH104">
        <v>1</v>
      </c>
      <c r="GI104">
        <v>4</v>
      </c>
      <c r="GJ104">
        <v>0</v>
      </c>
      <c r="GK104">
        <v>0</v>
      </c>
      <c r="GL104">
        <f t="shared" si="108"/>
        <v>0</v>
      </c>
      <c r="GM104">
        <f t="shared" si="109"/>
        <v>413057.83</v>
      </c>
      <c r="GN104">
        <f t="shared" si="110"/>
        <v>0</v>
      </c>
      <c r="GO104">
        <f t="shared" si="111"/>
        <v>413057.83</v>
      </c>
      <c r="GP104">
        <f t="shared" si="112"/>
        <v>0</v>
      </c>
      <c r="GR104">
        <v>0</v>
      </c>
      <c r="GS104">
        <v>3</v>
      </c>
      <c r="GT104">
        <v>0</v>
      </c>
      <c r="GU104" t="s">
        <v>3</v>
      </c>
      <c r="GV104">
        <f t="shared" si="113"/>
        <v>0</v>
      </c>
      <c r="GW104">
        <v>1</v>
      </c>
      <c r="GX104">
        <f t="shared" si="114"/>
        <v>0</v>
      </c>
      <c r="HA104">
        <v>0</v>
      </c>
      <c r="HB104">
        <v>0</v>
      </c>
      <c r="HC104">
        <f t="shared" si="115"/>
        <v>0</v>
      </c>
      <c r="HE104" t="s">
        <v>3</v>
      </c>
      <c r="HF104" t="s">
        <v>3</v>
      </c>
      <c r="HM104" t="s">
        <v>3</v>
      </c>
      <c r="HN104" t="s">
        <v>211</v>
      </c>
      <c r="HO104" t="s">
        <v>212</v>
      </c>
      <c r="HP104" t="s">
        <v>209</v>
      </c>
      <c r="HQ104" t="s">
        <v>209</v>
      </c>
      <c r="IK104">
        <v>0</v>
      </c>
    </row>
    <row r="105" spans="1:245" x14ac:dyDescent="0.2">
      <c r="A105">
        <v>17</v>
      </c>
      <c r="B105">
        <v>1</v>
      </c>
      <c r="E105" t="s">
        <v>278</v>
      </c>
      <c r="F105" t="s">
        <v>156</v>
      </c>
      <c r="G105" t="s">
        <v>279</v>
      </c>
      <c r="H105" t="s">
        <v>206</v>
      </c>
      <c r="I105">
        <f>ROUND(ROUND(3.27*1.06,3),9)</f>
        <v>3.4660000000000002</v>
      </c>
      <c r="J105">
        <v>0</v>
      </c>
      <c r="K105">
        <f>ROUND(ROUND(3.27*1.06,3),9)</f>
        <v>3.4660000000000002</v>
      </c>
      <c r="O105">
        <f t="shared" si="82"/>
        <v>209301.68</v>
      </c>
      <c r="P105">
        <f t="shared" si="83"/>
        <v>209301.68</v>
      </c>
      <c r="Q105">
        <f t="shared" si="84"/>
        <v>0</v>
      </c>
      <c r="R105">
        <f t="shared" si="85"/>
        <v>0</v>
      </c>
      <c r="S105">
        <f t="shared" si="86"/>
        <v>0</v>
      </c>
      <c r="T105">
        <f t="shared" si="87"/>
        <v>0</v>
      </c>
      <c r="U105">
        <f t="shared" si="88"/>
        <v>0</v>
      </c>
      <c r="V105">
        <f t="shared" si="89"/>
        <v>0</v>
      </c>
      <c r="W105">
        <f t="shared" si="90"/>
        <v>0</v>
      </c>
      <c r="X105">
        <f t="shared" si="91"/>
        <v>0</v>
      </c>
      <c r="Y105">
        <f t="shared" si="92"/>
        <v>0</v>
      </c>
      <c r="AA105">
        <v>145262827</v>
      </c>
      <c r="AB105">
        <f t="shared" si="93"/>
        <v>7121.12</v>
      </c>
      <c r="AC105">
        <f t="shared" si="94"/>
        <v>7121.12</v>
      </c>
      <c r="AD105">
        <f>ROUND((((ET105)-(EU105))+AE105),2)</f>
        <v>0</v>
      </c>
      <c r="AE105">
        <f t="shared" si="118"/>
        <v>0</v>
      </c>
      <c r="AF105">
        <f t="shared" si="118"/>
        <v>0</v>
      </c>
      <c r="AG105">
        <f t="shared" si="95"/>
        <v>0</v>
      </c>
      <c r="AH105">
        <f t="shared" si="119"/>
        <v>0</v>
      </c>
      <c r="AI105">
        <f t="shared" si="119"/>
        <v>0</v>
      </c>
      <c r="AJ105">
        <f t="shared" si="96"/>
        <v>0</v>
      </c>
      <c r="AK105">
        <v>7121.12</v>
      </c>
      <c r="AL105">
        <v>7121.12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1</v>
      </c>
      <c r="AW105">
        <v>1</v>
      </c>
      <c r="AZ105">
        <v>1</v>
      </c>
      <c r="BA105">
        <v>1</v>
      </c>
      <c r="BB105">
        <v>1</v>
      </c>
      <c r="BC105">
        <v>8.48</v>
      </c>
      <c r="BD105" t="s">
        <v>3</v>
      </c>
      <c r="BE105" t="s">
        <v>3</v>
      </c>
      <c r="BF105" t="s">
        <v>3</v>
      </c>
      <c r="BG105" t="s">
        <v>3</v>
      </c>
      <c r="BH105">
        <v>3</v>
      </c>
      <c r="BI105">
        <v>1</v>
      </c>
      <c r="BJ105" t="s">
        <v>3</v>
      </c>
      <c r="BM105">
        <v>1100</v>
      </c>
      <c r="BN105">
        <v>0</v>
      </c>
      <c r="BO105" t="s">
        <v>3</v>
      </c>
      <c r="BP105">
        <v>0</v>
      </c>
      <c r="BQ105">
        <v>8</v>
      </c>
      <c r="BR105">
        <v>0</v>
      </c>
      <c r="BS105">
        <v>1</v>
      </c>
      <c r="BT105">
        <v>1</v>
      </c>
      <c r="BU105">
        <v>1</v>
      </c>
      <c r="BV105">
        <v>1</v>
      </c>
      <c r="BW105">
        <v>1</v>
      </c>
      <c r="BX105">
        <v>1</v>
      </c>
      <c r="BY105" t="s">
        <v>3</v>
      </c>
      <c r="BZ105">
        <v>0</v>
      </c>
      <c r="CA105">
        <v>0</v>
      </c>
      <c r="CB105" t="s">
        <v>3</v>
      </c>
      <c r="CE105">
        <v>0</v>
      </c>
      <c r="CF105">
        <v>0</v>
      </c>
      <c r="CG105">
        <v>0</v>
      </c>
      <c r="CM105">
        <v>0</v>
      </c>
      <c r="CN105" t="s">
        <v>3</v>
      </c>
      <c r="CO105">
        <v>0</v>
      </c>
      <c r="CP105">
        <f t="shared" si="97"/>
        <v>209301.68</v>
      </c>
      <c r="CQ105">
        <f t="shared" si="98"/>
        <v>60387.097600000001</v>
      </c>
      <c r="CR105">
        <f>(((ET105)*BB105-(EU105)*BS105)+AE105*BS105)</f>
        <v>0</v>
      </c>
      <c r="CS105">
        <f t="shared" si="99"/>
        <v>0</v>
      </c>
      <c r="CT105">
        <f t="shared" si="100"/>
        <v>0</v>
      </c>
      <c r="CU105">
        <f t="shared" si="101"/>
        <v>0</v>
      </c>
      <c r="CV105">
        <f t="shared" si="102"/>
        <v>0</v>
      </c>
      <c r="CW105">
        <f t="shared" si="103"/>
        <v>0</v>
      </c>
      <c r="CX105">
        <f t="shared" si="104"/>
        <v>0</v>
      </c>
      <c r="CY105">
        <f t="shared" si="105"/>
        <v>0</v>
      </c>
      <c r="CZ105">
        <f t="shared" si="106"/>
        <v>0</v>
      </c>
      <c r="DC105" t="s">
        <v>3</v>
      </c>
      <c r="DD105" t="s">
        <v>3</v>
      </c>
      <c r="DE105" t="s">
        <v>3</v>
      </c>
      <c r="DF105" t="s">
        <v>3</v>
      </c>
      <c r="DG105" t="s">
        <v>3</v>
      </c>
      <c r="DH105" t="s">
        <v>3</v>
      </c>
      <c r="DI105" t="s">
        <v>3</v>
      </c>
      <c r="DJ105" t="s">
        <v>3</v>
      </c>
      <c r="DK105" t="s">
        <v>3</v>
      </c>
      <c r="DL105" t="s">
        <v>3</v>
      </c>
      <c r="DM105" t="s">
        <v>3</v>
      </c>
      <c r="DN105">
        <v>0</v>
      </c>
      <c r="DO105">
        <v>0</v>
      </c>
      <c r="DP105">
        <v>1</v>
      </c>
      <c r="DQ105">
        <v>1</v>
      </c>
      <c r="DU105">
        <v>1009</v>
      </c>
      <c r="DV105" t="s">
        <v>206</v>
      </c>
      <c r="DW105" t="s">
        <v>206</v>
      </c>
      <c r="DX105">
        <v>1000</v>
      </c>
      <c r="DZ105" t="s">
        <v>3</v>
      </c>
      <c r="EA105" t="s">
        <v>3</v>
      </c>
      <c r="EB105" t="s">
        <v>3</v>
      </c>
      <c r="EC105" t="s">
        <v>3</v>
      </c>
      <c r="EE105">
        <v>140625274</v>
      </c>
      <c r="EF105">
        <v>8</v>
      </c>
      <c r="EG105" t="s">
        <v>84</v>
      </c>
      <c r="EH105">
        <v>0</v>
      </c>
      <c r="EI105" t="s">
        <v>3</v>
      </c>
      <c r="EJ105">
        <v>1</v>
      </c>
      <c r="EK105">
        <v>1100</v>
      </c>
      <c r="EL105" t="s">
        <v>85</v>
      </c>
      <c r="EM105" t="s">
        <v>86</v>
      </c>
      <c r="EO105" t="s">
        <v>3</v>
      </c>
      <c r="EQ105">
        <v>0</v>
      </c>
      <c r="ER105">
        <v>7121.12</v>
      </c>
      <c r="ES105">
        <v>7121.12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5</v>
      </c>
      <c r="FC105">
        <v>1</v>
      </c>
      <c r="FD105">
        <v>18</v>
      </c>
      <c r="FF105">
        <v>68500</v>
      </c>
      <c r="FQ105">
        <v>0</v>
      </c>
      <c r="FR105">
        <f t="shared" si="107"/>
        <v>0</v>
      </c>
      <c r="FS105">
        <v>0</v>
      </c>
      <c r="FX105">
        <v>0</v>
      </c>
      <c r="FY105">
        <v>0</v>
      </c>
      <c r="GA105" t="s">
        <v>280</v>
      </c>
      <c r="GD105">
        <v>1</v>
      </c>
      <c r="GF105">
        <v>-343359546</v>
      </c>
      <c r="GG105">
        <v>2</v>
      </c>
      <c r="GH105">
        <v>3</v>
      </c>
      <c r="GI105">
        <v>4</v>
      </c>
      <c r="GJ105">
        <v>0</v>
      </c>
      <c r="GK105">
        <v>0</v>
      </c>
      <c r="GL105">
        <f t="shared" si="108"/>
        <v>0</v>
      </c>
      <c r="GM105">
        <f t="shared" si="109"/>
        <v>209301.68</v>
      </c>
      <c r="GN105">
        <f t="shared" si="110"/>
        <v>209301.68</v>
      </c>
      <c r="GO105">
        <f t="shared" si="111"/>
        <v>0</v>
      </c>
      <c r="GP105">
        <f t="shared" si="112"/>
        <v>0</v>
      </c>
      <c r="GR105">
        <v>1</v>
      </c>
      <c r="GS105">
        <v>1</v>
      </c>
      <c r="GT105">
        <v>0</v>
      </c>
      <c r="GU105" t="s">
        <v>3</v>
      </c>
      <c r="GV105">
        <f t="shared" si="113"/>
        <v>0</v>
      </c>
      <c r="GW105">
        <v>1</v>
      </c>
      <c r="GX105">
        <f t="shared" si="114"/>
        <v>0</v>
      </c>
      <c r="HA105">
        <v>0</v>
      </c>
      <c r="HB105">
        <v>0</v>
      </c>
      <c r="HC105">
        <f t="shared" si="115"/>
        <v>0</v>
      </c>
      <c r="HE105" t="s">
        <v>53</v>
      </c>
      <c r="HF105" t="s">
        <v>216</v>
      </c>
      <c r="HM105" t="s">
        <v>3</v>
      </c>
      <c r="HN105" t="s">
        <v>3</v>
      </c>
      <c r="HO105" t="s">
        <v>3</v>
      </c>
      <c r="HP105" t="s">
        <v>3</v>
      </c>
      <c r="HQ105" t="s">
        <v>3</v>
      </c>
      <c r="IK105">
        <v>0</v>
      </c>
    </row>
    <row r="106" spans="1:245" x14ac:dyDescent="0.2">
      <c r="A106">
        <v>17</v>
      </c>
      <c r="B106">
        <v>1</v>
      </c>
      <c r="E106" t="s">
        <v>281</v>
      </c>
      <c r="F106" t="s">
        <v>156</v>
      </c>
      <c r="G106" t="s">
        <v>268</v>
      </c>
      <c r="H106" t="s">
        <v>206</v>
      </c>
      <c r="I106">
        <f>ROUND(0.5*1.06,9)</f>
        <v>0.53</v>
      </c>
      <c r="J106">
        <v>0</v>
      </c>
      <c r="K106">
        <f>ROUND(0.5*1.06,9)</f>
        <v>0.53</v>
      </c>
      <c r="O106">
        <f t="shared" si="82"/>
        <v>35509.31</v>
      </c>
      <c r="P106">
        <f t="shared" si="83"/>
        <v>35509.31</v>
      </c>
      <c r="Q106">
        <f t="shared" si="84"/>
        <v>0</v>
      </c>
      <c r="R106">
        <f t="shared" si="85"/>
        <v>0</v>
      </c>
      <c r="S106">
        <f t="shared" si="86"/>
        <v>0</v>
      </c>
      <c r="T106">
        <f t="shared" si="87"/>
        <v>0</v>
      </c>
      <c r="U106">
        <f t="shared" si="88"/>
        <v>0</v>
      </c>
      <c r="V106">
        <f t="shared" si="89"/>
        <v>0</v>
      </c>
      <c r="W106">
        <f t="shared" si="90"/>
        <v>0</v>
      </c>
      <c r="X106">
        <f t="shared" si="91"/>
        <v>0</v>
      </c>
      <c r="Y106">
        <f t="shared" si="92"/>
        <v>0</v>
      </c>
      <c r="AA106">
        <v>145262827</v>
      </c>
      <c r="AB106">
        <f t="shared" si="93"/>
        <v>7900.79</v>
      </c>
      <c r="AC106">
        <f t="shared" si="94"/>
        <v>7900.79</v>
      </c>
      <c r="AD106">
        <f>ROUND((((ET106)-(EU106))+AE106),2)</f>
        <v>0</v>
      </c>
      <c r="AE106">
        <f t="shared" si="118"/>
        <v>0</v>
      </c>
      <c r="AF106">
        <f t="shared" si="118"/>
        <v>0</v>
      </c>
      <c r="AG106">
        <f t="shared" si="95"/>
        <v>0</v>
      </c>
      <c r="AH106">
        <f t="shared" si="119"/>
        <v>0</v>
      </c>
      <c r="AI106">
        <f t="shared" si="119"/>
        <v>0</v>
      </c>
      <c r="AJ106">
        <f t="shared" si="96"/>
        <v>0</v>
      </c>
      <c r="AK106">
        <v>7900.7900000000009</v>
      </c>
      <c r="AL106">
        <v>7900.7900000000009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1</v>
      </c>
      <c r="AW106">
        <v>1</v>
      </c>
      <c r="AZ106">
        <v>1</v>
      </c>
      <c r="BA106">
        <v>1</v>
      </c>
      <c r="BB106">
        <v>1</v>
      </c>
      <c r="BC106">
        <v>8.48</v>
      </c>
      <c r="BD106" t="s">
        <v>3</v>
      </c>
      <c r="BE106" t="s">
        <v>3</v>
      </c>
      <c r="BF106" t="s">
        <v>3</v>
      </c>
      <c r="BG106" t="s">
        <v>3</v>
      </c>
      <c r="BH106">
        <v>3</v>
      </c>
      <c r="BI106">
        <v>1</v>
      </c>
      <c r="BJ106" t="s">
        <v>3</v>
      </c>
      <c r="BM106">
        <v>1100</v>
      </c>
      <c r="BN106">
        <v>0</v>
      </c>
      <c r="BO106" t="s">
        <v>3</v>
      </c>
      <c r="BP106">
        <v>0</v>
      </c>
      <c r="BQ106">
        <v>8</v>
      </c>
      <c r="BR106">
        <v>0</v>
      </c>
      <c r="BS106">
        <v>1</v>
      </c>
      <c r="BT106">
        <v>1</v>
      </c>
      <c r="BU106">
        <v>1</v>
      </c>
      <c r="BV106">
        <v>1</v>
      </c>
      <c r="BW106">
        <v>1</v>
      </c>
      <c r="BX106">
        <v>1</v>
      </c>
      <c r="BY106" t="s">
        <v>3</v>
      </c>
      <c r="BZ106">
        <v>0</v>
      </c>
      <c r="CA106">
        <v>0</v>
      </c>
      <c r="CB106" t="s">
        <v>3</v>
      </c>
      <c r="CE106">
        <v>0</v>
      </c>
      <c r="CF106">
        <v>0</v>
      </c>
      <c r="CG106">
        <v>0</v>
      </c>
      <c r="CM106">
        <v>0</v>
      </c>
      <c r="CN106" t="s">
        <v>3</v>
      </c>
      <c r="CO106">
        <v>0</v>
      </c>
      <c r="CP106">
        <f t="shared" si="97"/>
        <v>35509.31</v>
      </c>
      <c r="CQ106">
        <f t="shared" si="98"/>
        <v>66998.699200000003</v>
      </c>
      <c r="CR106">
        <f>(((ET106)*BB106-(EU106)*BS106)+AE106*BS106)</f>
        <v>0</v>
      </c>
      <c r="CS106">
        <f t="shared" si="99"/>
        <v>0</v>
      </c>
      <c r="CT106">
        <f t="shared" si="100"/>
        <v>0</v>
      </c>
      <c r="CU106">
        <f t="shared" si="101"/>
        <v>0</v>
      </c>
      <c r="CV106">
        <f t="shared" si="102"/>
        <v>0</v>
      </c>
      <c r="CW106">
        <f t="shared" si="103"/>
        <v>0</v>
      </c>
      <c r="CX106">
        <f t="shared" si="104"/>
        <v>0</v>
      </c>
      <c r="CY106">
        <f t="shared" si="105"/>
        <v>0</v>
      </c>
      <c r="CZ106">
        <f t="shared" si="106"/>
        <v>0</v>
      </c>
      <c r="DC106" t="s">
        <v>3</v>
      </c>
      <c r="DD106" t="s">
        <v>3</v>
      </c>
      <c r="DE106" t="s">
        <v>3</v>
      </c>
      <c r="DF106" t="s">
        <v>3</v>
      </c>
      <c r="DG106" t="s">
        <v>3</v>
      </c>
      <c r="DH106" t="s">
        <v>3</v>
      </c>
      <c r="DI106" t="s">
        <v>3</v>
      </c>
      <c r="DJ106" t="s">
        <v>3</v>
      </c>
      <c r="DK106" t="s">
        <v>3</v>
      </c>
      <c r="DL106" t="s">
        <v>3</v>
      </c>
      <c r="DM106" t="s">
        <v>3</v>
      </c>
      <c r="DN106">
        <v>0</v>
      </c>
      <c r="DO106">
        <v>0</v>
      </c>
      <c r="DP106">
        <v>1</v>
      </c>
      <c r="DQ106">
        <v>1</v>
      </c>
      <c r="DU106">
        <v>1009</v>
      </c>
      <c r="DV106" t="s">
        <v>206</v>
      </c>
      <c r="DW106" t="s">
        <v>206</v>
      </c>
      <c r="DX106">
        <v>1000</v>
      </c>
      <c r="DZ106" t="s">
        <v>3</v>
      </c>
      <c r="EA106" t="s">
        <v>3</v>
      </c>
      <c r="EB106" t="s">
        <v>3</v>
      </c>
      <c r="EC106" t="s">
        <v>3</v>
      </c>
      <c r="EE106">
        <v>140625274</v>
      </c>
      <c r="EF106">
        <v>8</v>
      </c>
      <c r="EG106" t="s">
        <v>84</v>
      </c>
      <c r="EH106">
        <v>0</v>
      </c>
      <c r="EI106" t="s">
        <v>3</v>
      </c>
      <c r="EJ106">
        <v>1</v>
      </c>
      <c r="EK106">
        <v>1100</v>
      </c>
      <c r="EL106" t="s">
        <v>85</v>
      </c>
      <c r="EM106" t="s">
        <v>86</v>
      </c>
      <c r="EO106" t="s">
        <v>3</v>
      </c>
      <c r="EQ106">
        <v>0</v>
      </c>
      <c r="ER106">
        <v>7900.7900000000009</v>
      </c>
      <c r="ES106">
        <v>7900.7900000000009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5</v>
      </c>
      <c r="FC106">
        <v>1</v>
      </c>
      <c r="FD106">
        <v>18</v>
      </c>
      <c r="FF106">
        <v>76000</v>
      </c>
      <c r="FQ106">
        <v>0</v>
      </c>
      <c r="FR106">
        <f t="shared" si="107"/>
        <v>0</v>
      </c>
      <c r="FS106">
        <v>0</v>
      </c>
      <c r="FX106">
        <v>0</v>
      </c>
      <c r="FY106">
        <v>0</v>
      </c>
      <c r="GA106" t="s">
        <v>269</v>
      </c>
      <c r="GD106">
        <v>1</v>
      </c>
      <c r="GF106">
        <v>241088314</v>
      </c>
      <c r="GG106">
        <v>2</v>
      </c>
      <c r="GH106">
        <v>3</v>
      </c>
      <c r="GI106">
        <v>4</v>
      </c>
      <c r="GJ106">
        <v>0</v>
      </c>
      <c r="GK106">
        <v>0</v>
      </c>
      <c r="GL106">
        <f t="shared" si="108"/>
        <v>0</v>
      </c>
      <c r="GM106">
        <f t="shared" si="109"/>
        <v>35509.31</v>
      </c>
      <c r="GN106">
        <f t="shared" si="110"/>
        <v>35509.31</v>
      </c>
      <c r="GO106">
        <f t="shared" si="111"/>
        <v>0</v>
      </c>
      <c r="GP106">
        <f t="shared" si="112"/>
        <v>0</v>
      </c>
      <c r="GR106">
        <v>1</v>
      </c>
      <c r="GS106">
        <v>1</v>
      </c>
      <c r="GT106">
        <v>0</v>
      </c>
      <c r="GU106" t="s">
        <v>3</v>
      </c>
      <c r="GV106">
        <f t="shared" si="113"/>
        <v>0</v>
      </c>
      <c r="GW106">
        <v>1</v>
      </c>
      <c r="GX106">
        <f t="shared" si="114"/>
        <v>0</v>
      </c>
      <c r="HA106">
        <v>0</v>
      </c>
      <c r="HB106">
        <v>0</v>
      </c>
      <c r="HC106">
        <f t="shared" si="115"/>
        <v>0</v>
      </c>
      <c r="HE106" t="s">
        <v>53</v>
      </c>
      <c r="HF106" t="s">
        <v>216</v>
      </c>
      <c r="HM106" t="s">
        <v>3</v>
      </c>
      <c r="HN106" t="s">
        <v>3</v>
      </c>
      <c r="HO106" t="s">
        <v>3</v>
      </c>
      <c r="HP106" t="s">
        <v>3</v>
      </c>
      <c r="HQ106" t="s">
        <v>3</v>
      </c>
      <c r="IK106">
        <v>0</v>
      </c>
    </row>
    <row r="107" spans="1:245" x14ac:dyDescent="0.2">
      <c r="A107">
        <v>17</v>
      </c>
      <c r="B107">
        <v>1</v>
      </c>
      <c r="C107">
        <f>ROW(SmtRes!A161)</f>
        <v>161</v>
      </c>
      <c r="D107">
        <f>ROW(EtalonRes!A174)</f>
        <v>174</v>
      </c>
      <c r="E107" t="s">
        <v>282</v>
      </c>
      <c r="F107" t="s">
        <v>283</v>
      </c>
      <c r="G107" t="s">
        <v>284</v>
      </c>
      <c r="H107" t="s">
        <v>24</v>
      </c>
      <c r="I107">
        <f>ROUND(2527/100,9)</f>
        <v>25.27</v>
      </c>
      <c r="J107">
        <v>0</v>
      </c>
      <c r="K107">
        <f>ROUND(2527/100,9)</f>
        <v>25.27</v>
      </c>
      <c r="O107">
        <f t="shared" si="82"/>
        <v>84137.57</v>
      </c>
      <c r="P107">
        <f t="shared" si="83"/>
        <v>32580.59</v>
      </c>
      <c r="Q107">
        <f t="shared" si="84"/>
        <v>3358.75</v>
      </c>
      <c r="R107">
        <f t="shared" si="85"/>
        <v>207.53</v>
      </c>
      <c r="S107">
        <f t="shared" si="86"/>
        <v>48198.23</v>
      </c>
      <c r="T107">
        <f t="shared" si="87"/>
        <v>0</v>
      </c>
      <c r="U107">
        <f t="shared" si="88"/>
        <v>154.31125499999996</v>
      </c>
      <c r="V107">
        <f t="shared" si="89"/>
        <v>0.63175000000000003</v>
      </c>
      <c r="W107">
        <f t="shared" si="90"/>
        <v>0</v>
      </c>
      <c r="X107">
        <f t="shared" si="91"/>
        <v>45501.41</v>
      </c>
      <c r="Y107">
        <f t="shared" si="92"/>
        <v>24686.94</v>
      </c>
      <c r="AA107">
        <v>145262827</v>
      </c>
      <c r="AB107">
        <f t="shared" si="93"/>
        <v>228.6</v>
      </c>
      <c r="AC107">
        <f t="shared" si="94"/>
        <v>152.04</v>
      </c>
      <c r="AD107">
        <f>ROUND(((((ET107*1.25))-((EU107*1.25)))+AE107),2)</f>
        <v>11.53</v>
      </c>
      <c r="AE107">
        <f>ROUND(((EU107*1.25)),2)</f>
        <v>0.28000000000000003</v>
      </c>
      <c r="AF107">
        <f>ROUND(((EV107*1.15)),2)</f>
        <v>65.03</v>
      </c>
      <c r="AG107">
        <f t="shared" si="95"/>
        <v>0</v>
      </c>
      <c r="AH107">
        <f>((EW107*1.15))</f>
        <v>6.1064999999999987</v>
      </c>
      <c r="AI107">
        <f>((EX107*1.25))</f>
        <v>2.5000000000000001E-2</v>
      </c>
      <c r="AJ107">
        <f t="shared" si="96"/>
        <v>0</v>
      </c>
      <c r="AK107">
        <v>217.81</v>
      </c>
      <c r="AL107">
        <v>152.04</v>
      </c>
      <c r="AM107">
        <v>9.2200000000000006</v>
      </c>
      <c r="AN107">
        <v>0.22</v>
      </c>
      <c r="AO107">
        <v>56.55</v>
      </c>
      <c r="AP107">
        <v>0</v>
      </c>
      <c r="AQ107">
        <v>5.31</v>
      </c>
      <c r="AR107">
        <v>0.02</v>
      </c>
      <c r="AS107">
        <v>0</v>
      </c>
      <c r="AT107">
        <v>94</v>
      </c>
      <c r="AU107">
        <v>51</v>
      </c>
      <c r="AV107">
        <v>1</v>
      </c>
      <c r="AW107">
        <v>1</v>
      </c>
      <c r="AZ107">
        <v>1</v>
      </c>
      <c r="BA107">
        <v>29.33</v>
      </c>
      <c r="BB107">
        <v>11.52</v>
      </c>
      <c r="BC107">
        <v>8.48</v>
      </c>
      <c r="BD107" t="s">
        <v>3</v>
      </c>
      <c r="BE107" t="s">
        <v>3</v>
      </c>
      <c r="BF107" t="s">
        <v>3</v>
      </c>
      <c r="BG107" t="s">
        <v>3</v>
      </c>
      <c r="BH107">
        <v>0</v>
      </c>
      <c r="BI107">
        <v>1</v>
      </c>
      <c r="BJ107" t="s">
        <v>285</v>
      </c>
      <c r="BM107">
        <v>13001</v>
      </c>
      <c r="BN107">
        <v>0</v>
      </c>
      <c r="BO107" t="s">
        <v>3</v>
      </c>
      <c r="BP107">
        <v>0</v>
      </c>
      <c r="BQ107">
        <v>2</v>
      </c>
      <c r="BR107">
        <v>0</v>
      </c>
      <c r="BS107">
        <v>29.33</v>
      </c>
      <c r="BT107">
        <v>1</v>
      </c>
      <c r="BU107">
        <v>1</v>
      </c>
      <c r="BV107">
        <v>1</v>
      </c>
      <c r="BW107">
        <v>1</v>
      </c>
      <c r="BX107">
        <v>1</v>
      </c>
      <c r="BY107" t="s">
        <v>3</v>
      </c>
      <c r="BZ107">
        <v>94</v>
      </c>
      <c r="CA107">
        <v>51</v>
      </c>
      <c r="CB107" t="s">
        <v>3</v>
      </c>
      <c r="CE107">
        <v>0</v>
      </c>
      <c r="CF107">
        <v>0</v>
      </c>
      <c r="CG107">
        <v>0</v>
      </c>
      <c r="CM107">
        <v>0</v>
      </c>
      <c r="CN107" t="s">
        <v>597</v>
      </c>
      <c r="CO107">
        <v>0</v>
      </c>
      <c r="CP107">
        <f t="shared" si="97"/>
        <v>84137.57</v>
      </c>
      <c r="CQ107">
        <f t="shared" si="98"/>
        <v>1289.2991999999999</v>
      </c>
      <c r="CR107">
        <f>((((ET107*1.25))*BB107-((EU107*1.25))*BS107)+AE107*BS107)</f>
        <v>132.91464999999999</v>
      </c>
      <c r="CS107">
        <f t="shared" si="99"/>
        <v>8.2124000000000006</v>
      </c>
      <c r="CT107">
        <f t="shared" si="100"/>
        <v>1907.3299</v>
      </c>
      <c r="CU107">
        <f t="shared" si="101"/>
        <v>0</v>
      </c>
      <c r="CV107">
        <f t="shared" si="102"/>
        <v>6.1064999999999987</v>
      </c>
      <c r="CW107">
        <f t="shared" si="103"/>
        <v>2.5000000000000001E-2</v>
      </c>
      <c r="CX107">
        <f t="shared" si="104"/>
        <v>0</v>
      </c>
      <c r="CY107">
        <f t="shared" si="105"/>
        <v>45501.414400000001</v>
      </c>
      <c r="CZ107">
        <f t="shared" si="106"/>
        <v>24686.937600000001</v>
      </c>
      <c r="DC107" t="s">
        <v>3</v>
      </c>
      <c r="DD107" t="s">
        <v>3</v>
      </c>
      <c r="DE107" t="s">
        <v>148</v>
      </c>
      <c r="DF107" t="s">
        <v>148</v>
      </c>
      <c r="DG107" t="s">
        <v>149</v>
      </c>
      <c r="DH107" t="s">
        <v>3</v>
      </c>
      <c r="DI107" t="s">
        <v>149</v>
      </c>
      <c r="DJ107" t="s">
        <v>148</v>
      </c>
      <c r="DK107" t="s">
        <v>3</v>
      </c>
      <c r="DL107" t="s">
        <v>3</v>
      </c>
      <c r="DM107" t="s">
        <v>3</v>
      </c>
      <c r="DN107">
        <v>0</v>
      </c>
      <c r="DO107">
        <v>0</v>
      </c>
      <c r="DP107">
        <v>1</v>
      </c>
      <c r="DQ107">
        <v>1</v>
      </c>
      <c r="DU107">
        <v>1005</v>
      </c>
      <c r="DV107" t="s">
        <v>24</v>
      </c>
      <c r="DW107" t="s">
        <v>24</v>
      </c>
      <c r="DX107">
        <v>100</v>
      </c>
      <c r="DZ107" t="s">
        <v>3</v>
      </c>
      <c r="EA107" t="s">
        <v>3</v>
      </c>
      <c r="EB107" t="s">
        <v>3</v>
      </c>
      <c r="EC107" t="s">
        <v>3</v>
      </c>
      <c r="EE107">
        <v>140625034</v>
      </c>
      <c r="EF107">
        <v>2</v>
      </c>
      <c r="EG107" t="s">
        <v>26</v>
      </c>
      <c r="EH107">
        <v>13</v>
      </c>
      <c r="EI107" t="s">
        <v>286</v>
      </c>
      <c r="EJ107">
        <v>1</v>
      </c>
      <c r="EK107">
        <v>13001</v>
      </c>
      <c r="EL107" t="s">
        <v>287</v>
      </c>
      <c r="EM107" t="s">
        <v>288</v>
      </c>
      <c r="EO107" t="s">
        <v>152</v>
      </c>
      <c r="EQ107">
        <v>0</v>
      </c>
      <c r="ER107">
        <v>217.81</v>
      </c>
      <c r="ES107">
        <v>152.04</v>
      </c>
      <c r="ET107">
        <v>9.2200000000000006</v>
      </c>
      <c r="EU107">
        <v>0.22</v>
      </c>
      <c r="EV107">
        <v>56.55</v>
      </c>
      <c r="EW107">
        <v>5.31</v>
      </c>
      <c r="EX107">
        <v>0.02</v>
      </c>
      <c r="EY107">
        <v>0</v>
      </c>
      <c r="FQ107">
        <v>0</v>
      </c>
      <c r="FR107">
        <f t="shared" si="107"/>
        <v>0</v>
      </c>
      <c r="FS107">
        <v>0</v>
      </c>
      <c r="FX107">
        <v>94</v>
      </c>
      <c r="FY107">
        <v>51</v>
      </c>
      <c r="GA107" t="s">
        <v>3</v>
      </c>
      <c r="GD107">
        <v>1</v>
      </c>
      <c r="GF107">
        <v>-736059163</v>
      </c>
      <c r="GG107">
        <v>2</v>
      </c>
      <c r="GH107">
        <v>1</v>
      </c>
      <c r="GI107">
        <v>4</v>
      </c>
      <c r="GJ107">
        <v>0</v>
      </c>
      <c r="GK107">
        <v>0</v>
      </c>
      <c r="GL107">
        <f t="shared" si="108"/>
        <v>0</v>
      </c>
      <c r="GM107">
        <f t="shared" si="109"/>
        <v>154325.92000000001</v>
      </c>
      <c r="GN107">
        <f t="shared" si="110"/>
        <v>154325.92000000001</v>
      </c>
      <c r="GO107">
        <f t="shared" si="111"/>
        <v>0</v>
      </c>
      <c r="GP107">
        <f t="shared" si="112"/>
        <v>0</v>
      </c>
      <c r="GR107">
        <v>0</v>
      </c>
      <c r="GS107">
        <v>3</v>
      </c>
      <c r="GT107">
        <v>0</v>
      </c>
      <c r="GU107" t="s">
        <v>3</v>
      </c>
      <c r="GV107">
        <f t="shared" si="113"/>
        <v>0</v>
      </c>
      <c r="GW107">
        <v>1</v>
      </c>
      <c r="GX107">
        <f t="shared" si="114"/>
        <v>0</v>
      </c>
      <c r="HA107">
        <v>0</v>
      </c>
      <c r="HB107">
        <v>0</v>
      </c>
      <c r="HC107">
        <f t="shared" si="115"/>
        <v>0</v>
      </c>
      <c r="HE107" t="s">
        <v>3</v>
      </c>
      <c r="HF107" t="s">
        <v>3</v>
      </c>
      <c r="HM107" t="s">
        <v>3</v>
      </c>
      <c r="HN107" t="s">
        <v>289</v>
      </c>
      <c r="HO107" t="s">
        <v>290</v>
      </c>
      <c r="HP107" t="s">
        <v>286</v>
      </c>
      <c r="HQ107" t="s">
        <v>286</v>
      </c>
      <c r="IK107">
        <v>0</v>
      </c>
    </row>
    <row r="108" spans="1:245" x14ac:dyDescent="0.2">
      <c r="A108">
        <v>17</v>
      </c>
      <c r="B108">
        <v>1</v>
      </c>
      <c r="C108">
        <f>ROW(SmtRes!A169)</f>
        <v>169</v>
      </c>
      <c r="D108">
        <f>ROW(EtalonRes!A182)</f>
        <v>182</v>
      </c>
      <c r="E108" t="s">
        <v>291</v>
      </c>
      <c r="F108" t="s">
        <v>292</v>
      </c>
      <c r="G108" t="s">
        <v>293</v>
      </c>
      <c r="H108" t="s">
        <v>24</v>
      </c>
      <c r="I108">
        <f>ROUND(2527/100,9)</f>
        <v>25.27</v>
      </c>
      <c r="J108">
        <v>0</v>
      </c>
      <c r="K108">
        <f>ROUND(2527/100,9)</f>
        <v>25.27</v>
      </c>
      <c r="O108">
        <f t="shared" si="82"/>
        <v>96523.98</v>
      </c>
      <c r="P108">
        <f t="shared" si="83"/>
        <v>59212.5</v>
      </c>
      <c r="Q108">
        <f t="shared" si="84"/>
        <v>4373.93</v>
      </c>
      <c r="R108">
        <f t="shared" si="85"/>
        <v>407.64</v>
      </c>
      <c r="S108">
        <f t="shared" si="86"/>
        <v>32937.550000000003</v>
      </c>
      <c r="T108">
        <f t="shared" si="87"/>
        <v>0</v>
      </c>
      <c r="U108">
        <f t="shared" si="88"/>
        <v>123.79772999999997</v>
      </c>
      <c r="V108">
        <f t="shared" si="89"/>
        <v>1.2635000000000001</v>
      </c>
      <c r="W108">
        <f t="shared" si="90"/>
        <v>0</v>
      </c>
      <c r="X108">
        <f t="shared" si="91"/>
        <v>31344.48</v>
      </c>
      <c r="Y108">
        <f t="shared" si="92"/>
        <v>17006.05</v>
      </c>
      <c r="AA108">
        <v>145262827</v>
      </c>
      <c r="AB108">
        <f t="shared" si="93"/>
        <v>335.79</v>
      </c>
      <c r="AC108">
        <f>ROUND(((ES108*2)),2)</f>
        <v>276.32</v>
      </c>
      <c r="AD108">
        <f>ROUND((((((ET108*2)*1.25))-(((EU108*2)*1.25)))+AE108),2)</f>
        <v>15.03</v>
      </c>
      <c r="AE108">
        <f>ROUND((((EU108*2)*1.25)),2)</f>
        <v>0.55000000000000004</v>
      </c>
      <c r="AF108">
        <f>ROUND((((EV108*2)*1.15)),2)</f>
        <v>44.44</v>
      </c>
      <c r="AG108">
        <f t="shared" si="95"/>
        <v>0</v>
      </c>
      <c r="AH108">
        <f>(((EW108*2)*1.15))</f>
        <v>4.8989999999999991</v>
      </c>
      <c r="AI108">
        <f>(((EX108*2)*1.25))</f>
        <v>0.05</v>
      </c>
      <c r="AJ108">
        <f t="shared" si="96"/>
        <v>0</v>
      </c>
      <c r="AK108">
        <v>163.49</v>
      </c>
      <c r="AL108">
        <v>138.16</v>
      </c>
      <c r="AM108">
        <v>6.01</v>
      </c>
      <c r="AN108">
        <v>0.22</v>
      </c>
      <c r="AO108">
        <v>19.32</v>
      </c>
      <c r="AP108">
        <v>0</v>
      </c>
      <c r="AQ108">
        <v>2.13</v>
      </c>
      <c r="AR108">
        <v>0.02</v>
      </c>
      <c r="AS108">
        <v>0</v>
      </c>
      <c r="AT108">
        <v>94</v>
      </c>
      <c r="AU108">
        <v>51</v>
      </c>
      <c r="AV108">
        <v>1</v>
      </c>
      <c r="AW108">
        <v>1</v>
      </c>
      <c r="AZ108">
        <v>1</v>
      </c>
      <c r="BA108">
        <v>29.33</v>
      </c>
      <c r="BB108">
        <v>11.52</v>
      </c>
      <c r="BC108">
        <v>8.48</v>
      </c>
      <c r="BD108" t="s">
        <v>3</v>
      </c>
      <c r="BE108" t="s">
        <v>3</v>
      </c>
      <c r="BF108" t="s">
        <v>3</v>
      </c>
      <c r="BG108" t="s">
        <v>3</v>
      </c>
      <c r="BH108">
        <v>0</v>
      </c>
      <c r="BI108">
        <v>1</v>
      </c>
      <c r="BJ108" t="s">
        <v>294</v>
      </c>
      <c r="BM108">
        <v>13001</v>
      </c>
      <c r="BN108">
        <v>0</v>
      </c>
      <c r="BO108" t="s">
        <v>3</v>
      </c>
      <c r="BP108">
        <v>0</v>
      </c>
      <c r="BQ108">
        <v>2</v>
      </c>
      <c r="BR108">
        <v>0</v>
      </c>
      <c r="BS108">
        <v>29.33</v>
      </c>
      <c r="BT108">
        <v>1</v>
      </c>
      <c r="BU108">
        <v>1</v>
      </c>
      <c r="BV108">
        <v>1</v>
      </c>
      <c r="BW108">
        <v>1</v>
      </c>
      <c r="BX108">
        <v>1</v>
      </c>
      <c r="BY108" t="s">
        <v>3</v>
      </c>
      <c r="BZ108">
        <v>94</v>
      </c>
      <c r="CA108">
        <v>51</v>
      </c>
      <c r="CB108" t="s">
        <v>3</v>
      </c>
      <c r="CE108">
        <v>0</v>
      </c>
      <c r="CF108">
        <v>0</v>
      </c>
      <c r="CG108">
        <v>0</v>
      </c>
      <c r="CM108">
        <v>0</v>
      </c>
      <c r="CN108" t="s">
        <v>597</v>
      </c>
      <c r="CO108">
        <v>0</v>
      </c>
      <c r="CP108">
        <f t="shared" si="97"/>
        <v>96523.98000000001</v>
      </c>
      <c r="CQ108">
        <f t="shared" si="98"/>
        <v>2343.1936000000001</v>
      </c>
      <c r="CR108">
        <f>(((((ET108*2)*1.25))*BB108-(((EU108*2)*1.25))*BS108)+AE108*BS108)</f>
        <v>173.08799999999997</v>
      </c>
      <c r="CS108">
        <f t="shared" si="99"/>
        <v>16.131499999999999</v>
      </c>
      <c r="CT108">
        <f t="shared" si="100"/>
        <v>1303.4251999999999</v>
      </c>
      <c r="CU108">
        <f t="shared" si="101"/>
        <v>0</v>
      </c>
      <c r="CV108">
        <f t="shared" si="102"/>
        <v>4.8989999999999991</v>
      </c>
      <c r="CW108">
        <f t="shared" si="103"/>
        <v>0.05</v>
      </c>
      <c r="CX108">
        <f t="shared" si="104"/>
        <v>0</v>
      </c>
      <c r="CY108">
        <f t="shared" si="105"/>
        <v>31344.478600000002</v>
      </c>
      <c r="CZ108">
        <f t="shared" si="106"/>
        <v>17006.046900000001</v>
      </c>
      <c r="DC108" t="s">
        <v>3</v>
      </c>
      <c r="DD108" t="s">
        <v>295</v>
      </c>
      <c r="DE108" t="s">
        <v>296</v>
      </c>
      <c r="DF108" t="s">
        <v>296</v>
      </c>
      <c r="DG108" t="s">
        <v>297</v>
      </c>
      <c r="DH108" t="s">
        <v>3</v>
      </c>
      <c r="DI108" t="s">
        <v>297</v>
      </c>
      <c r="DJ108" t="s">
        <v>296</v>
      </c>
      <c r="DK108" t="s">
        <v>3</v>
      </c>
      <c r="DL108" t="s">
        <v>3</v>
      </c>
      <c r="DM108" t="s">
        <v>3</v>
      </c>
      <c r="DN108">
        <v>0</v>
      </c>
      <c r="DO108">
        <v>0</v>
      </c>
      <c r="DP108">
        <v>1</v>
      </c>
      <c r="DQ108">
        <v>1</v>
      </c>
      <c r="DU108">
        <v>1005</v>
      </c>
      <c r="DV108" t="s">
        <v>24</v>
      </c>
      <c r="DW108" t="s">
        <v>24</v>
      </c>
      <c r="DX108">
        <v>100</v>
      </c>
      <c r="DZ108" t="s">
        <v>3</v>
      </c>
      <c r="EA108" t="s">
        <v>3</v>
      </c>
      <c r="EB108" t="s">
        <v>3</v>
      </c>
      <c r="EC108" t="s">
        <v>3</v>
      </c>
      <c r="EE108">
        <v>140625034</v>
      </c>
      <c r="EF108">
        <v>2</v>
      </c>
      <c r="EG108" t="s">
        <v>26</v>
      </c>
      <c r="EH108">
        <v>13</v>
      </c>
      <c r="EI108" t="s">
        <v>286</v>
      </c>
      <c r="EJ108">
        <v>1</v>
      </c>
      <c r="EK108">
        <v>13001</v>
      </c>
      <c r="EL108" t="s">
        <v>287</v>
      </c>
      <c r="EM108" t="s">
        <v>288</v>
      </c>
      <c r="EO108" t="s">
        <v>152</v>
      </c>
      <c r="EQ108">
        <v>0</v>
      </c>
      <c r="ER108">
        <v>163.49</v>
      </c>
      <c r="ES108">
        <v>138.16</v>
      </c>
      <c r="ET108">
        <v>6.01</v>
      </c>
      <c r="EU108">
        <v>0.22</v>
      </c>
      <c r="EV108">
        <v>19.32</v>
      </c>
      <c r="EW108">
        <v>2.13</v>
      </c>
      <c r="EX108">
        <v>0.02</v>
      </c>
      <c r="EY108">
        <v>0</v>
      </c>
      <c r="FQ108">
        <v>0</v>
      </c>
      <c r="FR108">
        <f t="shared" si="107"/>
        <v>0</v>
      </c>
      <c r="FS108">
        <v>0</v>
      </c>
      <c r="FX108">
        <v>94</v>
      </c>
      <c r="FY108">
        <v>51</v>
      </c>
      <c r="GA108" t="s">
        <v>3</v>
      </c>
      <c r="GD108">
        <v>1</v>
      </c>
      <c r="GF108">
        <v>-1083810809</v>
      </c>
      <c r="GG108">
        <v>2</v>
      </c>
      <c r="GH108">
        <v>1</v>
      </c>
      <c r="GI108">
        <v>4</v>
      </c>
      <c r="GJ108">
        <v>0</v>
      </c>
      <c r="GK108">
        <v>0</v>
      </c>
      <c r="GL108">
        <f t="shared" si="108"/>
        <v>0</v>
      </c>
      <c r="GM108">
        <f t="shared" si="109"/>
        <v>144874.51</v>
      </c>
      <c r="GN108">
        <f t="shared" si="110"/>
        <v>144874.51</v>
      </c>
      <c r="GO108">
        <f t="shared" si="111"/>
        <v>0</v>
      </c>
      <c r="GP108">
        <f t="shared" si="112"/>
        <v>0</v>
      </c>
      <c r="GR108">
        <v>0</v>
      </c>
      <c r="GS108">
        <v>3</v>
      </c>
      <c r="GT108">
        <v>0</v>
      </c>
      <c r="GU108" t="s">
        <v>3</v>
      </c>
      <c r="GV108">
        <f t="shared" si="113"/>
        <v>0</v>
      </c>
      <c r="GW108">
        <v>1</v>
      </c>
      <c r="GX108">
        <f t="shared" si="114"/>
        <v>0</v>
      </c>
      <c r="HA108">
        <v>0</v>
      </c>
      <c r="HB108">
        <v>0</v>
      </c>
      <c r="HC108">
        <f t="shared" si="115"/>
        <v>0</v>
      </c>
      <c r="HE108" t="s">
        <v>3</v>
      </c>
      <c r="HF108" t="s">
        <v>3</v>
      </c>
      <c r="HM108" t="s">
        <v>3</v>
      </c>
      <c r="HN108" t="s">
        <v>289</v>
      </c>
      <c r="HO108" t="s">
        <v>290</v>
      </c>
      <c r="HP108" t="s">
        <v>286</v>
      </c>
      <c r="HQ108" t="s">
        <v>286</v>
      </c>
      <c r="IK108">
        <v>0</v>
      </c>
    </row>
    <row r="110" spans="1:245" x14ac:dyDescent="0.2">
      <c r="A110" s="2">
        <v>51</v>
      </c>
      <c r="B110" s="2">
        <f>B69</f>
        <v>1</v>
      </c>
      <c r="C110" s="2">
        <f>A69</f>
        <v>4</v>
      </c>
      <c r="D110" s="2">
        <f>ROW(A69)</f>
        <v>69</v>
      </c>
      <c r="E110" s="2"/>
      <c r="F110" s="2" t="str">
        <f>IF(F69&lt;&gt;"",F69,"")</f>
        <v>Новый раздел</v>
      </c>
      <c r="G110" s="2" t="str">
        <f>IF(G69&lt;&gt;"",G69,"")</f>
        <v>Кровля</v>
      </c>
      <c r="H110" s="2">
        <v>0</v>
      </c>
      <c r="I110" s="2"/>
      <c r="J110" s="2"/>
      <c r="K110" s="2"/>
      <c r="L110" s="2"/>
      <c r="M110" s="2"/>
      <c r="N110" s="2"/>
      <c r="O110" s="2">
        <f t="shared" ref="O110:T110" si="120">ROUND(AB110,2)</f>
        <v>14036013.9</v>
      </c>
      <c r="P110" s="2">
        <f t="shared" si="120"/>
        <v>11469763.77</v>
      </c>
      <c r="Q110" s="2">
        <f t="shared" si="120"/>
        <v>903797.36</v>
      </c>
      <c r="R110" s="2">
        <f t="shared" si="120"/>
        <v>208186.18</v>
      </c>
      <c r="S110" s="2">
        <f t="shared" si="120"/>
        <v>1662452.77</v>
      </c>
      <c r="T110" s="2">
        <f t="shared" si="120"/>
        <v>0</v>
      </c>
      <c r="U110" s="2">
        <f>AH110</f>
        <v>6222.4303987000003</v>
      </c>
      <c r="V110" s="2">
        <f>AI110</f>
        <v>549.69761125000002</v>
      </c>
      <c r="W110" s="2">
        <f>ROUND(AJ110,2)</f>
        <v>0</v>
      </c>
      <c r="X110" s="2">
        <f>ROUND(AK110,2)</f>
        <v>1761926.62</v>
      </c>
      <c r="Y110" s="2">
        <f>ROUND(AL110,2)</f>
        <v>1024004.43</v>
      </c>
      <c r="Z110" s="2"/>
      <c r="AA110" s="2"/>
      <c r="AB110" s="2">
        <f>ROUND(SUMIF(AA73:AA108,"=145262827",O73:O108),2)</f>
        <v>14036013.9</v>
      </c>
      <c r="AC110" s="2">
        <f>ROUND(SUMIF(AA73:AA108,"=145262827",P73:P108),2)</f>
        <v>11469763.77</v>
      </c>
      <c r="AD110" s="2">
        <f>ROUND(SUMIF(AA73:AA108,"=145262827",Q73:Q108),2)</f>
        <v>903797.36</v>
      </c>
      <c r="AE110" s="2">
        <f>ROUND(SUMIF(AA73:AA108,"=145262827",R73:R108),2)</f>
        <v>208186.18</v>
      </c>
      <c r="AF110" s="2">
        <f>ROUND(SUMIF(AA73:AA108,"=145262827",S73:S108),2)</f>
        <v>1662452.77</v>
      </c>
      <c r="AG110" s="2">
        <f>ROUND(SUMIF(AA73:AA108,"=145262827",T73:T108),2)</f>
        <v>0</v>
      </c>
      <c r="AH110" s="2">
        <f>SUMIF(AA73:AA108,"=145262827",U73:U108)</f>
        <v>6222.4303987000003</v>
      </c>
      <c r="AI110" s="2">
        <f>SUMIF(AA73:AA108,"=145262827",V73:V108)</f>
        <v>549.69761125000002</v>
      </c>
      <c r="AJ110" s="2">
        <f>ROUND(SUMIF(AA73:AA108,"=145262827",W73:W108),2)</f>
        <v>0</v>
      </c>
      <c r="AK110" s="2">
        <f>ROUND(SUMIF(AA73:AA108,"=145262827",X73:X108),2)</f>
        <v>1761926.62</v>
      </c>
      <c r="AL110" s="2">
        <f>ROUND(SUMIF(AA73:AA108,"=145262827",Y73:Y108),2)</f>
        <v>1024004.43</v>
      </c>
      <c r="AM110" s="2"/>
      <c r="AN110" s="2"/>
      <c r="AO110" s="2">
        <f t="shared" ref="AO110:BD110" si="121">ROUND(BX110,2)</f>
        <v>0</v>
      </c>
      <c r="AP110" s="2">
        <f t="shared" si="121"/>
        <v>0</v>
      </c>
      <c r="AQ110" s="2">
        <f t="shared" si="121"/>
        <v>0</v>
      </c>
      <c r="AR110" s="2">
        <f t="shared" si="121"/>
        <v>16821944.949999999</v>
      </c>
      <c r="AS110" s="2">
        <f t="shared" si="121"/>
        <v>15038905.800000001</v>
      </c>
      <c r="AT110" s="2">
        <f t="shared" si="121"/>
        <v>1783039.15</v>
      </c>
      <c r="AU110" s="2">
        <f t="shared" si="121"/>
        <v>0</v>
      </c>
      <c r="AV110" s="2">
        <f t="shared" si="121"/>
        <v>11469763.77</v>
      </c>
      <c r="AW110" s="2">
        <f t="shared" si="121"/>
        <v>11469763.77</v>
      </c>
      <c r="AX110" s="2">
        <f t="shared" si="121"/>
        <v>0</v>
      </c>
      <c r="AY110" s="2">
        <f t="shared" si="121"/>
        <v>11469763.77</v>
      </c>
      <c r="AZ110" s="2">
        <f t="shared" si="121"/>
        <v>0</v>
      </c>
      <c r="BA110" s="2">
        <f t="shared" si="121"/>
        <v>0</v>
      </c>
      <c r="BB110" s="2">
        <f t="shared" si="121"/>
        <v>0</v>
      </c>
      <c r="BC110" s="2">
        <f t="shared" si="121"/>
        <v>0</v>
      </c>
      <c r="BD110" s="2">
        <f t="shared" si="121"/>
        <v>0</v>
      </c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>
        <f>ROUND(SUMIF(AA73:AA108,"=145262827",FQ73:FQ108),2)</f>
        <v>0</v>
      </c>
      <c r="BY110" s="2">
        <f>ROUND(SUMIF(AA73:AA108,"=145262827",FR73:FR108),2)</f>
        <v>0</v>
      </c>
      <c r="BZ110" s="2">
        <f>ROUND(SUMIF(AA73:AA108,"=145262827",GL73:GL108),2)</f>
        <v>0</v>
      </c>
      <c r="CA110" s="2">
        <f>ROUND(SUMIF(AA73:AA108,"=145262827",GM73:GM108),2)</f>
        <v>16821944.949999999</v>
      </c>
      <c r="CB110" s="2">
        <f>ROUND(SUMIF(AA73:AA108,"=145262827",GN73:GN108),2)</f>
        <v>15038905.800000001</v>
      </c>
      <c r="CC110" s="2">
        <f>ROUND(SUMIF(AA73:AA108,"=145262827",GO73:GO108),2)</f>
        <v>1783039.15</v>
      </c>
      <c r="CD110" s="2">
        <f>ROUND(SUMIF(AA73:AA108,"=145262827",GP73:GP108),2)</f>
        <v>0</v>
      </c>
      <c r="CE110" s="2">
        <f>AC110-BX110</f>
        <v>11469763.77</v>
      </c>
      <c r="CF110" s="2">
        <f>AC110-BY110</f>
        <v>11469763.77</v>
      </c>
      <c r="CG110" s="2">
        <f>BX110-BZ110</f>
        <v>0</v>
      </c>
      <c r="CH110" s="2">
        <f>AC110-BX110-BY110+BZ110</f>
        <v>11469763.77</v>
      </c>
      <c r="CI110" s="2">
        <f>BY110-BZ110</f>
        <v>0</v>
      </c>
      <c r="CJ110" s="2">
        <f>ROUND(SUMIF(AA73:AA108,"=145262827",GX73:GX108),2)</f>
        <v>0</v>
      </c>
      <c r="CK110" s="2">
        <f>ROUND(SUMIF(AA73:AA108,"=145262827",GY73:GY108),2)</f>
        <v>0</v>
      </c>
      <c r="CL110" s="2">
        <f>ROUND(SUMIF(AA73:AA108,"=145262827",GZ73:GZ108),2)</f>
        <v>0</v>
      </c>
      <c r="CM110" s="2">
        <f>ROUND(SUMIF(AA73:AA108,"=145262827",HD73:HD108),2)</f>
        <v>0</v>
      </c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>
        <v>0</v>
      </c>
    </row>
    <row r="112" spans="1:245" x14ac:dyDescent="0.2">
      <c r="A112" s="4">
        <v>50</v>
      </c>
      <c r="B112" s="4">
        <v>0</v>
      </c>
      <c r="C112" s="4">
        <v>0</v>
      </c>
      <c r="D112" s="4">
        <v>1</v>
      </c>
      <c r="E112" s="4">
        <v>201</v>
      </c>
      <c r="F112" s="4">
        <f>ROUND(Source!O110,O112)</f>
        <v>14036013.9</v>
      </c>
      <c r="G112" s="4" t="s">
        <v>89</v>
      </c>
      <c r="H112" s="4" t="s">
        <v>90</v>
      </c>
      <c r="I112" s="4"/>
      <c r="J112" s="4"/>
      <c r="K112" s="4">
        <v>201</v>
      </c>
      <c r="L112" s="4">
        <v>1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>
        <v>14036013.9</v>
      </c>
      <c r="X112" s="4">
        <v>1</v>
      </c>
      <c r="Y112" s="4">
        <v>14036013.9</v>
      </c>
      <c r="Z112" s="4"/>
      <c r="AA112" s="4"/>
      <c r="AB112" s="4"/>
    </row>
    <row r="113" spans="1:28" x14ac:dyDescent="0.2">
      <c r="A113" s="4">
        <v>50</v>
      </c>
      <c r="B113" s="4">
        <v>0</v>
      </c>
      <c r="C113" s="4">
        <v>0</v>
      </c>
      <c r="D113" s="4">
        <v>1</v>
      </c>
      <c r="E113" s="4">
        <v>202</v>
      </c>
      <c r="F113" s="4">
        <f>ROUND(Source!P110,O113)</f>
        <v>11469763.77</v>
      </c>
      <c r="G113" s="4" t="s">
        <v>91</v>
      </c>
      <c r="H113" s="4" t="s">
        <v>92</v>
      </c>
      <c r="I113" s="4"/>
      <c r="J113" s="4"/>
      <c r="K113" s="4">
        <v>202</v>
      </c>
      <c r="L113" s="4">
        <v>2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>
        <v>11469763.77</v>
      </c>
      <c r="X113" s="4">
        <v>1</v>
      </c>
      <c r="Y113" s="4">
        <v>11469763.77</v>
      </c>
      <c r="Z113" s="4"/>
      <c r="AA113" s="4"/>
      <c r="AB113" s="4"/>
    </row>
    <row r="114" spans="1:28" x14ac:dyDescent="0.2">
      <c r="A114" s="4">
        <v>50</v>
      </c>
      <c r="B114" s="4">
        <v>0</v>
      </c>
      <c r="C114" s="4">
        <v>0</v>
      </c>
      <c r="D114" s="4">
        <v>1</v>
      </c>
      <c r="E114" s="4">
        <v>222</v>
      </c>
      <c r="F114" s="4">
        <f>ROUND(Source!AO110,O114)</f>
        <v>0</v>
      </c>
      <c r="G114" s="4" t="s">
        <v>93</v>
      </c>
      <c r="H114" s="4" t="s">
        <v>94</v>
      </c>
      <c r="I114" s="4"/>
      <c r="J114" s="4"/>
      <c r="K114" s="4">
        <v>222</v>
      </c>
      <c r="L114" s="4">
        <v>3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>
        <v>0</v>
      </c>
      <c r="X114" s="4">
        <v>1</v>
      </c>
      <c r="Y114" s="4">
        <v>0</v>
      </c>
      <c r="Z114" s="4"/>
      <c r="AA114" s="4"/>
      <c r="AB114" s="4"/>
    </row>
    <row r="115" spans="1:28" x14ac:dyDescent="0.2">
      <c r="A115" s="4">
        <v>50</v>
      </c>
      <c r="B115" s="4">
        <v>0</v>
      </c>
      <c r="C115" s="4">
        <v>0</v>
      </c>
      <c r="D115" s="4">
        <v>1</v>
      </c>
      <c r="E115" s="4">
        <v>225</v>
      </c>
      <c r="F115" s="4">
        <f>ROUND(Source!AV110,O115)</f>
        <v>11469763.77</v>
      </c>
      <c r="G115" s="4" t="s">
        <v>95</v>
      </c>
      <c r="H115" s="4" t="s">
        <v>96</v>
      </c>
      <c r="I115" s="4"/>
      <c r="J115" s="4"/>
      <c r="K115" s="4">
        <v>225</v>
      </c>
      <c r="L115" s="4">
        <v>4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>
        <v>11469763.77</v>
      </c>
      <c r="X115" s="4">
        <v>1</v>
      </c>
      <c r="Y115" s="4">
        <v>11469763.77</v>
      </c>
      <c r="Z115" s="4"/>
      <c r="AA115" s="4"/>
      <c r="AB115" s="4"/>
    </row>
    <row r="116" spans="1:28" x14ac:dyDescent="0.2">
      <c r="A116" s="4">
        <v>50</v>
      </c>
      <c r="B116" s="4">
        <v>0</v>
      </c>
      <c r="C116" s="4">
        <v>0</v>
      </c>
      <c r="D116" s="4">
        <v>1</v>
      </c>
      <c r="E116" s="4">
        <v>226</v>
      </c>
      <c r="F116" s="4">
        <f>ROUND(Source!AW110,O116)</f>
        <v>11469763.77</v>
      </c>
      <c r="G116" s="4" t="s">
        <v>97</v>
      </c>
      <c r="H116" s="4" t="s">
        <v>98</v>
      </c>
      <c r="I116" s="4"/>
      <c r="J116" s="4"/>
      <c r="K116" s="4">
        <v>226</v>
      </c>
      <c r="L116" s="4">
        <v>5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>
        <v>11469763.77</v>
      </c>
      <c r="X116" s="4">
        <v>1</v>
      </c>
      <c r="Y116" s="4">
        <v>11469763.77</v>
      </c>
      <c r="Z116" s="4"/>
      <c r="AA116" s="4"/>
      <c r="AB116" s="4"/>
    </row>
    <row r="117" spans="1:28" x14ac:dyDescent="0.2">
      <c r="A117" s="4">
        <v>50</v>
      </c>
      <c r="B117" s="4">
        <v>0</v>
      </c>
      <c r="C117" s="4">
        <v>0</v>
      </c>
      <c r="D117" s="4">
        <v>1</v>
      </c>
      <c r="E117" s="4">
        <v>227</v>
      </c>
      <c r="F117" s="4">
        <f>ROUND(Source!AX110,O117)</f>
        <v>0</v>
      </c>
      <c r="G117" s="4" t="s">
        <v>99</v>
      </c>
      <c r="H117" s="4" t="s">
        <v>100</v>
      </c>
      <c r="I117" s="4"/>
      <c r="J117" s="4"/>
      <c r="K117" s="4">
        <v>227</v>
      </c>
      <c r="L117" s="4">
        <v>6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>
        <v>0</v>
      </c>
      <c r="X117" s="4">
        <v>1</v>
      </c>
      <c r="Y117" s="4">
        <v>0</v>
      </c>
      <c r="Z117" s="4"/>
      <c r="AA117" s="4"/>
      <c r="AB117" s="4"/>
    </row>
    <row r="118" spans="1:28" x14ac:dyDescent="0.2">
      <c r="A118" s="4">
        <v>50</v>
      </c>
      <c r="B118" s="4">
        <v>0</v>
      </c>
      <c r="C118" s="4">
        <v>0</v>
      </c>
      <c r="D118" s="4">
        <v>1</v>
      </c>
      <c r="E118" s="4">
        <v>228</v>
      </c>
      <c r="F118" s="4">
        <f>ROUND(Source!AY110,O118)</f>
        <v>11469763.77</v>
      </c>
      <c r="G118" s="4" t="s">
        <v>101</v>
      </c>
      <c r="H118" s="4" t="s">
        <v>102</v>
      </c>
      <c r="I118" s="4"/>
      <c r="J118" s="4"/>
      <c r="K118" s="4">
        <v>228</v>
      </c>
      <c r="L118" s="4">
        <v>7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>
        <v>11469763.77</v>
      </c>
      <c r="X118" s="4">
        <v>1</v>
      </c>
      <c r="Y118" s="4">
        <v>11469763.77</v>
      </c>
      <c r="Z118" s="4"/>
      <c r="AA118" s="4"/>
      <c r="AB118" s="4"/>
    </row>
    <row r="119" spans="1:28" x14ac:dyDescent="0.2">
      <c r="A119" s="4">
        <v>50</v>
      </c>
      <c r="B119" s="4">
        <v>0</v>
      </c>
      <c r="C119" s="4">
        <v>0</v>
      </c>
      <c r="D119" s="4">
        <v>1</v>
      </c>
      <c r="E119" s="4">
        <v>216</v>
      </c>
      <c r="F119" s="4">
        <f>ROUND(Source!AP110,O119)</f>
        <v>0</v>
      </c>
      <c r="G119" s="4" t="s">
        <v>103</v>
      </c>
      <c r="H119" s="4" t="s">
        <v>104</v>
      </c>
      <c r="I119" s="4"/>
      <c r="J119" s="4"/>
      <c r="K119" s="4">
        <v>216</v>
      </c>
      <c r="L119" s="4">
        <v>8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>
        <v>0</v>
      </c>
      <c r="X119" s="4">
        <v>1</v>
      </c>
      <c r="Y119" s="4">
        <v>0</v>
      </c>
      <c r="Z119" s="4"/>
      <c r="AA119" s="4"/>
      <c r="AB119" s="4"/>
    </row>
    <row r="120" spans="1:28" x14ac:dyDescent="0.2">
      <c r="A120" s="4">
        <v>50</v>
      </c>
      <c r="B120" s="4">
        <v>0</v>
      </c>
      <c r="C120" s="4">
        <v>0</v>
      </c>
      <c r="D120" s="4">
        <v>1</v>
      </c>
      <c r="E120" s="4">
        <v>223</v>
      </c>
      <c r="F120" s="4">
        <f>ROUND(Source!AQ110,O120)</f>
        <v>0</v>
      </c>
      <c r="G120" s="4" t="s">
        <v>105</v>
      </c>
      <c r="H120" s="4" t="s">
        <v>106</v>
      </c>
      <c r="I120" s="4"/>
      <c r="J120" s="4"/>
      <c r="K120" s="4">
        <v>223</v>
      </c>
      <c r="L120" s="4">
        <v>9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>
        <v>0</v>
      </c>
      <c r="X120" s="4">
        <v>1</v>
      </c>
      <c r="Y120" s="4">
        <v>0</v>
      </c>
      <c r="Z120" s="4"/>
      <c r="AA120" s="4"/>
      <c r="AB120" s="4"/>
    </row>
    <row r="121" spans="1:28" x14ac:dyDescent="0.2">
      <c r="A121" s="4">
        <v>50</v>
      </c>
      <c r="B121" s="4">
        <v>0</v>
      </c>
      <c r="C121" s="4">
        <v>0</v>
      </c>
      <c r="D121" s="4">
        <v>1</v>
      </c>
      <c r="E121" s="4">
        <v>229</v>
      </c>
      <c r="F121" s="4">
        <f>ROUND(Source!AZ110,O121)</f>
        <v>0</v>
      </c>
      <c r="G121" s="4" t="s">
        <v>107</v>
      </c>
      <c r="H121" s="4" t="s">
        <v>108</v>
      </c>
      <c r="I121" s="4"/>
      <c r="J121" s="4"/>
      <c r="K121" s="4">
        <v>229</v>
      </c>
      <c r="L121" s="4">
        <v>10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>
        <v>0</v>
      </c>
      <c r="X121" s="4">
        <v>1</v>
      </c>
      <c r="Y121" s="4">
        <v>0</v>
      </c>
      <c r="Z121" s="4"/>
      <c r="AA121" s="4"/>
      <c r="AB121" s="4"/>
    </row>
    <row r="122" spans="1:28" x14ac:dyDescent="0.2">
      <c r="A122" s="4">
        <v>50</v>
      </c>
      <c r="B122" s="4">
        <v>0</v>
      </c>
      <c r="C122" s="4">
        <v>0</v>
      </c>
      <c r="D122" s="4">
        <v>1</v>
      </c>
      <c r="E122" s="4">
        <v>203</v>
      </c>
      <c r="F122" s="4">
        <f>ROUND(Source!Q110,O122)</f>
        <v>903797.36</v>
      </c>
      <c r="G122" s="4" t="s">
        <v>109</v>
      </c>
      <c r="H122" s="4" t="s">
        <v>110</v>
      </c>
      <c r="I122" s="4"/>
      <c r="J122" s="4"/>
      <c r="K122" s="4">
        <v>203</v>
      </c>
      <c r="L122" s="4">
        <v>11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>
        <v>903797.36</v>
      </c>
      <c r="X122" s="4">
        <v>1</v>
      </c>
      <c r="Y122" s="4">
        <v>903797.36</v>
      </c>
      <c r="Z122" s="4"/>
      <c r="AA122" s="4"/>
      <c r="AB122" s="4"/>
    </row>
    <row r="123" spans="1:28" x14ac:dyDescent="0.2">
      <c r="A123" s="4">
        <v>50</v>
      </c>
      <c r="B123" s="4">
        <v>0</v>
      </c>
      <c r="C123" s="4">
        <v>0</v>
      </c>
      <c r="D123" s="4">
        <v>1</v>
      </c>
      <c r="E123" s="4">
        <v>231</v>
      </c>
      <c r="F123" s="4">
        <f>ROUND(Source!BB110,O123)</f>
        <v>0</v>
      </c>
      <c r="G123" s="4" t="s">
        <v>111</v>
      </c>
      <c r="H123" s="4" t="s">
        <v>112</v>
      </c>
      <c r="I123" s="4"/>
      <c r="J123" s="4"/>
      <c r="K123" s="4">
        <v>231</v>
      </c>
      <c r="L123" s="4">
        <v>12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>
        <v>0</v>
      </c>
      <c r="X123" s="4">
        <v>1</v>
      </c>
      <c r="Y123" s="4">
        <v>0</v>
      </c>
      <c r="Z123" s="4"/>
      <c r="AA123" s="4"/>
      <c r="AB123" s="4"/>
    </row>
    <row r="124" spans="1:28" x14ac:dyDescent="0.2">
      <c r="A124" s="4">
        <v>50</v>
      </c>
      <c r="B124" s="4">
        <v>0</v>
      </c>
      <c r="C124" s="4">
        <v>0</v>
      </c>
      <c r="D124" s="4">
        <v>1</v>
      </c>
      <c r="E124" s="4">
        <v>204</v>
      </c>
      <c r="F124" s="4">
        <f>ROUND(Source!R110,O124)</f>
        <v>208186.18</v>
      </c>
      <c r="G124" s="4" t="s">
        <v>113</v>
      </c>
      <c r="H124" s="4" t="s">
        <v>114</v>
      </c>
      <c r="I124" s="4"/>
      <c r="J124" s="4"/>
      <c r="K124" s="4">
        <v>204</v>
      </c>
      <c r="L124" s="4">
        <v>13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>
        <v>208186.18</v>
      </c>
      <c r="X124" s="4">
        <v>1</v>
      </c>
      <c r="Y124" s="4">
        <v>208186.18</v>
      </c>
      <c r="Z124" s="4"/>
      <c r="AA124" s="4"/>
      <c r="AB124" s="4"/>
    </row>
    <row r="125" spans="1:28" x14ac:dyDescent="0.2">
      <c r="A125" s="4">
        <v>50</v>
      </c>
      <c r="B125" s="4">
        <v>0</v>
      </c>
      <c r="C125" s="4">
        <v>0</v>
      </c>
      <c r="D125" s="4">
        <v>1</v>
      </c>
      <c r="E125" s="4">
        <v>205</v>
      </c>
      <c r="F125" s="4">
        <f>ROUND(Source!S110,O125)</f>
        <v>1662452.77</v>
      </c>
      <c r="G125" s="4" t="s">
        <v>115</v>
      </c>
      <c r="H125" s="4" t="s">
        <v>116</v>
      </c>
      <c r="I125" s="4"/>
      <c r="J125" s="4"/>
      <c r="K125" s="4">
        <v>205</v>
      </c>
      <c r="L125" s="4">
        <v>14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>
        <v>1662452.77</v>
      </c>
      <c r="X125" s="4">
        <v>1</v>
      </c>
      <c r="Y125" s="4">
        <v>1662452.77</v>
      </c>
      <c r="Z125" s="4"/>
      <c r="AA125" s="4"/>
      <c r="AB125" s="4"/>
    </row>
    <row r="126" spans="1:28" x14ac:dyDescent="0.2">
      <c r="A126" s="4">
        <v>50</v>
      </c>
      <c r="B126" s="4">
        <v>0</v>
      </c>
      <c r="C126" s="4">
        <v>0</v>
      </c>
      <c r="D126" s="4">
        <v>1</v>
      </c>
      <c r="E126" s="4">
        <v>232</v>
      </c>
      <c r="F126" s="4">
        <f>ROUND(Source!BC110,O126)</f>
        <v>0</v>
      </c>
      <c r="G126" s="4" t="s">
        <v>117</v>
      </c>
      <c r="H126" s="4" t="s">
        <v>118</v>
      </c>
      <c r="I126" s="4"/>
      <c r="J126" s="4"/>
      <c r="K126" s="4">
        <v>232</v>
      </c>
      <c r="L126" s="4">
        <v>15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>
        <v>0</v>
      </c>
      <c r="X126" s="4">
        <v>1</v>
      </c>
      <c r="Y126" s="4">
        <v>0</v>
      </c>
      <c r="Z126" s="4"/>
      <c r="AA126" s="4"/>
      <c r="AB126" s="4"/>
    </row>
    <row r="127" spans="1:28" x14ac:dyDescent="0.2">
      <c r="A127" s="4">
        <v>50</v>
      </c>
      <c r="B127" s="4">
        <v>0</v>
      </c>
      <c r="C127" s="4">
        <v>0</v>
      </c>
      <c r="D127" s="4">
        <v>1</v>
      </c>
      <c r="E127" s="4">
        <v>214</v>
      </c>
      <c r="F127" s="4">
        <f>ROUND(Source!AS110,O127)</f>
        <v>15038905.800000001</v>
      </c>
      <c r="G127" s="4" t="s">
        <v>119</v>
      </c>
      <c r="H127" s="4" t="s">
        <v>120</v>
      </c>
      <c r="I127" s="4"/>
      <c r="J127" s="4"/>
      <c r="K127" s="4">
        <v>214</v>
      </c>
      <c r="L127" s="4">
        <v>16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>
        <v>15038905.800000001</v>
      </c>
      <c r="X127" s="4">
        <v>1</v>
      </c>
      <c r="Y127" s="4">
        <v>15038905.800000001</v>
      </c>
      <c r="Z127" s="4"/>
      <c r="AA127" s="4"/>
      <c r="AB127" s="4"/>
    </row>
    <row r="128" spans="1:28" x14ac:dyDescent="0.2">
      <c r="A128" s="4">
        <v>50</v>
      </c>
      <c r="B128" s="4">
        <v>0</v>
      </c>
      <c r="C128" s="4">
        <v>0</v>
      </c>
      <c r="D128" s="4">
        <v>1</v>
      </c>
      <c r="E128" s="4">
        <v>215</v>
      </c>
      <c r="F128" s="4">
        <f>ROUND(Source!AT110,O128)</f>
        <v>1783039.15</v>
      </c>
      <c r="G128" s="4" t="s">
        <v>121</v>
      </c>
      <c r="H128" s="4" t="s">
        <v>122</v>
      </c>
      <c r="I128" s="4"/>
      <c r="J128" s="4"/>
      <c r="K128" s="4">
        <v>215</v>
      </c>
      <c r="L128" s="4">
        <v>17</v>
      </c>
      <c r="M128" s="4">
        <v>3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>
        <v>1783039.15</v>
      </c>
      <c r="X128" s="4">
        <v>1</v>
      </c>
      <c r="Y128" s="4">
        <v>1783039.15</v>
      </c>
      <c r="Z128" s="4"/>
      <c r="AA128" s="4"/>
      <c r="AB128" s="4"/>
    </row>
    <row r="129" spans="1:206" x14ac:dyDescent="0.2">
      <c r="A129" s="4">
        <v>50</v>
      </c>
      <c r="B129" s="4">
        <v>0</v>
      </c>
      <c r="C129" s="4">
        <v>0</v>
      </c>
      <c r="D129" s="4">
        <v>1</v>
      </c>
      <c r="E129" s="4">
        <v>217</v>
      </c>
      <c r="F129" s="4">
        <f>ROUND(Source!AU110,O129)</f>
        <v>0</v>
      </c>
      <c r="G129" s="4" t="s">
        <v>123</v>
      </c>
      <c r="H129" s="4" t="s">
        <v>124</v>
      </c>
      <c r="I129" s="4"/>
      <c r="J129" s="4"/>
      <c r="K129" s="4">
        <v>217</v>
      </c>
      <c r="L129" s="4">
        <v>18</v>
      </c>
      <c r="M129" s="4">
        <v>3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>
        <v>0</v>
      </c>
      <c r="X129" s="4">
        <v>1</v>
      </c>
      <c r="Y129" s="4">
        <v>0</v>
      </c>
      <c r="Z129" s="4"/>
      <c r="AA129" s="4"/>
      <c r="AB129" s="4"/>
    </row>
    <row r="130" spans="1:206" x14ac:dyDescent="0.2">
      <c r="A130" s="4">
        <v>50</v>
      </c>
      <c r="B130" s="4">
        <v>0</v>
      </c>
      <c r="C130" s="4">
        <v>0</v>
      </c>
      <c r="D130" s="4">
        <v>1</v>
      </c>
      <c r="E130" s="4">
        <v>230</v>
      </c>
      <c r="F130" s="4">
        <f>ROUND(Source!BA110,O130)</f>
        <v>0</v>
      </c>
      <c r="G130" s="4" t="s">
        <v>125</v>
      </c>
      <c r="H130" s="4" t="s">
        <v>126</v>
      </c>
      <c r="I130" s="4"/>
      <c r="J130" s="4"/>
      <c r="K130" s="4">
        <v>230</v>
      </c>
      <c r="L130" s="4">
        <v>19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>
        <v>0</v>
      </c>
      <c r="X130" s="4">
        <v>1</v>
      </c>
      <c r="Y130" s="4">
        <v>0</v>
      </c>
      <c r="Z130" s="4"/>
      <c r="AA130" s="4"/>
      <c r="AB130" s="4"/>
    </row>
    <row r="131" spans="1:206" x14ac:dyDescent="0.2">
      <c r="A131" s="4">
        <v>50</v>
      </c>
      <c r="B131" s="4">
        <v>0</v>
      </c>
      <c r="C131" s="4">
        <v>0</v>
      </c>
      <c r="D131" s="4">
        <v>1</v>
      </c>
      <c r="E131" s="4">
        <v>206</v>
      </c>
      <c r="F131" s="4">
        <f>ROUND(Source!T110,O131)</f>
        <v>0</v>
      </c>
      <c r="G131" s="4" t="s">
        <v>127</v>
      </c>
      <c r="H131" s="4" t="s">
        <v>128</v>
      </c>
      <c r="I131" s="4"/>
      <c r="J131" s="4"/>
      <c r="K131" s="4">
        <v>206</v>
      </c>
      <c r="L131" s="4">
        <v>20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>
        <v>0</v>
      </c>
      <c r="X131" s="4">
        <v>1</v>
      </c>
      <c r="Y131" s="4">
        <v>0</v>
      </c>
      <c r="Z131" s="4"/>
      <c r="AA131" s="4"/>
      <c r="AB131" s="4"/>
    </row>
    <row r="132" spans="1:206" x14ac:dyDescent="0.2">
      <c r="A132" s="4">
        <v>50</v>
      </c>
      <c r="B132" s="4">
        <v>0</v>
      </c>
      <c r="C132" s="4">
        <v>0</v>
      </c>
      <c r="D132" s="4">
        <v>1</v>
      </c>
      <c r="E132" s="4">
        <v>207</v>
      </c>
      <c r="F132" s="4">
        <f>Source!U110</f>
        <v>6222.4303987000003</v>
      </c>
      <c r="G132" s="4" t="s">
        <v>129</v>
      </c>
      <c r="H132" s="4" t="s">
        <v>130</v>
      </c>
      <c r="I132" s="4"/>
      <c r="J132" s="4"/>
      <c r="K132" s="4">
        <v>207</v>
      </c>
      <c r="L132" s="4">
        <v>21</v>
      </c>
      <c r="M132" s="4">
        <v>3</v>
      </c>
      <c r="N132" s="4" t="s">
        <v>3</v>
      </c>
      <c r="O132" s="4">
        <v>-1</v>
      </c>
      <c r="P132" s="4"/>
      <c r="Q132" s="4"/>
      <c r="R132" s="4"/>
      <c r="S132" s="4"/>
      <c r="T132" s="4"/>
      <c r="U132" s="4"/>
      <c r="V132" s="4"/>
      <c r="W132" s="4">
        <v>6222.4303987000012</v>
      </c>
      <c r="X132" s="4">
        <v>1</v>
      </c>
      <c r="Y132" s="4">
        <v>6222.4303987000012</v>
      </c>
      <c r="Z132" s="4"/>
      <c r="AA132" s="4"/>
      <c r="AB132" s="4"/>
    </row>
    <row r="133" spans="1:206" x14ac:dyDescent="0.2">
      <c r="A133" s="4">
        <v>50</v>
      </c>
      <c r="B133" s="4">
        <v>0</v>
      </c>
      <c r="C133" s="4">
        <v>0</v>
      </c>
      <c r="D133" s="4">
        <v>1</v>
      </c>
      <c r="E133" s="4">
        <v>208</v>
      </c>
      <c r="F133" s="4">
        <f>Source!V110</f>
        <v>549.69761125000002</v>
      </c>
      <c r="G133" s="4" t="s">
        <v>131</v>
      </c>
      <c r="H133" s="4" t="s">
        <v>132</v>
      </c>
      <c r="I133" s="4"/>
      <c r="J133" s="4"/>
      <c r="K133" s="4">
        <v>208</v>
      </c>
      <c r="L133" s="4">
        <v>22</v>
      </c>
      <c r="M133" s="4">
        <v>3</v>
      </c>
      <c r="N133" s="4" t="s">
        <v>3</v>
      </c>
      <c r="O133" s="4">
        <v>-1</v>
      </c>
      <c r="P133" s="4"/>
      <c r="Q133" s="4"/>
      <c r="R133" s="4"/>
      <c r="S133" s="4"/>
      <c r="T133" s="4"/>
      <c r="U133" s="4"/>
      <c r="V133" s="4"/>
      <c r="W133" s="4">
        <v>549.69761124999991</v>
      </c>
      <c r="X133" s="4">
        <v>1</v>
      </c>
      <c r="Y133" s="4">
        <v>549.69761124999991</v>
      </c>
      <c r="Z133" s="4"/>
      <c r="AA133" s="4"/>
      <c r="AB133" s="4"/>
    </row>
    <row r="134" spans="1:206" x14ac:dyDescent="0.2">
      <c r="A134" s="4">
        <v>50</v>
      </c>
      <c r="B134" s="4">
        <v>0</v>
      </c>
      <c r="C134" s="4">
        <v>0</v>
      </c>
      <c r="D134" s="4">
        <v>1</v>
      </c>
      <c r="E134" s="4">
        <v>209</v>
      </c>
      <c r="F134" s="4">
        <f>ROUND(Source!W110,O134)</f>
        <v>0</v>
      </c>
      <c r="G134" s="4" t="s">
        <v>133</v>
      </c>
      <c r="H134" s="4" t="s">
        <v>134</v>
      </c>
      <c r="I134" s="4"/>
      <c r="J134" s="4"/>
      <c r="K134" s="4">
        <v>209</v>
      </c>
      <c r="L134" s="4">
        <v>23</v>
      </c>
      <c r="M134" s="4">
        <v>3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>
        <v>0</v>
      </c>
      <c r="X134" s="4">
        <v>1</v>
      </c>
      <c r="Y134" s="4">
        <v>0</v>
      </c>
      <c r="Z134" s="4"/>
      <c r="AA134" s="4"/>
      <c r="AB134" s="4"/>
    </row>
    <row r="135" spans="1:206" x14ac:dyDescent="0.2">
      <c r="A135" s="4">
        <v>50</v>
      </c>
      <c r="B135" s="4">
        <v>0</v>
      </c>
      <c r="C135" s="4">
        <v>0</v>
      </c>
      <c r="D135" s="4">
        <v>1</v>
      </c>
      <c r="E135" s="4">
        <v>233</v>
      </c>
      <c r="F135" s="4">
        <f>ROUND(Source!BD110,O135)</f>
        <v>0</v>
      </c>
      <c r="G135" s="4" t="s">
        <v>135</v>
      </c>
      <c r="H135" s="4" t="s">
        <v>136</v>
      </c>
      <c r="I135" s="4"/>
      <c r="J135" s="4"/>
      <c r="K135" s="4">
        <v>233</v>
      </c>
      <c r="L135" s="4">
        <v>24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>
        <v>0</v>
      </c>
      <c r="X135" s="4">
        <v>1</v>
      </c>
      <c r="Y135" s="4">
        <v>0</v>
      </c>
      <c r="Z135" s="4"/>
      <c r="AA135" s="4"/>
      <c r="AB135" s="4"/>
    </row>
    <row r="136" spans="1:206" x14ac:dyDescent="0.2">
      <c r="A136" s="4">
        <v>50</v>
      </c>
      <c r="B136" s="4">
        <v>0</v>
      </c>
      <c r="C136" s="4">
        <v>0</v>
      </c>
      <c r="D136" s="4">
        <v>1</v>
      </c>
      <c r="E136" s="4">
        <v>210</v>
      </c>
      <c r="F136" s="4">
        <f>ROUND(Source!X110,O136)</f>
        <v>1761926.62</v>
      </c>
      <c r="G136" s="4" t="s">
        <v>137</v>
      </c>
      <c r="H136" s="4" t="s">
        <v>138</v>
      </c>
      <c r="I136" s="4"/>
      <c r="J136" s="4"/>
      <c r="K136" s="4">
        <v>210</v>
      </c>
      <c r="L136" s="4">
        <v>25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>
        <v>1761926.62</v>
      </c>
      <c r="X136" s="4">
        <v>1</v>
      </c>
      <c r="Y136" s="4">
        <v>1761926.62</v>
      </c>
      <c r="Z136" s="4"/>
      <c r="AA136" s="4"/>
      <c r="AB136" s="4"/>
    </row>
    <row r="137" spans="1:206" x14ac:dyDescent="0.2">
      <c r="A137" s="4">
        <v>50</v>
      </c>
      <c r="B137" s="4">
        <v>0</v>
      </c>
      <c r="C137" s="4">
        <v>0</v>
      </c>
      <c r="D137" s="4">
        <v>1</v>
      </c>
      <c r="E137" s="4">
        <v>211</v>
      </c>
      <c r="F137" s="4">
        <f>ROUND(Source!Y110,O137)</f>
        <v>1024004.43</v>
      </c>
      <c r="G137" s="4" t="s">
        <v>139</v>
      </c>
      <c r="H137" s="4" t="s">
        <v>140</v>
      </c>
      <c r="I137" s="4"/>
      <c r="J137" s="4"/>
      <c r="K137" s="4">
        <v>211</v>
      </c>
      <c r="L137" s="4">
        <v>26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>
        <v>1024004.43</v>
      </c>
      <c r="X137" s="4">
        <v>1</v>
      </c>
      <c r="Y137" s="4">
        <v>1024004.43</v>
      </c>
      <c r="Z137" s="4"/>
      <c r="AA137" s="4"/>
      <c r="AB137" s="4"/>
    </row>
    <row r="138" spans="1:206" x14ac:dyDescent="0.2">
      <c r="A138" s="4">
        <v>50</v>
      </c>
      <c r="B138" s="4">
        <v>0</v>
      </c>
      <c r="C138" s="4">
        <v>0</v>
      </c>
      <c r="D138" s="4">
        <v>1</v>
      </c>
      <c r="E138" s="4">
        <v>224</v>
      </c>
      <c r="F138" s="4">
        <f>ROUND(Source!AR110,O138)</f>
        <v>16821944.949999999</v>
      </c>
      <c r="G138" s="4" t="s">
        <v>141</v>
      </c>
      <c r="H138" s="4" t="s">
        <v>142</v>
      </c>
      <c r="I138" s="4"/>
      <c r="J138" s="4"/>
      <c r="K138" s="4">
        <v>224</v>
      </c>
      <c r="L138" s="4">
        <v>27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>
        <v>16821944.949999999</v>
      </c>
      <c r="X138" s="4">
        <v>1</v>
      </c>
      <c r="Y138" s="4">
        <v>16821944.949999999</v>
      </c>
      <c r="Z138" s="4"/>
      <c r="AA138" s="4"/>
      <c r="AB138" s="4"/>
    </row>
    <row r="140" spans="1:206" x14ac:dyDescent="0.2">
      <c r="A140" s="2">
        <v>51</v>
      </c>
      <c r="B140" s="2">
        <f>B20</f>
        <v>1</v>
      </c>
      <c r="C140" s="2">
        <f>A20</f>
        <v>3</v>
      </c>
      <c r="D140" s="2">
        <f>ROW(A20)</f>
        <v>20</v>
      </c>
      <c r="E140" s="2"/>
      <c r="F140" s="2" t="str">
        <f>IF(F20&lt;&gt;"",F20,"")</f>
        <v>02/16/45-7-АС.СМк1</v>
      </c>
      <c r="G140" s="2" t="str">
        <f>IF(G20&lt;&gt;"",G20,"")</f>
        <v>АО "Кавказцемент"  Замена кровли склада добавок.</v>
      </c>
      <c r="H140" s="2">
        <v>0</v>
      </c>
      <c r="I140" s="2"/>
      <c r="J140" s="2"/>
      <c r="K140" s="2"/>
      <c r="L140" s="2"/>
      <c r="M140" s="2"/>
      <c r="N140" s="2"/>
      <c r="O140" s="2">
        <f t="shared" ref="O140:T140" si="122">ROUND(O39+O110+AB140,2)</f>
        <v>14865091.16</v>
      </c>
      <c r="P140" s="2">
        <f t="shared" si="122"/>
        <v>11482602.91</v>
      </c>
      <c r="Q140" s="2">
        <f t="shared" si="122"/>
        <v>1368347.77</v>
      </c>
      <c r="R140" s="2">
        <f t="shared" si="122"/>
        <v>308793.34999999998</v>
      </c>
      <c r="S140" s="2">
        <f t="shared" si="122"/>
        <v>2014140.48</v>
      </c>
      <c r="T140" s="2">
        <f t="shared" si="122"/>
        <v>0</v>
      </c>
      <c r="U140" s="2">
        <f>U39+U110+AH140</f>
        <v>7630.8687987000003</v>
      </c>
      <c r="V140" s="2">
        <f>V39+V110+AI140</f>
        <v>821.78897125000003</v>
      </c>
      <c r="W140" s="2">
        <f>ROUND(W39+W110+AJ140,2)</f>
        <v>0</v>
      </c>
      <c r="X140" s="2">
        <f>ROUND(X39+X110+AK140,2)</f>
        <v>2249208.3199999998</v>
      </c>
      <c r="Y140" s="2">
        <f>ROUND(Y39+Y110+AL140,2)</f>
        <v>1333694.3600000001</v>
      </c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>
        <f t="shared" ref="AO140:BD140" si="123">ROUND(AO39+AO110+BX140,2)</f>
        <v>0</v>
      </c>
      <c r="AP140" s="2">
        <f t="shared" si="123"/>
        <v>0</v>
      </c>
      <c r="AQ140" s="2">
        <f t="shared" si="123"/>
        <v>0</v>
      </c>
      <c r="AR140" s="2">
        <f t="shared" si="123"/>
        <v>18626753.440000001</v>
      </c>
      <c r="AS140" s="2">
        <f t="shared" si="123"/>
        <v>16843714.289999999</v>
      </c>
      <c r="AT140" s="2">
        <f t="shared" si="123"/>
        <v>1783039.15</v>
      </c>
      <c r="AU140" s="2">
        <f t="shared" si="123"/>
        <v>0</v>
      </c>
      <c r="AV140" s="2">
        <f t="shared" si="123"/>
        <v>11482602.91</v>
      </c>
      <c r="AW140" s="2">
        <f t="shared" si="123"/>
        <v>11482602.91</v>
      </c>
      <c r="AX140" s="2">
        <f t="shared" si="123"/>
        <v>0</v>
      </c>
      <c r="AY140" s="2">
        <f t="shared" si="123"/>
        <v>11482602.91</v>
      </c>
      <c r="AZ140" s="2">
        <f t="shared" si="123"/>
        <v>0</v>
      </c>
      <c r="BA140" s="2">
        <f t="shared" si="123"/>
        <v>0</v>
      </c>
      <c r="BB140" s="2">
        <f t="shared" si="123"/>
        <v>0</v>
      </c>
      <c r="BC140" s="2">
        <f t="shared" si="123"/>
        <v>0</v>
      </c>
      <c r="BD140" s="2">
        <f t="shared" si="123"/>
        <v>178759.6</v>
      </c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>
        <v>0</v>
      </c>
    </row>
    <row r="142" spans="1:206" x14ac:dyDescent="0.2">
      <c r="A142" s="4">
        <v>50</v>
      </c>
      <c r="B142" s="4">
        <v>0</v>
      </c>
      <c r="C142" s="4">
        <v>0</v>
      </c>
      <c r="D142" s="4">
        <v>1</v>
      </c>
      <c r="E142" s="4">
        <v>201</v>
      </c>
      <c r="F142" s="4">
        <f>ROUND(Source!O140,O142)</f>
        <v>14865091.16</v>
      </c>
      <c r="G142" s="4" t="s">
        <v>89</v>
      </c>
      <c r="H142" s="4" t="s">
        <v>90</v>
      </c>
      <c r="I142" s="4"/>
      <c r="J142" s="4"/>
      <c r="K142" s="4">
        <v>201</v>
      </c>
      <c r="L142" s="4">
        <v>1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>
        <v>14865091.16</v>
      </c>
      <c r="X142" s="4">
        <v>1</v>
      </c>
      <c r="Y142" s="4">
        <v>14865091.16</v>
      </c>
      <c r="Z142" s="4"/>
      <c r="AA142" s="4"/>
      <c r="AB142" s="4"/>
    </row>
    <row r="143" spans="1:206" x14ac:dyDescent="0.2">
      <c r="A143" s="4">
        <v>50</v>
      </c>
      <c r="B143" s="4">
        <v>0</v>
      </c>
      <c r="C143" s="4">
        <v>0</v>
      </c>
      <c r="D143" s="4">
        <v>1</v>
      </c>
      <c r="E143" s="4">
        <v>202</v>
      </c>
      <c r="F143" s="4">
        <f>ROUND(Source!P140,O143)</f>
        <v>11482602.91</v>
      </c>
      <c r="G143" s="4" t="s">
        <v>91</v>
      </c>
      <c r="H143" s="4" t="s">
        <v>92</v>
      </c>
      <c r="I143" s="4"/>
      <c r="J143" s="4"/>
      <c r="K143" s="4">
        <v>202</v>
      </c>
      <c r="L143" s="4">
        <v>2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>
        <v>11482602.91</v>
      </c>
      <c r="X143" s="4">
        <v>1</v>
      </c>
      <c r="Y143" s="4">
        <v>11482602.91</v>
      </c>
      <c r="Z143" s="4"/>
      <c r="AA143" s="4"/>
      <c r="AB143" s="4"/>
    </row>
    <row r="144" spans="1:206" x14ac:dyDescent="0.2">
      <c r="A144" s="4">
        <v>50</v>
      </c>
      <c r="B144" s="4">
        <v>0</v>
      </c>
      <c r="C144" s="4">
        <v>0</v>
      </c>
      <c r="D144" s="4">
        <v>1</v>
      </c>
      <c r="E144" s="4">
        <v>222</v>
      </c>
      <c r="F144" s="4">
        <f>ROUND(Source!AO140,O144)</f>
        <v>0</v>
      </c>
      <c r="G144" s="4" t="s">
        <v>93</v>
      </c>
      <c r="H144" s="4" t="s">
        <v>94</v>
      </c>
      <c r="I144" s="4"/>
      <c r="J144" s="4"/>
      <c r="K144" s="4">
        <v>222</v>
      </c>
      <c r="L144" s="4">
        <v>3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>
        <v>0</v>
      </c>
      <c r="X144" s="4">
        <v>1</v>
      </c>
      <c r="Y144" s="4">
        <v>0</v>
      </c>
      <c r="Z144" s="4"/>
      <c r="AA144" s="4"/>
      <c r="AB144" s="4"/>
    </row>
    <row r="145" spans="1:28" x14ac:dyDescent="0.2">
      <c r="A145" s="4">
        <v>50</v>
      </c>
      <c r="B145" s="4">
        <v>0</v>
      </c>
      <c r="C145" s="4">
        <v>0</v>
      </c>
      <c r="D145" s="4">
        <v>1</v>
      </c>
      <c r="E145" s="4">
        <v>225</v>
      </c>
      <c r="F145" s="4">
        <f>ROUND(Source!AV140,O145)</f>
        <v>11482602.91</v>
      </c>
      <c r="G145" s="4" t="s">
        <v>95</v>
      </c>
      <c r="H145" s="4" t="s">
        <v>96</v>
      </c>
      <c r="I145" s="4"/>
      <c r="J145" s="4"/>
      <c r="K145" s="4">
        <v>225</v>
      </c>
      <c r="L145" s="4">
        <v>4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>
        <v>11482602.91</v>
      </c>
      <c r="X145" s="4">
        <v>1</v>
      </c>
      <c r="Y145" s="4">
        <v>11482602.91</v>
      </c>
      <c r="Z145" s="4"/>
      <c r="AA145" s="4"/>
      <c r="AB145" s="4"/>
    </row>
    <row r="146" spans="1:28" x14ac:dyDescent="0.2">
      <c r="A146" s="4">
        <v>50</v>
      </c>
      <c r="B146" s="4">
        <v>0</v>
      </c>
      <c r="C146" s="4">
        <v>0</v>
      </c>
      <c r="D146" s="4">
        <v>1</v>
      </c>
      <c r="E146" s="4">
        <v>226</v>
      </c>
      <c r="F146" s="4">
        <f>ROUND(Source!AW140,O146)</f>
        <v>11482602.91</v>
      </c>
      <c r="G146" s="4" t="s">
        <v>97</v>
      </c>
      <c r="H146" s="4" t="s">
        <v>98</v>
      </c>
      <c r="I146" s="4"/>
      <c r="J146" s="4"/>
      <c r="K146" s="4">
        <v>226</v>
      </c>
      <c r="L146" s="4">
        <v>5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>
        <v>11482602.91</v>
      </c>
      <c r="X146" s="4">
        <v>1</v>
      </c>
      <c r="Y146" s="4">
        <v>11482602.91</v>
      </c>
      <c r="Z146" s="4"/>
      <c r="AA146" s="4"/>
      <c r="AB146" s="4"/>
    </row>
    <row r="147" spans="1:28" x14ac:dyDescent="0.2">
      <c r="A147" s="4">
        <v>50</v>
      </c>
      <c r="B147" s="4">
        <v>0</v>
      </c>
      <c r="C147" s="4">
        <v>0</v>
      </c>
      <c r="D147" s="4">
        <v>1</v>
      </c>
      <c r="E147" s="4">
        <v>227</v>
      </c>
      <c r="F147" s="4">
        <f>ROUND(Source!AX140,O147)</f>
        <v>0</v>
      </c>
      <c r="G147" s="4" t="s">
        <v>99</v>
      </c>
      <c r="H147" s="4" t="s">
        <v>100</v>
      </c>
      <c r="I147" s="4"/>
      <c r="J147" s="4"/>
      <c r="K147" s="4">
        <v>227</v>
      </c>
      <c r="L147" s="4">
        <v>6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>
        <v>0</v>
      </c>
      <c r="X147" s="4">
        <v>1</v>
      </c>
      <c r="Y147" s="4">
        <v>0</v>
      </c>
      <c r="Z147" s="4"/>
      <c r="AA147" s="4"/>
      <c r="AB147" s="4"/>
    </row>
    <row r="148" spans="1:28" x14ac:dyDescent="0.2">
      <c r="A148" s="4">
        <v>50</v>
      </c>
      <c r="B148" s="4">
        <v>0</v>
      </c>
      <c r="C148" s="4">
        <v>0</v>
      </c>
      <c r="D148" s="4">
        <v>1</v>
      </c>
      <c r="E148" s="4">
        <v>228</v>
      </c>
      <c r="F148" s="4">
        <f>ROUND(Source!AY140,O148)</f>
        <v>11482602.91</v>
      </c>
      <c r="G148" s="4" t="s">
        <v>101</v>
      </c>
      <c r="H148" s="4" t="s">
        <v>102</v>
      </c>
      <c r="I148" s="4"/>
      <c r="J148" s="4"/>
      <c r="K148" s="4">
        <v>228</v>
      </c>
      <c r="L148" s="4">
        <v>7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>
        <v>11482602.91</v>
      </c>
      <c r="X148" s="4">
        <v>1</v>
      </c>
      <c r="Y148" s="4">
        <v>11482602.91</v>
      </c>
      <c r="Z148" s="4"/>
      <c r="AA148" s="4"/>
      <c r="AB148" s="4"/>
    </row>
    <row r="149" spans="1:28" x14ac:dyDescent="0.2">
      <c r="A149" s="4">
        <v>50</v>
      </c>
      <c r="B149" s="4">
        <v>0</v>
      </c>
      <c r="C149" s="4">
        <v>0</v>
      </c>
      <c r="D149" s="4">
        <v>1</v>
      </c>
      <c r="E149" s="4">
        <v>216</v>
      </c>
      <c r="F149" s="4">
        <f>ROUND(Source!AP140,O149)</f>
        <v>0</v>
      </c>
      <c r="G149" s="4" t="s">
        <v>103</v>
      </c>
      <c r="H149" s="4" t="s">
        <v>104</v>
      </c>
      <c r="I149" s="4"/>
      <c r="J149" s="4"/>
      <c r="K149" s="4">
        <v>216</v>
      </c>
      <c r="L149" s="4">
        <v>8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>
        <v>0</v>
      </c>
      <c r="X149" s="4">
        <v>1</v>
      </c>
      <c r="Y149" s="4">
        <v>0</v>
      </c>
      <c r="Z149" s="4"/>
      <c r="AA149" s="4"/>
      <c r="AB149" s="4"/>
    </row>
    <row r="150" spans="1:28" x14ac:dyDescent="0.2">
      <c r="A150" s="4">
        <v>50</v>
      </c>
      <c r="B150" s="4">
        <v>0</v>
      </c>
      <c r="C150" s="4">
        <v>0</v>
      </c>
      <c r="D150" s="4">
        <v>1</v>
      </c>
      <c r="E150" s="4">
        <v>223</v>
      </c>
      <c r="F150" s="4">
        <f>ROUND(Source!AQ140,O150)</f>
        <v>0</v>
      </c>
      <c r="G150" s="4" t="s">
        <v>105</v>
      </c>
      <c r="H150" s="4" t="s">
        <v>106</v>
      </c>
      <c r="I150" s="4"/>
      <c r="J150" s="4"/>
      <c r="K150" s="4">
        <v>223</v>
      </c>
      <c r="L150" s="4">
        <v>9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>
        <v>0</v>
      </c>
      <c r="X150" s="4">
        <v>1</v>
      </c>
      <c r="Y150" s="4">
        <v>0</v>
      </c>
      <c r="Z150" s="4"/>
      <c r="AA150" s="4"/>
      <c r="AB150" s="4"/>
    </row>
    <row r="151" spans="1:28" x14ac:dyDescent="0.2">
      <c r="A151" s="4">
        <v>50</v>
      </c>
      <c r="B151" s="4">
        <v>0</v>
      </c>
      <c r="C151" s="4">
        <v>0</v>
      </c>
      <c r="D151" s="4">
        <v>1</v>
      </c>
      <c r="E151" s="4">
        <v>229</v>
      </c>
      <c r="F151" s="4">
        <f>ROUND(Source!AZ140,O151)</f>
        <v>0</v>
      </c>
      <c r="G151" s="4" t="s">
        <v>107</v>
      </c>
      <c r="H151" s="4" t="s">
        <v>108</v>
      </c>
      <c r="I151" s="4"/>
      <c r="J151" s="4"/>
      <c r="K151" s="4">
        <v>229</v>
      </c>
      <c r="L151" s="4">
        <v>10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>
        <v>0</v>
      </c>
      <c r="X151" s="4">
        <v>1</v>
      </c>
      <c r="Y151" s="4">
        <v>0</v>
      </c>
      <c r="Z151" s="4"/>
      <c r="AA151" s="4"/>
      <c r="AB151" s="4"/>
    </row>
    <row r="152" spans="1:28" x14ac:dyDescent="0.2">
      <c r="A152" s="4">
        <v>50</v>
      </c>
      <c r="B152" s="4">
        <v>0</v>
      </c>
      <c r="C152" s="4">
        <v>0</v>
      </c>
      <c r="D152" s="4">
        <v>1</v>
      </c>
      <c r="E152" s="4">
        <v>203</v>
      </c>
      <c r="F152" s="4">
        <f>ROUND(Source!Q140,O152)</f>
        <v>1368347.77</v>
      </c>
      <c r="G152" s="4" t="s">
        <v>109</v>
      </c>
      <c r="H152" s="4" t="s">
        <v>110</v>
      </c>
      <c r="I152" s="4"/>
      <c r="J152" s="4"/>
      <c r="K152" s="4">
        <v>203</v>
      </c>
      <c r="L152" s="4">
        <v>11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>
        <v>1368347.77</v>
      </c>
      <c r="X152" s="4">
        <v>1</v>
      </c>
      <c r="Y152" s="4">
        <v>1368347.77</v>
      </c>
      <c r="Z152" s="4"/>
      <c r="AA152" s="4"/>
      <c r="AB152" s="4"/>
    </row>
    <row r="153" spans="1:28" x14ac:dyDescent="0.2">
      <c r="A153" s="4">
        <v>50</v>
      </c>
      <c r="B153" s="4">
        <v>0</v>
      </c>
      <c r="C153" s="4">
        <v>0</v>
      </c>
      <c r="D153" s="4">
        <v>1</v>
      </c>
      <c r="E153" s="4">
        <v>231</v>
      </c>
      <c r="F153" s="4">
        <f>ROUND(Source!BB140,O153)</f>
        <v>0</v>
      </c>
      <c r="G153" s="4" t="s">
        <v>111</v>
      </c>
      <c r="H153" s="4" t="s">
        <v>112</v>
      </c>
      <c r="I153" s="4"/>
      <c r="J153" s="4"/>
      <c r="K153" s="4">
        <v>231</v>
      </c>
      <c r="L153" s="4">
        <v>12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>
        <v>0</v>
      </c>
      <c r="X153" s="4">
        <v>1</v>
      </c>
      <c r="Y153" s="4">
        <v>0</v>
      </c>
      <c r="Z153" s="4"/>
      <c r="AA153" s="4"/>
      <c r="AB153" s="4"/>
    </row>
    <row r="154" spans="1:28" x14ac:dyDescent="0.2">
      <c r="A154" s="4">
        <v>50</v>
      </c>
      <c r="B154" s="4">
        <v>0</v>
      </c>
      <c r="C154" s="4">
        <v>0</v>
      </c>
      <c r="D154" s="4">
        <v>1</v>
      </c>
      <c r="E154" s="4">
        <v>204</v>
      </c>
      <c r="F154" s="4">
        <f>ROUND(Source!R140,O154)</f>
        <v>308793.34999999998</v>
      </c>
      <c r="G154" s="4" t="s">
        <v>113</v>
      </c>
      <c r="H154" s="4" t="s">
        <v>114</v>
      </c>
      <c r="I154" s="4"/>
      <c r="J154" s="4"/>
      <c r="K154" s="4">
        <v>204</v>
      </c>
      <c r="L154" s="4">
        <v>13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>
        <v>308793.34999999998</v>
      </c>
      <c r="X154" s="4">
        <v>1</v>
      </c>
      <c r="Y154" s="4">
        <v>308793.34999999998</v>
      </c>
      <c r="Z154" s="4"/>
      <c r="AA154" s="4"/>
      <c r="AB154" s="4"/>
    </row>
    <row r="155" spans="1:28" x14ac:dyDescent="0.2">
      <c r="A155" s="4">
        <v>50</v>
      </c>
      <c r="B155" s="4">
        <v>0</v>
      </c>
      <c r="C155" s="4">
        <v>0</v>
      </c>
      <c r="D155" s="4">
        <v>1</v>
      </c>
      <c r="E155" s="4">
        <v>205</v>
      </c>
      <c r="F155" s="4">
        <f>ROUND(Source!S140,O155)</f>
        <v>2014140.48</v>
      </c>
      <c r="G155" s="4" t="s">
        <v>115</v>
      </c>
      <c r="H155" s="4" t="s">
        <v>116</v>
      </c>
      <c r="I155" s="4"/>
      <c r="J155" s="4"/>
      <c r="K155" s="4">
        <v>205</v>
      </c>
      <c r="L155" s="4">
        <v>14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>
        <v>2014140.48</v>
      </c>
      <c r="X155" s="4">
        <v>1</v>
      </c>
      <c r="Y155" s="4">
        <v>2014140.48</v>
      </c>
      <c r="Z155" s="4"/>
      <c r="AA155" s="4"/>
      <c r="AB155" s="4"/>
    </row>
    <row r="156" spans="1:28" x14ac:dyDescent="0.2">
      <c r="A156" s="4">
        <v>50</v>
      </c>
      <c r="B156" s="4">
        <v>0</v>
      </c>
      <c r="C156" s="4">
        <v>0</v>
      </c>
      <c r="D156" s="4">
        <v>1</v>
      </c>
      <c r="E156" s="4">
        <v>232</v>
      </c>
      <c r="F156" s="4">
        <f>ROUND(Source!BC140,O156)</f>
        <v>0</v>
      </c>
      <c r="G156" s="4" t="s">
        <v>117</v>
      </c>
      <c r="H156" s="4" t="s">
        <v>118</v>
      </c>
      <c r="I156" s="4"/>
      <c r="J156" s="4"/>
      <c r="K156" s="4">
        <v>232</v>
      </c>
      <c r="L156" s="4">
        <v>15</v>
      </c>
      <c r="M156" s="4">
        <v>3</v>
      </c>
      <c r="N156" s="4" t="s">
        <v>3</v>
      </c>
      <c r="O156" s="4">
        <v>2</v>
      </c>
      <c r="P156" s="4"/>
      <c r="Q156" s="4"/>
      <c r="R156" s="4"/>
      <c r="S156" s="4"/>
      <c r="T156" s="4"/>
      <c r="U156" s="4"/>
      <c r="V156" s="4"/>
      <c r="W156" s="4">
        <v>0</v>
      </c>
      <c r="X156" s="4">
        <v>1</v>
      </c>
      <c r="Y156" s="4">
        <v>0</v>
      </c>
      <c r="Z156" s="4"/>
      <c r="AA156" s="4"/>
      <c r="AB156" s="4"/>
    </row>
    <row r="157" spans="1:28" x14ac:dyDescent="0.2">
      <c r="A157" s="4">
        <v>50</v>
      </c>
      <c r="B157" s="4">
        <v>0</v>
      </c>
      <c r="C157" s="4">
        <v>0</v>
      </c>
      <c r="D157" s="4">
        <v>1</v>
      </c>
      <c r="E157" s="4">
        <v>214</v>
      </c>
      <c r="F157" s="4">
        <f>ROUND(Source!AS140,O157)</f>
        <v>16843714.289999999</v>
      </c>
      <c r="G157" s="4" t="s">
        <v>119</v>
      </c>
      <c r="H157" s="4" t="s">
        <v>120</v>
      </c>
      <c r="I157" s="4"/>
      <c r="J157" s="4"/>
      <c r="K157" s="4">
        <v>214</v>
      </c>
      <c r="L157" s="4">
        <v>16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>
        <v>16843714.289999999</v>
      </c>
      <c r="X157" s="4">
        <v>1</v>
      </c>
      <c r="Y157" s="4">
        <v>16843714.289999999</v>
      </c>
      <c r="Z157" s="4"/>
      <c r="AA157" s="4"/>
      <c r="AB157" s="4"/>
    </row>
    <row r="158" spans="1:28" x14ac:dyDescent="0.2">
      <c r="A158" s="4">
        <v>50</v>
      </c>
      <c r="B158" s="4">
        <v>0</v>
      </c>
      <c r="C158" s="4">
        <v>0</v>
      </c>
      <c r="D158" s="4">
        <v>1</v>
      </c>
      <c r="E158" s="4">
        <v>215</v>
      </c>
      <c r="F158" s="4">
        <f>ROUND(Source!AT140,O158)</f>
        <v>1783039.15</v>
      </c>
      <c r="G158" s="4" t="s">
        <v>121</v>
      </c>
      <c r="H158" s="4" t="s">
        <v>122</v>
      </c>
      <c r="I158" s="4"/>
      <c r="J158" s="4"/>
      <c r="K158" s="4">
        <v>215</v>
      </c>
      <c r="L158" s="4">
        <v>17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>
        <v>1783039.15</v>
      </c>
      <c r="X158" s="4">
        <v>1</v>
      </c>
      <c r="Y158" s="4">
        <v>1783039.15</v>
      </c>
      <c r="Z158" s="4"/>
      <c r="AA158" s="4"/>
      <c r="AB158" s="4"/>
    </row>
    <row r="159" spans="1:28" x14ac:dyDescent="0.2">
      <c r="A159" s="4">
        <v>50</v>
      </c>
      <c r="B159" s="4">
        <v>0</v>
      </c>
      <c r="C159" s="4">
        <v>0</v>
      </c>
      <c r="D159" s="4">
        <v>1</v>
      </c>
      <c r="E159" s="4">
        <v>217</v>
      </c>
      <c r="F159" s="4">
        <f>ROUND(Source!AU140,O159)</f>
        <v>0</v>
      </c>
      <c r="G159" s="4" t="s">
        <v>123</v>
      </c>
      <c r="H159" s="4" t="s">
        <v>124</v>
      </c>
      <c r="I159" s="4"/>
      <c r="J159" s="4"/>
      <c r="K159" s="4">
        <v>217</v>
      </c>
      <c r="L159" s="4">
        <v>18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>
        <v>0</v>
      </c>
      <c r="X159" s="4">
        <v>1</v>
      </c>
      <c r="Y159" s="4">
        <v>0</v>
      </c>
      <c r="Z159" s="4"/>
      <c r="AA159" s="4"/>
      <c r="AB159" s="4"/>
    </row>
    <row r="160" spans="1:28" x14ac:dyDescent="0.2">
      <c r="A160" s="4">
        <v>50</v>
      </c>
      <c r="B160" s="4">
        <v>0</v>
      </c>
      <c r="C160" s="4">
        <v>0</v>
      </c>
      <c r="D160" s="4">
        <v>1</v>
      </c>
      <c r="E160" s="4">
        <v>230</v>
      </c>
      <c r="F160" s="4">
        <f>ROUND(Source!BA140,O160)</f>
        <v>0</v>
      </c>
      <c r="G160" s="4" t="s">
        <v>125</v>
      </c>
      <c r="H160" s="4" t="s">
        <v>126</v>
      </c>
      <c r="I160" s="4"/>
      <c r="J160" s="4"/>
      <c r="K160" s="4">
        <v>230</v>
      </c>
      <c r="L160" s="4">
        <v>19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>
        <v>0</v>
      </c>
      <c r="X160" s="4">
        <v>1</v>
      </c>
      <c r="Y160" s="4">
        <v>0</v>
      </c>
      <c r="Z160" s="4"/>
      <c r="AA160" s="4"/>
      <c r="AB160" s="4"/>
    </row>
    <row r="161" spans="1:206" x14ac:dyDescent="0.2">
      <c r="A161" s="4">
        <v>50</v>
      </c>
      <c r="B161" s="4">
        <v>0</v>
      </c>
      <c r="C161" s="4">
        <v>0</v>
      </c>
      <c r="D161" s="4">
        <v>1</v>
      </c>
      <c r="E161" s="4">
        <v>206</v>
      </c>
      <c r="F161" s="4">
        <f>ROUND(Source!T140,O161)</f>
        <v>0</v>
      </c>
      <c r="G161" s="4" t="s">
        <v>127</v>
      </c>
      <c r="H161" s="4" t="s">
        <v>128</v>
      </c>
      <c r="I161" s="4"/>
      <c r="J161" s="4"/>
      <c r="K161" s="4">
        <v>206</v>
      </c>
      <c r="L161" s="4">
        <v>20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>
        <v>0</v>
      </c>
      <c r="X161" s="4">
        <v>1</v>
      </c>
      <c r="Y161" s="4">
        <v>0</v>
      </c>
      <c r="Z161" s="4"/>
      <c r="AA161" s="4"/>
      <c r="AB161" s="4"/>
    </row>
    <row r="162" spans="1:206" x14ac:dyDescent="0.2">
      <c r="A162" s="4">
        <v>50</v>
      </c>
      <c r="B162" s="4">
        <v>0</v>
      </c>
      <c r="C162" s="4">
        <v>0</v>
      </c>
      <c r="D162" s="4">
        <v>1</v>
      </c>
      <c r="E162" s="4">
        <v>207</v>
      </c>
      <c r="F162" s="4">
        <f>Source!U140</f>
        <v>7630.8687987000003</v>
      </c>
      <c r="G162" s="4" t="s">
        <v>129</v>
      </c>
      <c r="H162" s="4" t="s">
        <v>130</v>
      </c>
      <c r="I162" s="4"/>
      <c r="J162" s="4"/>
      <c r="K162" s="4">
        <v>207</v>
      </c>
      <c r="L162" s="4">
        <v>21</v>
      </c>
      <c r="M162" s="4">
        <v>3</v>
      </c>
      <c r="N162" s="4" t="s">
        <v>3</v>
      </c>
      <c r="O162" s="4">
        <v>-1</v>
      </c>
      <c r="P162" s="4"/>
      <c r="Q162" s="4"/>
      <c r="R162" s="4"/>
      <c r="S162" s="4"/>
      <c r="T162" s="4"/>
      <c r="U162" s="4"/>
      <c r="V162" s="4"/>
      <c r="W162" s="4">
        <v>7630.8687987000003</v>
      </c>
      <c r="X162" s="4">
        <v>1</v>
      </c>
      <c r="Y162" s="4">
        <v>7630.8687987000003</v>
      </c>
      <c r="Z162" s="4"/>
      <c r="AA162" s="4"/>
      <c r="AB162" s="4"/>
    </row>
    <row r="163" spans="1:206" x14ac:dyDescent="0.2">
      <c r="A163" s="4">
        <v>50</v>
      </c>
      <c r="B163" s="4">
        <v>0</v>
      </c>
      <c r="C163" s="4">
        <v>0</v>
      </c>
      <c r="D163" s="4">
        <v>1</v>
      </c>
      <c r="E163" s="4">
        <v>208</v>
      </c>
      <c r="F163" s="4">
        <f>Source!V140</f>
        <v>821.78897125000003</v>
      </c>
      <c r="G163" s="4" t="s">
        <v>131</v>
      </c>
      <c r="H163" s="4" t="s">
        <v>132</v>
      </c>
      <c r="I163" s="4"/>
      <c r="J163" s="4"/>
      <c r="K163" s="4">
        <v>208</v>
      </c>
      <c r="L163" s="4">
        <v>22</v>
      </c>
      <c r="M163" s="4">
        <v>3</v>
      </c>
      <c r="N163" s="4" t="s">
        <v>3</v>
      </c>
      <c r="O163" s="4">
        <v>-1</v>
      </c>
      <c r="P163" s="4"/>
      <c r="Q163" s="4"/>
      <c r="R163" s="4"/>
      <c r="S163" s="4"/>
      <c r="T163" s="4"/>
      <c r="U163" s="4"/>
      <c r="V163" s="4"/>
      <c r="W163" s="4">
        <v>821.78897124999992</v>
      </c>
      <c r="X163" s="4">
        <v>1</v>
      </c>
      <c r="Y163" s="4">
        <v>821.78897124999992</v>
      </c>
      <c r="Z163" s="4"/>
      <c r="AA163" s="4"/>
      <c r="AB163" s="4"/>
    </row>
    <row r="164" spans="1:206" x14ac:dyDescent="0.2">
      <c r="A164" s="4">
        <v>50</v>
      </c>
      <c r="B164" s="4">
        <v>0</v>
      </c>
      <c r="C164" s="4">
        <v>0</v>
      </c>
      <c r="D164" s="4">
        <v>1</v>
      </c>
      <c r="E164" s="4">
        <v>209</v>
      </c>
      <c r="F164" s="4">
        <f>ROUND(Source!W140,O164)</f>
        <v>0</v>
      </c>
      <c r="G164" s="4" t="s">
        <v>133</v>
      </c>
      <c r="H164" s="4" t="s">
        <v>134</v>
      </c>
      <c r="I164" s="4"/>
      <c r="J164" s="4"/>
      <c r="K164" s="4">
        <v>209</v>
      </c>
      <c r="L164" s="4">
        <v>23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>
        <v>0</v>
      </c>
      <c r="X164" s="4">
        <v>1</v>
      </c>
      <c r="Y164" s="4">
        <v>0</v>
      </c>
      <c r="Z164" s="4"/>
      <c r="AA164" s="4"/>
      <c r="AB164" s="4"/>
    </row>
    <row r="165" spans="1:206" x14ac:dyDescent="0.2">
      <c r="A165" s="4">
        <v>50</v>
      </c>
      <c r="B165" s="4">
        <v>0</v>
      </c>
      <c r="C165" s="4">
        <v>0</v>
      </c>
      <c r="D165" s="4">
        <v>1</v>
      </c>
      <c r="E165" s="4">
        <v>233</v>
      </c>
      <c r="F165" s="4">
        <f>ROUND(Source!BD140,O165)</f>
        <v>178759.6</v>
      </c>
      <c r="G165" s="4" t="s">
        <v>135</v>
      </c>
      <c r="H165" s="4" t="s">
        <v>136</v>
      </c>
      <c r="I165" s="4"/>
      <c r="J165" s="4"/>
      <c r="K165" s="4">
        <v>233</v>
      </c>
      <c r="L165" s="4">
        <v>24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>
        <v>178759.6</v>
      </c>
      <c r="X165" s="4">
        <v>1</v>
      </c>
      <c r="Y165" s="4">
        <v>178759.6</v>
      </c>
      <c r="Z165" s="4"/>
      <c r="AA165" s="4"/>
      <c r="AB165" s="4"/>
    </row>
    <row r="166" spans="1:206" x14ac:dyDescent="0.2">
      <c r="A166" s="4">
        <v>50</v>
      </c>
      <c r="B166" s="4">
        <v>0</v>
      </c>
      <c r="C166" s="4">
        <v>0</v>
      </c>
      <c r="D166" s="4">
        <v>1</v>
      </c>
      <c r="E166" s="4">
        <v>210</v>
      </c>
      <c r="F166" s="4">
        <f>ROUND(Source!X140,O166)</f>
        <v>2249208.3199999998</v>
      </c>
      <c r="G166" s="4" t="s">
        <v>137</v>
      </c>
      <c r="H166" s="4" t="s">
        <v>138</v>
      </c>
      <c r="I166" s="4"/>
      <c r="J166" s="4"/>
      <c r="K166" s="4">
        <v>210</v>
      </c>
      <c r="L166" s="4">
        <v>25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>
        <v>2249208.3199999998</v>
      </c>
      <c r="X166" s="4">
        <v>1</v>
      </c>
      <c r="Y166" s="4">
        <v>2249208.3199999998</v>
      </c>
      <c r="Z166" s="4"/>
      <c r="AA166" s="4"/>
      <c r="AB166" s="4"/>
    </row>
    <row r="167" spans="1:206" x14ac:dyDescent="0.2">
      <c r="A167" s="4">
        <v>50</v>
      </c>
      <c r="B167" s="4">
        <v>0</v>
      </c>
      <c r="C167" s="4">
        <v>0</v>
      </c>
      <c r="D167" s="4">
        <v>1</v>
      </c>
      <c r="E167" s="4">
        <v>211</v>
      </c>
      <c r="F167" s="4">
        <f>ROUND(Source!Y140,O167)</f>
        <v>1333694.3600000001</v>
      </c>
      <c r="G167" s="4" t="s">
        <v>139</v>
      </c>
      <c r="H167" s="4" t="s">
        <v>140</v>
      </c>
      <c r="I167" s="4"/>
      <c r="J167" s="4"/>
      <c r="K167" s="4">
        <v>211</v>
      </c>
      <c r="L167" s="4">
        <v>26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>
        <v>1333694.3600000001</v>
      </c>
      <c r="X167" s="4">
        <v>1</v>
      </c>
      <c r="Y167" s="4">
        <v>1333694.3600000001</v>
      </c>
      <c r="Z167" s="4"/>
      <c r="AA167" s="4"/>
      <c r="AB167" s="4"/>
    </row>
    <row r="168" spans="1:206" x14ac:dyDescent="0.2">
      <c r="A168" s="4">
        <v>50</v>
      </c>
      <c r="B168" s="4">
        <v>0</v>
      </c>
      <c r="C168" s="4">
        <v>0</v>
      </c>
      <c r="D168" s="4">
        <v>1</v>
      </c>
      <c r="E168" s="4">
        <v>224</v>
      </c>
      <c r="F168" s="4">
        <f>ROUND(Source!AR140,O168)</f>
        <v>18626753.440000001</v>
      </c>
      <c r="G168" s="4" t="s">
        <v>141</v>
      </c>
      <c r="H168" s="4" t="s">
        <v>142</v>
      </c>
      <c r="I168" s="4"/>
      <c r="J168" s="4"/>
      <c r="K168" s="4">
        <v>224</v>
      </c>
      <c r="L168" s="4">
        <v>27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>
        <v>18626753.440000001</v>
      </c>
      <c r="X168" s="4">
        <v>1</v>
      </c>
      <c r="Y168" s="4">
        <v>18626753.440000001</v>
      </c>
      <c r="Z168" s="4"/>
      <c r="AA168" s="4"/>
      <c r="AB168" s="4"/>
    </row>
    <row r="170" spans="1:206" x14ac:dyDescent="0.2">
      <c r="A170" s="2">
        <v>51</v>
      </c>
      <c r="B170" s="2">
        <f>B12</f>
        <v>232</v>
      </c>
      <c r="C170" s="2">
        <f>A12</f>
        <v>1</v>
      </c>
      <c r="D170" s="2">
        <f>ROW(A12)</f>
        <v>12</v>
      </c>
      <c r="E170" s="2"/>
      <c r="F170" s="2" t="str">
        <f>IF(F12&lt;&gt;"",F12,"")</f>
        <v/>
      </c>
      <c r="G170" s="2" t="str">
        <f>IF(G12&lt;&gt;"",G12,"")</f>
        <v>02/16/45-7-АС  (изм.1)_(1 кв.24)</v>
      </c>
      <c r="H170" s="2">
        <v>0</v>
      </c>
      <c r="I170" s="2"/>
      <c r="J170" s="2"/>
      <c r="K170" s="2"/>
      <c r="L170" s="2"/>
      <c r="M170" s="2"/>
      <c r="N170" s="2"/>
      <c r="O170" s="2">
        <f t="shared" ref="O170:T170" si="124">ROUND(O140,2)</f>
        <v>14865091.16</v>
      </c>
      <c r="P170" s="2">
        <f t="shared" si="124"/>
        <v>11482602.91</v>
      </c>
      <c r="Q170" s="2">
        <f t="shared" si="124"/>
        <v>1368347.77</v>
      </c>
      <c r="R170" s="2">
        <f t="shared" si="124"/>
        <v>308793.34999999998</v>
      </c>
      <c r="S170" s="2">
        <f t="shared" si="124"/>
        <v>2014140.48</v>
      </c>
      <c r="T170" s="2">
        <f t="shared" si="124"/>
        <v>0</v>
      </c>
      <c r="U170" s="2">
        <f>U140</f>
        <v>7630.8687987000003</v>
      </c>
      <c r="V170" s="2">
        <f>V140</f>
        <v>821.78897125000003</v>
      </c>
      <c r="W170" s="2">
        <f>ROUND(W140,2)</f>
        <v>0</v>
      </c>
      <c r="X170" s="2">
        <f>ROUND(X140,2)</f>
        <v>2249208.3199999998</v>
      </c>
      <c r="Y170" s="2">
        <f>ROUND(Y140,2)</f>
        <v>1333694.3600000001</v>
      </c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>
        <f t="shared" ref="AO170:BD170" si="125">ROUND(AO140,2)</f>
        <v>0</v>
      </c>
      <c r="AP170" s="2">
        <f t="shared" si="125"/>
        <v>0</v>
      </c>
      <c r="AQ170" s="2">
        <f t="shared" si="125"/>
        <v>0</v>
      </c>
      <c r="AR170" s="2">
        <f t="shared" si="125"/>
        <v>18626753.440000001</v>
      </c>
      <c r="AS170" s="2">
        <f t="shared" si="125"/>
        <v>16843714.289999999</v>
      </c>
      <c r="AT170" s="2">
        <f t="shared" si="125"/>
        <v>1783039.15</v>
      </c>
      <c r="AU170" s="2">
        <f t="shared" si="125"/>
        <v>0</v>
      </c>
      <c r="AV170" s="2">
        <f t="shared" si="125"/>
        <v>11482602.91</v>
      </c>
      <c r="AW170" s="2">
        <f t="shared" si="125"/>
        <v>11482602.91</v>
      </c>
      <c r="AX170" s="2">
        <f t="shared" si="125"/>
        <v>0</v>
      </c>
      <c r="AY170" s="2">
        <f t="shared" si="125"/>
        <v>11482602.91</v>
      </c>
      <c r="AZ170" s="2">
        <f t="shared" si="125"/>
        <v>0</v>
      </c>
      <c r="BA170" s="2">
        <f t="shared" si="125"/>
        <v>0</v>
      </c>
      <c r="BB170" s="2">
        <f t="shared" si="125"/>
        <v>0</v>
      </c>
      <c r="BC170" s="2">
        <f t="shared" si="125"/>
        <v>0</v>
      </c>
      <c r="BD170" s="2">
        <f t="shared" si="125"/>
        <v>178759.6</v>
      </c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>
        <v>0</v>
      </c>
    </row>
    <row r="172" spans="1:206" x14ac:dyDescent="0.2">
      <c r="A172" s="4">
        <v>50</v>
      </c>
      <c r="B172" s="4">
        <v>1</v>
      </c>
      <c r="C172" s="4">
        <v>0</v>
      </c>
      <c r="D172" s="4">
        <v>1</v>
      </c>
      <c r="E172" s="4">
        <v>201</v>
      </c>
      <c r="F172" s="4">
        <f>ROUND(Source!O170,O172)</f>
        <v>14865091.16</v>
      </c>
      <c r="G172" s="4" t="s">
        <v>89</v>
      </c>
      <c r="H172" s="4" t="s">
        <v>90</v>
      </c>
      <c r="I172" s="4"/>
      <c r="J172" s="4"/>
      <c r="K172" s="4">
        <v>201</v>
      </c>
      <c r="L172" s="4">
        <v>1</v>
      </c>
      <c r="M172" s="4">
        <v>1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>
        <v>14865091.16</v>
      </c>
      <c r="X172" s="4">
        <v>1</v>
      </c>
      <c r="Y172" s="4">
        <v>14865091.16</v>
      </c>
      <c r="Z172" s="4"/>
      <c r="AA172" s="4"/>
      <c r="AB172" s="4"/>
    </row>
    <row r="173" spans="1:206" x14ac:dyDescent="0.2">
      <c r="A173" s="4">
        <v>50</v>
      </c>
      <c r="B173" s="4">
        <v>1</v>
      </c>
      <c r="C173" s="4">
        <v>0</v>
      </c>
      <c r="D173" s="4">
        <v>1</v>
      </c>
      <c r="E173" s="4">
        <v>202</v>
      </c>
      <c r="F173" s="4">
        <f>ROUND(Source!P170,O173)</f>
        <v>11482602.91</v>
      </c>
      <c r="G173" s="4" t="s">
        <v>91</v>
      </c>
      <c r="H173" s="4" t="s">
        <v>92</v>
      </c>
      <c r="I173" s="4"/>
      <c r="J173" s="4"/>
      <c r="K173" s="4">
        <v>202</v>
      </c>
      <c r="L173" s="4">
        <v>2</v>
      </c>
      <c r="M173" s="4">
        <v>1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>
        <v>11482602.91</v>
      </c>
      <c r="X173" s="4">
        <v>1</v>
      </c>
      <c r="Y173" s="4">
        <v>11482602.91</v>
      </c>
      <c r="Z173" s="4"/>
      <c r="AA173" s="4"/>
      <c r="AB173" s="4"/>
    </row>
    <row r="174" spans="1:206" x14ac:dyDescent="0.2">
      <c r="A174" s="4">
        <v>50</v>
      </c>
      <c r="B174" s="4">
        <v>0</v>
      </c>
      <c r="C174" s="4">
        <v>0</v>
      </c>
      <c r="D174" s="4">
        <v>1</v>
      </c>
      <c r="E174" s="4">
        <v>222</v>
      </c>
      <c r="F174" s="4">
        <f>ROUND(Source!AO170,O174)</f>
        <v>0</v>
      </c>
      <c r="G174" s="4" t="s">
        <v>93</v>
      </c>
      <c r="H174" s="4" t="s">
        <v>94</v>
      </c>
      <c r="I174" s="4"/>
      <c r="J174" s="4"/>
      <c r="K174" s="4">
        <v>222</v>
      </c>
      <c r="L174" s="4">
        <v>3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>
        <v>0</v>
      </c>
      <c r="X174" s="4">
        <v>1</v>
      </c>
      <c r="Y174" s="4">
        <v>0</v>
      </c>
      <c r="Z174" s="4"/>
      <c r="AA174" s="4"/>
      <c r="AB174" s="4"/>
    </row>
    <row r="175" spans="1:206" x14ac:dyDescent="0.2">
      <c r="A175" s="4">
        <v>50</v>
      </c>
      <c r="B175" s="4">
        <v>0</v>
      </c>
      <c r="C175" s="4">
        <v>0</v>
      </c>
      <c r="D175" s="4">
        <v>1</v>
      </c>
      <c r="E175" s="4">
        <v>225</v>
      </c>
      <c r="F175" s="4">
        <f>ROUND(Source!AV170,O175)</f>
        <v>11482602.91</v>
      </c>
      <c r="G175" s="4" t="s">
        <v>95</v>
      </c>
      <c r="H175" s="4" t="s">
        <v>96</v>
      </c>
      <c r="I175" s="4"/>
      <c r="J175" s="4"/>
      <c r="K175" s="4">
        <v>225</v>
      </c>
      <c r="L175" s="4">
        <v>4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>
        <v>11482602.91</v>
      </c>
      <c r="X175" s="4">
        <v>1</v>
      </c>
      <c r="Y175" s="4">
        <v>11482602.91</v>
      </c>
      <c r="Z175" s="4"/>
      <c r="AA175" s="4"/>
      <c r="AB175" s="4"/>
    </row>
    <row r="176" spans="1:206" x14ac:dyDescent="0.2">
      <c r="A176" s="4">
        <v>50</v>
      </c>
      <c r="B176" s="4">
        <v>1</v>
      </c>
      <c r="C176" s="4">
        <v>0</v>
      </c>
      <c r="D176" s="4">
        <v>1</v>
      </c>
      <c r="E176" s="4">
        <v>226</v>
      </c>
      <c r="F176" s="4">
        <f>ROUND(Source!AW170,O176)</f>
        <v>11482602.91</v>
      </c>
      <c r="G176" s="4" t="s">
        <v>97</v>
      </c>
      <c r="H176" s="4" t="s">
        <v>98</v>
      </c>
      <c r="I176" s="4"/>
      <c r="J176" s="4"/>
      <c r="K176" s="4">
        <v>226</v>
      </c>
      <c r="L176" s="4">
        <v>5</v>
      </c>
      <c r="M176" s="4">
        <v>1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>
        <v>11482602.91</v>
      </c>
      <c r="X176" s="4">
        <v>1</v>
      </c>
      <c r="Y176" s="4">
        <v>11482602.91</v>
      </c>
      <c r="Z176" s="4"/>
      <c r="AA176" s="4"/>
      <c r="AB176" s="4"/>
    </row>
    <row r="177" spans="1:28" x14ac:dyDescent="0.2">
      <c r="A177" s="4">
        <v>50</v>
      </c>
      <c r="B177" s="4">
        <v>0</v>
      </c>
      <c r="C177" s="4">
        <v>0</v>
      </c>
      <c r="D177" s="4">
        <v>1</v>
      </c>
      <c r="E177" s="4">
        <v>227</v>
      </c>
      <c r="F177" s="4">
        <f>ROUND(Source!AX170,O177)</f>
        <v>0</v>
      </c>
      <c r="G177" s="4" t="s">
        <v>99</v>
      </c>
      <c r="H177" s="4" t="s">
        <v>100</v>
      </c>
      <c r="I177" s="4"/>
      <c r="J177" s="4"/>
      <c r="K177" s="4">
        <v>227</v>
      </c>
      <c r="L177" s="4">
        <v>6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>
        <v>0</v>
      </c>
      <c r="X177" s="4">
        <v>1</v>
      </c>
      <c r="Y177" s="4">
        <v>0</v>
      </c>
      <c r="Z177" s="4"/>
      <c r="AA177" s="4"/>
      <c r="AB177" s="4"/>
    </row>
    <row r="178" spans="1:28" x14ac:dyDescent="0.2">
      <c r="A178" s="4">
        <v>50</v>
      </c>
      <c r="B178" s="4">
        <v>0</v>
      </c>
      <c r="C178" s="4">
        <v>0</v>
      </c>
      <c r="D178" s="4">
        <v>1</v>
      </c>
      <c r="E178" s="4">
        <v>228</v>
      </c>
      <c r="F178" s="4">
        <f>ROUND(Source!AY170,O178)</f>
        <v>11482602.91</v>
      </c>
      <c r="G178" s="4" t="s">
        <v>101</v>
      </c>
      <c r="H178" s="4" t="s">
        <v>102</v>
      </c>
      <c r="I178" s="4"/>
      <c r="J178" s="4"/>
      <c r="K178" s="4">
        <v>228</v>
      </c>
      <c r="L178" s="4">
        <v>7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>
        <v>11482602.91</v>
      </c>
      <c r="X178" s="4">
        <v>1</v>
      </c>
      <c r="Y178" s="4">
        <v>11482602.91</v>
      </c>
      <c r="Z178" s="4"/>
      <c r="AA178" s="4"/>
      <c r="AB178" s="4"/>
    </row>
    <row r="179" spans="1:28" x14ac:dyDescent="0.2">
      <c r="A179" s="4">
        <v>50</v>
      </c>
      <c r="B179" s="4">
        <v>0</v>
      </c>
      <c r="C179" s="4">
        <v>0</v>
      </c>
      <c r="D179" s="4">
        <v>1</v>
      </c>
      <c r="E179" s="4">
        <v>216</v>
      </c>
      <c r="F179" s="4">
        <f>ROUND(Source!AP170,O179)</f>
        <v>0</v>
      </c>
      <c r="G179" s="4" t="s">
        <v>103</v>
      </c>
      <c r="H179" s="4" t="s">
        <v>104</v>
      </c>
      <c r="I179" s="4"/>
      <c r="J179" s="4"/>
      <c r="K179" s="4">
        <v>216</v>
      </c>
      <c r="L179" s="4">
        <v>8</v>
      </c>
      <c r="M179" s="4">
        <v>1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>
        <v>0</v>
      </c>
      <c r="X179" s="4">
        <v>1</v>
      </c>
      <c r="Y179" s="4">
        <v>0</v>
      </c>
      <c r="Z179" s="4"/>
      <c r="AA179" s="4"/>
      <c r="AB179" s="4"/>
    </row>
    <row r="180" spans="1:28" x14ac:dyDescent="0.2">
      <c r="A180" s="4">
        <v>50</v>
      </c>
      <c r="B180" s="4">
        <v>0</v>
      </c>
      <c r="C180" s="4">
        <v>0</v>
      </c>
      <c r="D180" s="4">
        <v>1</v>
      </c>
      <c r="E180" s="4">
        <v>223</v>
      </c>
      <c r="F180" s="4">
        <f>ROUND(Source!AQ170,O180)</f>
        <v>0</v>
      </c>
      <c r="G180" s="4" t="s">
        <v>105</v>
      </c>
      <c r="H180" s="4" t="s">
        <v>106</v>
      </c>
      <c r="I180" s="4"/>
      <c r="J180" s="4"/>
      <c r="K180" s="4">
        <v>223</v>
      </c>
      <c r="L180" s="4">
        <v>9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>
        <v>0</v>
      </c>
      <c r="X180" s="4">
        <v>1</v>
      </c>
      <c r="Y180" s="4">
        <v>0</v>
      </c>
      <c r="Z180" s="4"/>
      <c r="AA180" s="4"/>
      <c r="AB180" s="4"/>
    </row>
    <row r="181" spans="1:28" x14ac:dyDescent="0.2">
      <c r="A181" s="4">
        <v>50</v>
      </c>
      <c r="B181" s="4">
        <v>0</v>
      </c>
      <c r="C181" s="4">
        <v>0</v>
      </c>
      <c r="D181" s="4">
        <v>1</v>
      </c>
      <c r="E181" s="4">
        <v>229</v>
      </c>
      <c r="F181" s="4">
        <f>ROUND(Source!AZ170,O181)</f>
        <v>0</v>
      </c>
      <c r="G181" s="4" t="s">
        <v>107</v>
      </c>
      <c r="H181" s="4" t="s">
        <v>108</v>
      </c>
      <c r="I181" s="4"/>
      <c r="J181" s="4"/>
      <c r="K181" s="4">
        <v>229</v>
      </c>
      <c r="L181" s="4">
        <v>10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>
        <v>0</v>
      </c>
      <c r="X181" s="4">
        <v>1</v>
      </c>
      <c r="Y181" s="4">
        <v>0</v>
      </c>
      <c r="Z181" s="4"/>
      <c r="AA181" s="4"/>
      <c r="AB181" s="4"/>
    </row>
    <row r="182" spans="1:28" x14ac:dyDescent="0.2">
      <c r="A182" s="4">
        <v>50</v>
      </c>
      <c r="B182" s="4">
        <v>1</v>
      </c>
      <c r="C182" s="4">
        <v>0</v>
      </c>
      <c r="D182" s="4">
        <v>1</v>
      </c>
      <c r="E182" s="4">
        <v>203</v>
      </c>
      <c r="F182" s="4">
        <f>ROUND(Source!Q170,O182)</f>
        <v>1368347.77</v>
      </c>
      <c r="G182" s="4" t="s">
        <v>109</v>
      </c>
      <c r="H182" s="4" t="s">
        <v>110</v>
      </c>
      <c r="I182" s="4"/>
      <c r="J182" s="4"/>
      <c r="K182" s="4">
        <v>203</v>
      </c>
      <c r="L182" s="4">
        <v>11</v>
      </c>
      <c r="M182" s="4">
        <v>1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>
        <v>1368347.77</v>
      </c>
      <c r="X182" s="4">
        <v>1</v>
      </c>
      <c r="Y182" s="4">
        <v>1368347.77</v>
      </c>
      <c r="Z182" s="4"/>
      <c r="AA182" s="4"/>
      <c r="AB182" s="4"/>
    </row>
    <row r="183" spans="1:28" x14ac:dyDescent="0.2">
      <c r="A183" s="4">
        <v>50</v>
      </c>
      <c r="B183" s="4">
        <v>0</v>
      </c>
      <c r="C183" s="4">
        <v>0</v>
      </c>
      <c r="D183" s="4">
        <v>1</v>
      </c>
      <c r="E183" s="4">
        <v>231</v>
      </c>
      <c r="F183" s="4">
        <f>ROUND(Source!BB170,O183)</f>
        <v>0</v>
      </c>
      <c r="G183" s="4" t="s">
        <v>111</v>
      </c>
      <c r="H183" s="4" t="s">
        <v>112</v>
      </c>
      <c r="I183" s="4"/>
      <c r="J183" s="4"/>
      <c r="K183" s="4">
        <v>231</v>
      </c>
      <c r="L183" s="4">
        <v>12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>
        <v>0</v>
      </c>
      <c r="X183" s="4">
        <v>1</v>
      </c>
      <c r="Y183" s="4">
        <v>0</v>
      </c>
      <c r="Z183" s="4"/>
      <c r="AA183" s="4"/>
      <c r="AB183" s="4"/>
    </row>
    <row r="184" spans="1:28" x14ac:dyDescent="0.2">
      <c r="A184" s="4">
        <v>50</v>
      </c>
      <c r="B184" s="4">
        <v>1</v>
      </c>
      <c r="C184" s="4">
        <v>0</v>
      </c>
      <c r="D184" s="4">
        <v>1</v>
      </c>
      <c r="E184" s="4">
        <v>204</v>
      </c>
      <c r="F184" s="4">
        <f>ROUND(Source!R170,O184)</f>
        <v>308793.34999999998</v>
      </c>
      <c r="G184" s="4" t="s">
        <v>113</v>
      </c>
      <c r="H184" s="4" t="s">
        <v>114</v>
      </c>
      <c r="I184" s="4"/>
      <c r="J184" s="4"/>
      <c r="K184" s="4">
        <v>204</v>
      </c>
      <c r="L184" s="4">
        <v>13</v>
      </c>
      <c r="M184" s="4">
        <v>1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>
        <v>308793.34999999998</v>
      </c>
      <c r="X184" s="4">
        <v>1</v>
      </c>
      <c r="Y184" s="4">
        <v>308793.34999999998</v>
      </c>
      <c r="Z184" s="4"/>
      <c r="AA184" s="4"/>
      <c r="AB184" s="4"/>
    </row>
    <row r="185" spans="1:28" x14ac:dyDescent="0.2">
      <c r="A185" s="4">
        <v>50</v>
      </c>
      <c r="B185" s="4">
        <v>1</v>
      </c>
      <c r="C185" s="4">
        <v>0</v>
      </c>
      <c r="D185" s="4">
        <v>1</v>
      </c>
      <c r="E185" s="4">
        <v>205</v>
      </c>
      <c r="F185" s="4">
        <f>ROUND(Source!S170,O185)</f>
        <v>2014140.48</v>
      </c>
      <c r="G185" s="4" t="s">
        <v>115</v>
      </c>
      <c r="H185" s="4" t="s">
        <v>116</v>
      </c>
      <c r="I185" s="4"/>
      <c r="J185" s="4"/>
      <c r="K185" s="4">
        <v>205</v>
      </c>
      <c r="L185" s="4">
        <v>14</v>
      </c>
      <c r="M185" s="4">
        <v>1</v>
      </c>
      <c r="N185" s="4" t="s">
        <v>3</v>
      </c>
      <c r="O185" s="4">
        <v>2</v>
      </c>
      <c r="P185" s="4"/>
      <c r="Q185" s="4"/>
      <c r="R185" s="4"/>
      <c r="S185" s="4"/>
      <c r="T185" s="4"/>
      <c r="U185" s="4"/>
      <c r="V185" s="4"/>
      <c r="W185" s="4">
        <v>2014140.48</v>
      </c>
      <c r="X185" s="4">
        <v>1</v>
      </c>
      <c r="Y185" s="4">
        <v>2014140.48</v>
      </c>
      <c r="Z185" s="4"/>
      <c r="AA185" s="4"/>
      <c r="AB185" s="4"/>
    </row>
    <row r="186" spans="1:28" x14ac:dyDescent="0.2">
      <c r="A186" s="4">
        <v>50</v>
      </c>
      <c r="B186" s="4">
        <v>0</v>
      </c>
      <c r="C186" s="4">
        <v>0</v>
      </c>
      <c r="D186" s="4">
        <v>1</v>
      </c>
      <c r="E186" s="4">
        <v>232</v>
      </c>
      <c r="F186" s="4">
        <f>ROUND(Source!BC170,O186)</f>
        <v>0</v>
      </c>
      <c r="G186" s="4" t="s">
        <v>117</v>
      </c>
      <c r="H186" s="4" t="s">
        <v>118</v>
      </c>
      <c r="I186" s="4"/>
      <c r="J186" s="4"/>
      <c r="K186" s="4">
        <v>232</v>
      </c>
      <c r="L186" s="4">
        <v>15</v>
      </c>
      <c r="M186" s="4">
        <v>3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>
        <v>0</v>
      </c>
      <c r="X186" s="4">
        <v>1</v>
      </c>
      <c r="Y186" s="4">
        <v>0</v>
      </c>
      <c r="Z186" s="4"/>
      <c r="AA186" s="4"/>
      <c r="AB186" s="4"/>
    </row>
    <row r="187" spans="1:28" x14ac:dyDescent="0.2">
      <c r="A187" s="4">
        <v>50</v>
      </c>
      <c r="B187" s="4">
        <v>1</v>
      </c>
      <c r="C187" s="4">
        <v>0</v>
      </c>
      <c r="D187" s="4">
        <v>1</v>
      </c>
      <c r="E187" s="4">
        <v>214</v>
      </c>
      <c r="F187" s="4">
        <f>ROUND(Source!AS170,O187)</f>
        <v>16843714.289999999</v>
      </c>
      <c r="G187" s="4" t="s">
        <v>119</v>
      </c>
      <c r="H187" s="4" t="s">
        <v>120</v>
      </c>
      <c r="I187" s="4"/>
      <c r="J187" s="4"/>
      <c r="K187" s="4">
        <v>214</v>
      </c>
      <c r="L187" s="4">
        <v>16</v>
      </c>
      <c r="M187" s="4">
        <v>1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>
        <v>16843714.289999999</v>
      </c>
      <c r="X187" s="4">
        <v>1</v>
      </c>
      <c r="Y187" s="4">
        <v>16843714.289999999</v>
      </c>
      <c r="Z187" s="4"/>
      <c r="AA187" s="4"/>
      <c r="AB187" s="4"/>
    </row>
    <row r="188" spans="1:28" x14ac:dyDescent="0.2">
      <c r="A188" s="4">
        <v>50</v>
      </c>
      <c r="B188" s="4">
        <v>1</v>
      </c>
      <c r="C188" s="4">
        <v>0</v>
      </c>
      <c r="D188" s="4">
        <v>1</v>
      </c>
      <c r="E188" s="4">
        <v>215</v>
      </c>
      <c r="F188" s="4">
        <f>ROUND(Source!AT170,O188)</f>
        <v>1783039.15</v>
      </c>
      <c r="G188" s="4" t="s">
        <v>121</v>
      </c>
      <c r="H188" s="4" t="s">
        <v>122</v>
      </c>
      <c r="I188" s="4"/>
      <c r="J188" s="4"/>
      <c r="K188" s="4">
        <v>215</v>
      </c>
      <c r="L188" s="4">
        <v>17</v>
      </c>
      <c r="M188" s="4">
        <v>1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>
        <v>1783039.15</v>
      </c>
      <c r="X188" s="4">
        <v>1</v>
      </c>
      <c r="Y188" s="4">
        <v>1783039.15</v>
      </c>
      <c r="Z188" s="4"/>
      <c r="AA188" s="4"/>
      <c r="AB188" s="4"/>
    </row>
    <row r="189" spans="1:28" x14ac:dyDescent="0.2">
      <c r="A189" s="4">
        <v>50</v>
      </c>
      <c r="B189" s="4">
        <v>0</v>
      </c>
      <c r="C189" s="4">
        <v>0</v>
      </c>
      <c r="D189" s="4">
        <v>1</v>
      </c>
      <c r="E189" s="4">
        <v>217</v>
      </c>
      <c r="F189" s="4">
        <f>ROUND(Source!AU170,O189)</f>
        <v>0</v>
      </c>
      <c r="G189" s="4" t="s">
        <v>123</v>
      </c>
      <c r="H189" s="4" t="s">
        <v>124</v>
      </c>
      <c r="I189" s="4"/>
      <c r="J189" s="4"/>
      <c r="K189" s="4">
        <v>217</v>
      </c>
      <c r="L189" s="4">
        <v>18</v>
      </c>
      <c r="M189" s="4">
        <v>1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>
        <v>0</v>
      </c>
      <c r="X189" s="4">
        <v>1</v>
      </c>
      <c r="Y189" s="4">
        <v>0</v>
      </c>
      <c r="Z189" s="4"/>
      <c r="AA189" s="4"/>
      <c r="AB189" s="4"/>
    </row>
    <row r="190" spans="1:28" x14ac:dyDescent="0.2">
      <c r="A190" s="4">
        <v>50</v>
      </c>
      <c r="B190" s="4">
        <v>0</v>
      </c>
      <c r="C190" s="4">
        <v>0</v>
      </c>
      <c r="D190" s="4">
        <v>1</v>
      </c>
      <c r="E190" s="4">
        <v>230</v>
      </c>
      <c r="F190" s="4">
        <f>ROUND(Source!BA170,O190)</f>
        <v>0</v>
      </c>
      <c r="G190" s="4" t="s">
        <v>125</v>
      </c>
      <c r="H190" s="4" t="s">
        <v>126</v>
      </c>
      <c r="I190" s="4"/>
      <c r="J190" s="4"/>
      <c r="K190" s="4">
        <v>230</v>
      </c>
      <c r="L190" s="4">
        <v>19</v>
      </c>
      <c r="M190" s="4">
        <v>3</v>
      </c>
      <c r="N190" s="4" t="s">
        <v>3</v>
      </c>
      <c r="O190" s="4">
        <v>2</v>
      </c>
      <c r="P190" s="4"/>
      <c r="Q190" s="4"/>
      <c r="R190" s="4"/>
      <c r="S190" s="4"/>
      <c r="T190" s="4"/>
      <c r="U190" s="4"/>
      <c r="V190" s="4"/>
      <c r="W190" s="4">
        <v>0</v>
      </c>
      <c r="X190" s="4">
        <v>1</v>
      </c>
      <c r="Y190" s="4">
        <v>0</v>
      </c>
      <c r="Z190" s="4"/>
      <c r="AA190" s="4"/>
      <c r="AB190" s="4"/>
    </row>
    <row r="191" spans="1:28" x14ac:dyDescent="0.2">
      <c r="A191" s="4">
        <v>50</v>
      </c>
      <c r="B191" s="4">
        <v>0</v>
      </c>
      <c r="C191" s="4">
        <v>0</v>
      </c>
      <c r="D191" s="4">
        <v>1</v>
      </c>
      <c r="E191" s="4">
        <v>206</v>
      </c>
      <c r="F191" s="4">
        <f>ROUND(Source!T170,O191)</f>
        <v>0</v>
      </c>
      <c r="G191" s="4" t="s">
        <v>127</v>
      </c>
      <c r="H191" s="4" t="s">
        <v>128</v>
      </c>
      <c r="I191" s="4"/>
      <c r="J191" s="4"/>
      <c r="K191" s="4">
        <v>206</v>
      </c>
      <c r="L191" s="4">
        <v>20</v>
      </c>
      <c r="M191" s="4">
        <v>1</v>
      </c>
      <c r="N191" s="4" t="s">
        <v>3</v>
      </c>
      <c r="O191" s="4">
        <v>2</v>
      </c>
      <c r="P191" s="4"/>
      <c r="Q191" s="4"/>
      <c r="R191" s="4"/>
      <c r="S191" s="4"/>
      <c r="T191" s="4"/>
      <c r="U191" s="4"/>
      <c r="V191" s="4"/>
      <c r="W191" s="4">
        <v>0</v>
      </c>
      <c r="X191" s="4">
        <v>1</v>
      </c>
      <c r="Y191" s="4">
        <v>0</v>
      </c>
      <c r="Z191" s="4"/>
      <c r="AA191" s="4"/>
      <c r="AB191" s="4"/>
    </row>
    <row r="192" spans="1:28" x14ac:dyDescent="0.2">
      <c r="A192" s="4">
        <v>50</v>
      </c>
      <c r="B192" s="4">
        <v>1</v>
      </c>
      <c r="C192" s="4">
        <v>0</v>
      </c>
      <c r="D192" s="4">
        <v>1</v>
      </c>
      <c r="E192" s="4">
        <v>207</v>
      </c>
      <c r="F192" s="4">
        <f>Source!U170</f>
        <v>7630.8687987000003</v>
      </c>
      <c r="G192" s="4" t="s">
        <v>129</v>
      </c>
      <c r="H192" s="4" t="s">
        <v>130</v>
      </c>
      <c r="I192" s="4"/>
      <c r="J192" s="4"/>
      <c r="K192" s="4">
        <v>207</v>
      </c>
      <c r="L192" s="4">
        <v>21</v>
      </c>
      <c r="M192" s="4">
        <v>1</v>
      </c>
      <c r="N192" s="4" t="s">
        <v>3</v>
      </c>
      <c r="O192" s="4">
        <v>-1</v>
      </c>
      <c r="P192" s="4"/>
      <c r="Q192" s="4"/>
      <c r="R192" s="4"/>
      <c r="S192" s="4"/>
      <c r="T192" s="4"/>
      <c r="U192" s="4"/>
      <c r="V192" s="4"/>
      <c r="W192" s="4">
        <v>7630.8687987000003</v>
      </c>
      <c r="X192" s="4">
        <v>1</v>
      </c>
      <c r="Y192" s="4">
        <v>7630.8687987000003</v>
      </c>
      <c r="Z192" s="4"/>
      <c r="AA192" s="4"/>
      <c r="AB192" s="4"/>
    </row>
    <row r="193" spans="1:28" x14ac:dyDescent="0.2">
      <c r="A193" s="4">
        <v>50</v>
      </c>
      <c r="B193" s="4">
        <v>1</v>
      </c>
      <c r="C193" s="4">
        <v>0</v>
      </c>
      <c r="D193" s="4">
        <v>1</v>
      </c>
      <c r="E193" s="4">
        <v>208</v>
      </c>
      <c r="F193" s="4">
        <f>Source!V170</f>
        <v>821.78897125000003</v>
      </c>
      <c r="G193" s="4" t="s">
        <v>131</v>
      </c>
      <c r="H193" s="4" t="s">
        <v>132</v>
      </c>
      <c r="I193" s="4"/>
      <c r="J193" s="4"/>
      <c r="K193" s="4">
        <v>208</v>
      </c>
      <c r="L193" s="4">
        <v>22</v>
      </c>
      <c r="M193" s="4">
        <v>1</v>
      </c>
      <c r="N193" s="4" t="s">
        <v>3</v>
      </c>
      <c r="O193" s="4">
        <v>-1</v>
      </c>
      <c r="P193" s="4"/>
      <c r="Q193" s="4"/>
      <c r="R193" s="4"/>
      <c r="S193" s="4"/>
      <c r="T193" s="4"/>
      <c r="U193" s="4"/>
      <c r="V193" s="4"/>
      <c r="W193" s="4">
        <v>821.78897124999992</v>
      </c>
      <c r="X193" s="4">
        <v>1</v>
      </c>
      <c r="Y193" s="4">
        <v>821.78897124999992</v>
      </c>
      <c r="Z193" s="4"/>
      <c r="AA193" s="4"/>
      <c r="AB193" s="4"/>
    </row>
    <row r="194" spans="1:28" x14ac:dyDescent="0.2">
      <c r="A194" s="4">
        <v>50</v>
      </c>
      <c r="B194" s="4">
        <v>0</v>
      </c>
      <c r="C194" s="4">
        <v>0</v>
      </c>
      <c r="D194" s="4">
        <v>1</v>
      </c>
      <c r="E194" s="4">
        <v>209</v>
      </c>
      <c r="F194" s="4">
        <f>ROUND(Source!W170,O194)</f>
        <v>0</v>
      </c>
      <c r="G194" s="4" t="s">
        <v>133</v>
      </c>
      <c r="H194" s="4" t="s">
        <v>134</v>
      </c>
      <c r="I194" s="4"/>
      <c r="J194" s="4"/>
      <c r="K194" s="4">
        <v>209</v>
      </c>
      <c r="L194" s="4">
        <v>23</v>
      </c>
      <c r="M194" s="4">
        <v>1</v>
      </c>
      <c r="N194" s="4" t="s">
        <v>3</v>
      </c>
      <c r="O194" s="4">
        <v>2</v>
      </c>
      <c r="P194" s="4"/>
      <c r="Q194" s="4"/>
      <c r="R194" s="4"/>
      <c r="S194" s="4"/>
      <c r="T194" s="4"/>
      <c r="U194" s="4"/>
      <c r="V194" s="4"/>
      <c r="W194" s="4">
        <v>0</v>
      </c>
      <c r="X194" s="4">
        <v>1</v>
      </c>
      <c r="Y194" s="4">
        <v>0</v>
      </c>
      <c r="Z194" s="4"/>
      <c r="AA194" s="4"/>
      <c r="AB194" s="4"/>
    </row>
    <row r="195" spans="1:28" x14ac:dyDescent="0.2">
      <c r="A195" s="4">
        <v>50</v>
      </c>
      <c r="B195" s="4">
        <v>0</v>
      </c>
      <c r="C195" s="4">
        <v>0</v>
      </c>
      <c r="D195" s="4">
        <v>1</v>
      </c>
      <c r="E195" s="4">
        <v>233</v>
      </c>
      <c r="F195" s="4">
        <f>ROUND(Source!BD170,O195)</f>
        <v>178759.6</v>
      </c>
      <c r="G195" s="4" t="s">
        <v>135</v>
      </c>
      <c r="H195" s="4" t="s">
        <v>136</v>
      </c>
      <c r="I195" s="4"/>
      <c r="J195" s="4"/>
      <c r="K195" s="4">
        <v>233</v>
      </c>
      <c r="L195" s="4">
        <v>24</v>
      </c>
      <c r="M195" s="4">
        <v>3</v>
      </c>
      <c r="N195" s="4" t="s">
        <v>3</v>
      </c>
      <c r="O195" s="4">
        <v>2</v>
      </c>
      <c r="P195" s="4"/>
      <c r="Q195" s="4"/>
      <c r="R195" s="4"/>
      <c r="S195" s="4"/>
      <c r="T195" s="4"/>
      <c r="U195" s="4"/>
      <c r="V195" s="4"/>
      <c r="W195" s="4">
        <v>178759.6</v>
      </c>
      <c r="X195" s="4">
        <v>1</v>
      </c>
      <c r="Y195" s="4">
        <v>178759.6</v>
      </c>
      <c r="Z195" s="4"/>
      <c r="AA195" s="4"/>
      <c r="AB195" s="4"/>
    </row>
    <row r="196" spans="1:28" x14ac:dyDescent="0.2">
      <c r="A196" s="4">
        <v>50</v>
      </c>
      <c r="B196" s="4">
        <v>1</v>
      </c>
      <c r="C196" s="4">
        <v>0</v>
      </c>
      <c r="D196" s="4">
        <v>1</v>
      </c>
      <c r="E196" s="4">
        <v>210</v>
      </c>
      <c r="F196" s="4">
        <f>ROUND(Source!X170,O196)</f>
        <v>2249208.3199999998</v>
      </c>
      <c r="G196" s="4" t="s">
        <v>137</v>
      </c>
      <c r="H196" s="4" t="s">
        <v>138</v>
      </c>
      <c r="I196" s="4"/>
      <c r="J196" s="4"/>
      <c r="K196" s="4">
        <v>210</v>
      </c>
      <c r="L196" s="4">
        <v>25</v>
      </c>
      <c r="M196" s="4">
        <v>1</v>
      </c>
      <c r="N196" s="4" t="s">
        <v>3</v>
      </c>
      <c r="O196" s="4">
        <v>2</v>
      </c>
      <c r="P196" s="4"/>
      <c r="Q196" s="4"/>
      <c r="R196" s="4"/>
      <c r="S196" s="4"/>
      <c r="T196" s="4"/>
      <c r="U196" s="4"/>
      <c r="V196" s="4"/>
      <c r="W196" s="4">
        <v>2249208.3199999998</v>
      </c>
      <c r="X196" s="4">
        <v>1</v>
      </c>
      <c r="Y196" s="4">
        <v>2249208.3199999998</v>
      </c>
      <c r="Z196" s="4"/>
      <c r="AA196" s="4"/>
      <c r="AB196" s="4"/>
    </row>
    <row r="197" spans="1:28" x14ac:dyDescent="0.2">
      <c r="A197" s="4">
        <v>50</v>
      </c>
      <c r="B197" s="4">
        <v>1</v>
      </c>
      <c r="C197" s="4">
        <v>0</v>
      </c>
      <c r="D197" s="4">
        <v>1</v>
      </c>
      <c r="E197" s="4">
        <v>211</v>
      </c>
      <c r="F197" s="4">
        <f>ROUND(Source!Y170,O197)</f>
        <v>1333694.3600000001</v>
      </c>
      <c r="G197" s="4" t="s">
        <v>139</v>
      </c>
      <c r="H197" s="4" t="s">
        <v>140</v>
      </c>
      <c r="I197" s="4"/>
      <c r="J197" s="4"/>
      <c r="K197" s="4">
        <v>211</v>
      </c>
      <c r="L197" s="4">
        <v>26</v>
      </c>
      <c r="M197" s="4">
        <v>1</v>
      </c>
      <c r="N197" s="4" t="s">
        <v>3</v>
      </c>
      <c r="O197" s="4">
        <v>2</v>
      </c>
      <c r="P197" s="4"/>
      <c r="Q197" s="4"/>
      <c r="R197" s="4"/>
      <c r="S197" s="4"/>
      <c r="T197" s="4"/>
      <c r="U197" s="4"/>
      <c r="V197" s="4"/>
      <c r="W197" s="4">
        <v>1333694.3600000001</v>
      </c>
      <c r="X197" s="4">
        <v>1</v>
      </c>
      <c r="Y197" s="4">
        <v>1333694.3600000001</v>
      </c>
      <c r="Z197" s="4"/>
      <c r="AA197" s="4"/>
      <c r="AB197" s="4"/>
    </row>
    <row r="198" spans="1:28" x14ac:dyDescent="0.2">
      <c r="A198" s="4">
        <v>50</v>
      </c>
      <c r="B198" s="4">
        <v>1</v>
      </c>
      <c r="C198" s="4">
        <v>0</v>
      </c>
      <c r="D198" s="4">
        <v>1</v>
      </c>
      <c r="E198" s="4">
        <v>224</v>
      </c>
      <c r="F198" s="4">
        <f>ROUND(Source!AR170,O198)</f>
        <v>18626753.440000001</v>
      </c>
      <c r="G198" s="4" t="s">
        <v>141</v>
      </c>
      <c r="H198" s="4" t="s">
        <v>142</v>
      </c>
      <c r="I198" s="4"/>
      <c r="J198" s="4"/>
      <c r="K198" s="4">
        <v>224</v>
      </c>
      <c r="L198" s="4">
        <v>27</v>
      </c>
      <c r="M198" s="4">
        <v>1</v>
      </c>
      <c r="N198" s="4" t="s">
        <v>3</v>
      </c>
      <c r="O198" s="4">
        <v>2</v>
      </c>
      <c r="P198" s="4"/>
      <c r="Q198" s="4"/>
      <c r="R198" s="4"/>
      <c r="S198" s="4"/>
      <c r="T198" s="4"/>
      <c r="U198" s="4"/>
      <c r="V198" s="4"/>
      <c r="W198" s="4">
        <v>18626753.440000001</v>
      </c>
      <c r="X198" s="4">
        <v>1</v>
      </c>
      <c r="Y198" s="4">
        <v>18626753.440000001</v>
      </c>
      <c r="Z198" s="4"/>
      <c r="AA198" s="4"/>
      <c r="AB198" s="4"/>
    </row>
    <row r="199" spans="1:28" x14ac:dyDescent="0.2">
      <c r="A199" s="4">
        <v>50</v>
      </c>
      <c r="B199" s="4">
        <v>1</v>
      </c>
      <c r="C199" s="4">
        <v>0</v>
      </c>
      <c r="D199" s="4">
        <v>2</v>
      </c>
      <c r="E199" s="4">
        <v>0</v>
      </c>
      <c r="F199" s="4">
        <f>ROUND(F198*0.2,O199)</f>
        <v>3725350.69</v>
      </c>
      <c r="G199" s="4" t="s">
        <v>298</v>
      </c>
      <c r="H199" s="4" t="s">
        <v>299</v>
      </c>
      <c r="I199" s="4"/>
      <c r="J199" s="4"/>
      <c r="K199" s="4">
        <v>212</v>
      </c>
      <c r="L199" s="4">
        <v>28</v>
      </c>
      <c r="M199" s="4">
        <v>0</v>
      </c>
      <c r="N199" s="4" t="s">
        <v>3</v>
      </c>
      <c r="O199" s="4">
        <v>2</v>
      </c>
      <c r="P199" s="4"/>
      <c r="Q199" s="4"/>
      <c r="R199" s="4"/>
      <c r="S199" s="4"/>
      <c r="T199" s="4"/>
      <c r="U199" s="4"/>
      <c r="V199" s="4"/>
      <c r="W199" s="4">
        <v>3725350.69</v>
      </c>
      <c r="X199" s="4">
        <v>1</v>
      </c>
      <c r="Y199" s="4">
        <v>3725350.69</v>
      </c>
      <c r="Z199" s="4"/>
      <c r="AA199" s="4"/>
      <c r="AB199" s="4"/>
    </row>
    <row r="200" spans="1:28" x14ac:dyDescent="0.2">
      <c r="A200" s="4">
        <v>50</v>
      </c>
      <c r="B200" s="4">
        <v>1</v>
      </c>
      <c r="C200" s="4">
        <v>0</v>
      </c>
      <c r="D200" s="4">
        <v>2</v>
      </c>
      <c r="E200" s="4">
        <v>0</v>
      </c>
      <c r="F200" s="4">
        <f>ROUND(F198+F199,O200)</f>
        <v>22352104.129999999</v>
      </c>
      <c r="G200" s="4" t="s">
        <v>300</v>
      </c>
      <c r="H200" s="4" t="s">
        <v>301</v>
      </c>
      <c r="I200" s="4"/>
      <c r="J200" s="4"/>
      <c r="K200" s="4">
        <v>212</v>
      </c>
      <c r="L200" s="4">
        <v>29</v>
      </c>
      <c r="M200" s="4">
        <v>0</v>
      </c>
      <c r="N200" s="4" t="s">
        <v>3</v>
      </c>
      <c r="O200" s="4">
        <v>2</v>
      </c>
      <c r="P200" s="4"/>
      <c r="Q200" s="4"/>
      <c r="R200" s="4"/>
      <c r="S200" s="4"/>
      <c r="T200" s="4"/>
      <c r="U200" s="4"/>
      <c r="V200" s="4"/>
      <c r="W200" s="4">
        <v>22352104.129999999</v>
      </c>
      <c r="X200" s="4">
        <v>1</v>
      </c>
      <c r="Y200" s="4">
        <v>22352104.129999999</v>
      </c>
      <c r="Z200" s="4"/>
      <c r="AA200" s="4"/>
      <c r="AB200" s="4"/>
    </row>
    <row r="202" spans="1:28" x14ac:dyDescent="0.2">
      <c r="A202" s="5">
        <v>61</v>
      </c>
      <c r="B202" s="5"/>
      <c r="C202" s="5"/>
      <c r="D202" s="5"/>
      <c r="E202" s="5"/>
      <c r="F202" s="5">
        <v>1.2</v>
      </c>
      <c r="G202" s="5" t="s">
        <v>302</v>
      </c>
      <c r="H202" s="5" t="s">
        <v>303</v>
      </c>
    </row>
    <row r="203" spans="1:28" x14ac:dyDescent="0.2">
      <c r="A203" s="5">
        <v>61</v>
      </c>
      <c r="B203" s="5"/>
      <c r="C203" s="5"/>
      <c r="D203" s="5"/>
      <c r="E203" s="5"/>
      <c r="F203" s="5">
        <v>12</v>
      </c>
      <c r="G203" s="5" t="s">
        <v>304</v>
      </c>
      <c r="H203" s="5" t="s">
        <v>303</v>
      </c>
    </row>
    <row r="204" spans="1:28" x14ac:dyDescent="0.2">
      <c r="A204" s="5">
        <v>61</v>
      </c>
      <c r="B204" s="5"/>
      <c r="C204" s="5"/>
      <c r="D204" s="5"/>
      <c r="E204" s="5"/>
      <c r="F204" s="5">
        <v>0</v>
      </c>
      <c r="G204" s="5" t="s">
        <v>305</v>
      </c>
      <c r="H204" s="5" t="s">
        <v>303</v>
      </c>
    </row>
    <row r="207" spans="1:28" x14ac:dyDescent="0.2">
      <c r="A207">
        <v>70</v>
      </c>
      <c r="B207">
        <v>1</v>
      </c>
      <c r="D207">
        <v>1</v>
      </c>
      <c r="E207" t="s">
        <v>306</v>
      </c>
      <c r="F207" t="s">
        <v>307</v>
      </c>
      <c r="G207">
        <v>1</v>
      </c>
      <c r="H207">
        <v>0</v>
      </c>
      <c r="I207" t="s">
        <v>3</v>
      </c>
      <c r="J207">
        <v>1</v>
      </c>
      <c r="K207">
        <v>0</v>
      </c>
      <c r="L207" t="s">
        <v>3</v>
      </c>
      <c r="M207" t="s">
        <v>3</v>
      </c>
      <c r="N207">
        <v>0</v>
      </c>
      <c r="P207" t="s">
        <v>308</v>
      </c>
    </row>
    <row r="208" spans="1:28" x14ac:dyDescent="0.2">
      <c r="A208">
        <v>70</v>
      </c>
      <c r="B208">
        <v>1</v>
      </c>
      <c r="D208">
        <v>2</v>
      </c>
      <c r="E208" t="s">
        <v>309</v>
      </c>
      <c r="F208" t="s">
        <v>310</v>
      </c>
      <c r="G208">
        <v>0</v>
      </c>
      <c r="H208">
        <v>0</v>
      </c>
      <c r="I208" t="s">
        <v>3</v>
      </c>
      <c r="J208">
        <v>1</v>
      </c>
      <c r="K208">
        <v>0</v>
      </c>
      <c r="L208" t="s">
        <v>3</v>
      </c>
      <c r="M208" t="s">
        <v>3</v>
      </c>
      <c r="N208">
        <v>0</v>
      </c>
      <c r="P208" t="s">
        <v>311</v>
      </c>
    </row>
    <row r="209" spans="1:16" x14ac:dyDescent="0.2">
      <c r="A209">
        <v>70</v>
      </c>
      <c r="B209">
        <v>1</v>
      </c>
      <c r="D209">
        <v>3</v>
      </c>
      <c r="E209" t="s">
        <v>312</v>
      </c>
      <c r="F209" t="s">
        <v>313</v>
      </c>
      <c r="G209">
        <v>0</v>
      </c>
      <c r="H209">
        <v>0</v>
      </c>
      <c r="I209" t="s">
        <v>3</v>
      </c>
      <c r="J209">
        <v>1</v>
      </c>
      <c r="K209">
        <v>0</v>
      </c>
      <c r="L209" t="s">
        <v>3</v>
      </c>
      <c r="M209" t="s">
        <v>3</v>
      </c>
      <c r="N209">
        <v>0</v>
      </c>
      <c r="P209" t="s">
        <v>314</v>
      </c>
    </row>
    <row r="210" spans="1:16" x14ac:dyDescent="0.2">
      <c r="A210">
        <v>70</v>
      </c>
      <c r="B210">
        <v>1</v>
      </c>
      <c r="D210">
        <v>4</v>
      </c>
      <c r="E210" t="s">
        <v>315</v>
      </c>
      <c r="F210" t="s">
        <v>316</v>
      </c>
      <c r="G210">
        <v>1</v>
      </c>
      <c r="H210">
        <v>0</v>
      </c>
      <c r="I210" t="s">
        <v>3</v>
      </c>
      <c r="J210">
        <v>2</v>
      </c>
      <c r="K210">
        <v>0</v>
      </c>
      <c r="L210" t="s">
        <v>3</v>
      </c>
      <c r="M210" t="s">
        <v>3</v>
      </c>
      <c r="N210">
        <v>0</v>
      </c>
      <c r="P210" t="s">
        <v>3</v>
      </c>
    </row>
    <row r="211" spans="1:16" x14ac:dyDescent="0.2">
      <c r="A211">
        <v>70</v>
      </c>
      <c r="B211">
        <v>1</v>
      </c>
      <c r="D211">
        <v>5</v>
      </c>
      <c r="E211" t="s">
        <v>317</v>
      </c>
      <c r="F211" t="s">
        <v>318</v>
      </c>
      <c r="G211">
        <v>0</v>
      </c>
      <c r="H211">
        <v>0</v>
      </c>
      <c r="I211" t="s">
        <v>3</v>
      </c>
      <c r="J211">
        <v>2</v>
      </c>
      <c r="K211">
        <v>0</v>
      </c>
      <c r="L211" t="s">
        <v>3</v>
      </c>
      <c r="M211" t="s">
        <v>3</v>
      </c>
      <c r="N211">
        <v>0</v>
      </c>
      <c r="P211" t="s">
        <v>3</v>
      </c>
    </row>
    <row r="212" spans="1:16" x14ac:dyDescent="0.2">
      <c r="A212">
        <v>70</v>
      </c>
      <c r="B212">
        <v>1</v>
      </c>
      <c r="D212">
        <v>6</v>
      </c>
      <c r="E212" t="s">
        <v>319</v>
      </c>
      <c r="F212" t="s">
        <v>320</v>
      </c>
      <c r="G212">
        <v>0</v>
      </c>
      <c r="H212">
        <v>0</v>
      </c>
      <c r="I212" t="s">
        <v>3</v>
      </c>
      <c r="J212">
        <v>2</v>
      </c>
      <c r="K212">
        <v>0</v>
      </c>
      <c r="L212" t="s">
        <v>3</v>
      </c>
      <c r="M212" t="s">
        <v>3</v>
      </c>
      <c r="N212">
        <v>0</v>
      </c>
      <c r="P212" t="s">
        <v>3</v>
      </c>
    </row>
    <row r="213" spans="1:16" x14ac:dyDescent="0.2">
      <c r="A213">
        <v>70</v>
      </c>
      <c r="B213">
        <v>1</v>
      </c>
      <c r="D213">
        <v>7</v>
      </c>
      <c r="E213" t="s">
        <v>321</v>
      </c>
      <c r="F213" t="s">
        <v>322</v>
      </c>
      <c r="G213">
        <v>0</v>
      </c>
      <c r="H213">
        <v>0</v>
      </c>
      <c r="I213" t="s">
        <v>323</v>
      </c>
      <c r="J213">
        <v>0</v>
      </c>
      <c r="K213">
        <v>0</v>
      </c>
      <c r="L213" t="s">
        <v>3</v>
      </c>
      <c r="M213" t="s">
        <v>3</v>
      </c>
      <c r="N213">
        <v>0</v>
      </c>
      <c r="P213" t="s">
        <v>324</v>
      </c>
    </row>
    <row r="214" spans="1:16" x14ac:dyDescent="0.2">
      <c r="A214">
        <v>70</v>
      </c>
      <c r="B214">
        <v>1</v>
      </c>
      <c r="D214">
        <v>8</v>
      </c>
      <c r="E214" t="s">
        <v>325</v>
      </c>
      <c r="F214" t="s">
        <v>326</v>
      </c>
      <c r="G214">
        <v>1</v>
      </c>
      <c r="H214">
        <v>0</v>
      </c>
      <c r="I214" t="s">
        <v>3</v>
      </c>
      <c r="J214">
        <v>5</v>
      </c>
      <c r="K214">
        <v>0</v>
      </c>
      <c r="L214" t="s">
        <v>3</v>
      </c>
      <c r="M214" t="s">
        <v>3</v>
      </c>
      <c r="N214">
        <v>0</v>
      </c>
      <c r="P214" t="s">
        <v>3</v>
      </c>
    </row>
    <row r="215" spans="1:16" x14ac:dyDescent="0.2">
      <c r="A215">
        <v>70</v>
      </c>
      <c r="B215">
        <v>1</v>
      </c>
      <c r="D215">
        <v>9</v>
      </c>
      <c r="E215" t="s">
        <v>327</v>
      </c>
      <c r="F215" t="s">
        <v>328</v>
      </c>
      <c r="G215">
        <v>0</v>
      </c>
      <c r="H215">
        <v>0</v>
      </c>
      <c r="I215" t="s">
        <v>3</v>
      </c>
      <c r="J215">
        <v>5</v>
      </c>
      <c r="K215">
        <v>0</v>
      </c>
      <c r="L215" t="s">
        <v>3</v>
      </c>
      <c r="M215" t="s">
        <v>3</v>
      </c>
      <c r="N215">
        <v>0</v>
      </c>
      <c r="P215" t="s">
        <v>3</v>
      </c>
    </row>
    <row r="216" spans="1:16" x14ac:dyDescent="0.2">
      <c r="A216">
        <v>70</v>
      </c>
      <c r="B216">
        <v>1</v>
      </c>
      <c r="D216">
        <v>10</v>
      </c>
      <c r="E216" t="s">
        <v>329</v>
      </c>
      <c r="F216" t="s">
        <v>330</v>
      </c>
      <c r="G216">
        <v>0</v>
      </c>
      <c r="H216">
        <v>0</v>
      </c>
      <c r="I216" t="s">
        <v>331</v>
      </c>
      <c r="J216">
        <v>5</v>
      </c>
      <c r="K216">
        <v>0</v>
      </c>
      <c r="L216" t="s">
        <v>3</v>
      </c>
      <c r="M216" t="s">
        <v>3</v>
      </c>
      <c r="N216">
        <v>0</v>
      </c>
      <c r="P216" t="s">
        <v>332</v>
      </c>
    </row>
    <row r="217" spans="1:16" x14ac:dyDescent="0.2">
      <c r="A217">
        <v>70</v>
      </c>
      <c r="B217">
        <v>1</v>
      </c>
      <c r="D217">
        <v>11</v>
      </c>
      <c r="E217" t="s">
        <v>333</v>
      </c>
      <c r="F217" t="s">
        <v>334</v>
      </c>
      <c r="G217">
        <v>0</v>
      </c>
      <c r="H217">
        <v>0</v>
      </c>
      <c r="I217" t="s">
        <v>335</v>
      </c>
      <c r="J217">
        <v>0</v>
      </c>
      <c r="K217">
        <v>0</v>
      </c>
      <c r="L217" t="s">
        <v>3</v>
      </c>
      <c r="M217" t="s">
        <v>3</v>
      </c>
      <c r="N217">
        <v>0</v>
      </c>
      <c r="P217" t="s">
        <v>336</v>
      </c>
    </row>
    <row r="218" spans="1:16" x14ac:dyDescent="0.2">
      <c r="A218">
        <v>70</v>
      </c>
      <c r="B218">
        <v>1</v>
      </c>
      <c r="D218">
        <v>12</v>
      </c>
      <c r="E218" t="s">
        <v>337</v>
      </c>
      <c r="F218" t="s">
        <v>338</v>
      </c>
      <c r="G218">
        <v>0</v>
      </c>
      <c r="H218">
        <v>0</v>
      </c>
      <c r="I218" t="s">
        <v>339</v>
      </c>
      <c r="J218">
        <v>0</v>
      </c>
      <c r="K218">
        <v>0</v>
      </c>
      <c r="L218" t="s">
        <v>3</v>
      </c>
      <c r="M218" t="s">
        <v>3</v>
      </c>
      <c r="N218">
        <v>0</v>
      </c>
      <c r="P218" t="s">
        <v>340</v>
      </c>
    </row>
    <row r="219" spans="1:16" x14ac:dyDescent="0.2">
      <c r="A219">
        <v>70</v>
      </c>
      <c r="B219">
        <v>1</v>
      </c>
      <c r="D219">
        <v>13</v>
      </c>
      <c r="E219" t="s">
        <v>341</v>
      </c>
      <c r="F219" t="s">
        <v>342</v>
      </c>
      <c r="G219">
        <v>0</v>
      </c>
      <c r="H219">
        <v>0</v>
      </c>
      <c r="I219" t="s">
        <v>343</v>
      </c>
      <c r="J219">
        <v>0</v>
      </c>
      <c r="K219">
        <v>0</v>
      </c>
      <c r="L219" t="s">
        <v>3</v>
      </c>
      <c r="M219" t="s">
        <v>3</v>
      </c>
      <c r="N219">
        <v>0</v>
      </c>
      <c r="P219" t="s">
        <v>344</v>
      </c>
    </row>
    <row r="220" spans="1:16" x14ac:dyDescent="0.2">
      <c r="A220">
        <v>70</v>
      </c>
      <c r="B220">
        <v>1</v>
      </c>
      <c r="D220">
        <v>14</v>
      </c>
      <c r="E220" t="s">
        <v>345</v>
      </c>
      <c r="F220" t="s">
        <v>346</v>
      </c>
      <c r="G220">
        <v>0</v>
      </c>
      <c r="H220">
        <v>0</v>
      </c>
      <c r="I220" t="s">
        <v>3</v>
      </c>
      <c r="J220">
        <v>0</v>
      </c>
      <c r="K220">
        <v>0</v>
      </c>
      <c r="L220" t="s">
        <v>3</v>
      </c>
      <c r="M220" t="s">
        <v>3</v>
      </c>
      <c r="N220">
        <v>0</v>
      </c>
      <c r="P220" t="s">
        <v>347</v>
      </c>
    </row>
    <row r="221" spans="1:16" x14ac:dyDescent="0.2">
      <c r="A221">
        <v>70</v>
      </c>
      <c r="B221">
        <v>1</v>
      </c>
      <c r="D221">
        <v>15</v>
      </c>
      <c r="E221" t="s">
        <v>348</v>
      </c>
      <c r="F221" t="s">
        <v>349</v>
      </c>
      <c r="G221">
        <v>0</v>
      </c>
      <c r="H221">
        <v>0</v>
      </c>
      <c r="I221" t="s">
        <v>3</v>
      </c>
      <c r="J221">
        <v>3</v>
      </c>
      <c r="K221">
        <v>0</v>
      </c>
      <c r="L221" t="s">
        <v>3</v>
      </c>
      <c r="M221" t="s">
        <v>3</v>
      </c>
      <c r="N221">
        <v>0</v>
      </c>
      <c r="P221" t="s">
        <v>3</v>
      </c>
    </row>
    <row r="222" spans="1:16" x14ac:dyDescent="0.2">
      <c r="A222">
        <v>70</v>
      </c>
      <c r="B222">
        <v>1</v>
      </c>
      <c r="D222">
        <v>16</v>
      </c>
      <c r="E222" t="s">
        <v>350</v>
      </c>
      <c r="F222" t="s">
        <v>351</v>
      </c>
      <c r="G222">
        <v>1</v>
      </c>
      <c r="H222">
        <v>0</v>
      </c>
      <c r="I222" t="s">
        <v>3</v>
      </c>
      <c r="J222">
        <v>3</v>
      </c>
      <c r="K222">
        <v>0</v>
      </c>
      <c r="L222" t="s">
        <v>3</v>
      </c>
      <c r="M222" t="s">
        <v>3</v>
      </c>
      <c r="N222">
        <v>0</v>
      </c>
      <c r="P222" t="s">
        <v>3</v>
      </c>
    </row>
    <row r="223" spans="1:16" x14ac:dyDescent="0.2">
      <c r="A223">
        <v>70</v>
      </c>
      <c r="B223">
        <v>1</v>
      </c>
      <c r="D223">
        <v>1</v>
      </c>
      <c r="E223" t="s">
        <v>352</v>
      </c>
      <c r="F223" t="s">
        <v>353</v>
      </c>
      <c r="G223">
        <v>0.9</v>
      </c>
      <c r="H223">
        <v>1</v>
      </c>
      <c r="I223" t="s">
        <v>354</v>
      </c>
      <c r="J223">
        <v>0</v>
      </c>
      <c r="K223">
        <v>0</v>
      </c>
      <c r="L223" t="s">
        <v>3</v>
      </c>
      <c r="M223" t="s">
        <v>3</v>
      </c>
      <c r="N223">
        <v>0</v>
      </c>
      <c r="P223" t="s">
        <v>355</v>
      </c>
    </row>
    <row r="224" spans="1:16" x14ac:dyDescent="0.2">
      <c r="A224">
        <v>70</v>
      </c>
      <c r="B224">
        <v>1</v>
      </c>
      <c r="D224">
        <v>2</v>
      </c>
      <c r="E224" t="s">
        <v>356</v>
      </c>
      <c r="F224" t="s">
        <v>357</v>
      </c>
      <c r="G224">
        <v>0.85</v>
      </c>
      <c r="H224">
        <v>1</v>
      </c>
      <c r="I224" t="s">
        <v>358</v>
      </c>
      <c r="J224">
        <v>0</v>
      </c>
      <c r="K224">
        <v>0</v>
      </c>
      <c r="L224" t="s">
        <v>3</v>
      </c>
      <c r="M224" t="s">
        <v>3</v>
      </c>
      <c r="N224">
        <v>0</v>
      </c>
      <c r="P224" t="s">
        <v>359</v>
      </c>
    </row>
    <row r="225" spans="1:40" x14ac:dyDescent="0.2">
      <c r="A225">
        <v>70</v>
      </c>
      <c r="B225">
        <v>1</v>
      </c>
      <c r="D225">
        <v>3</v>
      </c>
      <c r="E225" t="s">
        <v>360</v>
      </c>
      <c r="F225" t="s">
        <v>361</v>
      </c>
      <c r="G225">
        <v>1.03</v>
      </c>
      <c r="H225">
        <v>0</v>
      </c>
      <c r="I225" t="s">
        <v>3</v>
      </c>
      <c r="J225">
        <v>0</v>
      </c>
      <c r="K225">
        <v>0</v>
      </c>
      <c r="L225" t="s">
        <v>3</v>
      </c>
      <c r="M225" t="s">
        <v>3</v>
      </c>
      <c r="N225">
        <v>0</v>
      </c>
      <c r="P225" t="s">
        <v>362</v>
      </c>
    </row>
    <row r="226" spans="1:40" x14ac:dyDescent="0.2">
      <c r="A226">
        <v>70</v>
      </c>
      <c r="B226">
        <v>1</v>
      </c>
      <c r="D226">
        <v>4</v>
      </c>
      <c r="E226" t="s">
        <v>363</v>
      </c>
      <c r="F226" t="s">
        <v>364</v>
      </c>
      <c r="G226">
        <v>1.1499999999999999</v>
      </c>
      <c r="H226">
        <v>0</v>
      </c>
      <c r="I226" t="s">
        <v>3</v>
      </c>
      <c r="J226">
        <v>0</v>
      </c>
      <c r="K226">
        <v>0</v>
      </c>
      <c r="L226" t="s">
        <v>3</v>
      </c>
      <c r="M226" t="s">
        <v>3</v>
      </c>
      <c r="N226">
        <v>0</v>
      </c>
      <c r="P226" t="s">
        <v>365</v>
      </c>
    </row>
    <row r="227" spans="1:40" x14ac:dyDescent="0.2">
      <c r="A227">
        <v>70</v>
      </c>
      <c r="B227">
        <v>1</v>
      </c>
      <c r="D227">
        <v>5</v>
      </c>
      <c r="E227" t="s">
        <v>366</v>
      </c>
      <c r="F227" t="s">
        <v>367</v>
      </c>
      <c r="G227">
        <v>7</v>
      </c>
      <c r="H227">
        <v>0</v>
      </c>
      <c r="I227" t="s">
        <v>3</v>
      </c>
      <c r="J227">
        <v>0</v>
      </c>
      <c r="K227">
        <v>0</v>
      </c>
      <c r="L227" t="s">
        <v>3</v>
      </c>
      <c r="M227" t="s">
        <v>3</v>
      </c>
      <c r="N227">
        <v>0</v>
      </c>
      <c r="P227" t="s">
        <v>3</v>
      </c>
    </row>
    <row r="228" spans="1:40" x14ac:dyDescent="0.2">
      <c r="A228">
        <v>70</v>
      </c>
      <c r="B228">
        <v>1</v>
      </c>
      <c r="D228">
        <v>6</v>
      </c>
      <c r="E228" t="s">
        <v>368</v>
      </c>
      <c r="F228" t="s">
        <v>3</v>
      </c>
      <c r="G228">
        <v>2</v>
      </c>
      <c r="H228">
        <v>0</v>
      </c>
      <c r="I228" t="s">
        <v>3</v>
      </c>
      <c r="J228">
        <v>0</v>
      </c>
      <c r="K228">
        <v>0</v>
      </c>
      <c r="L228" t="s">
        <v>3</v>
      </c>
      <c r="M228" t="s">
        <v>3</v>
      </c>
      <c r="N228">
        <v>0</v>
      </c>
      <c r="P228" t="s">
        <v>3</v>
      </c>
    </row>
    <row r="230" spans="1:40" x14ac:dyDescent="0.2">
      <c r="A230">
        <v>-1</v>
      </c>
    </row>
    <row r="232" spans="1:40" x14ac:dyDescent="0.2">
      <c r="A232" s="3">
        <v>75</v>
      </c>
      <c r="B232" s="3" t="s">
        <v>369</v>
      </c>
      <c r="C232" s="3">
        <v>2024</v>
      </c>
      <c r="D232" s="3">
        <v>1</v>
      </c>
      <c r="E232" s="3">
        <v>0</v>
      </c>
      <c r="F232" s="3">
        <v>0</v>
      </c>
      <c r="G232" s="3">
        <v>0</v>
      </c>
      <c r="H232" s="3">
        <v>1</v>
      </c>
      <c r="I232" s="3">
        <v>0</v>
      </c>
      <c r="J232" s="3">
        <v>4</v>
      </c>
      <c r="K232" s="3">
        <v>0</v>
      </c>
      <c r="L232" s="3">
        <v>0</v>
      </c>
      <c r="M232" s="3">
        <v>0</v>
      </c>
      <c r="N232" s="3">
        <v>145262827</v>
      </c>
      <c r="O232" s="3">
        <v>1</v>
      </c>
    </row>
    <row r="233" spans="1:40" x14ac:dyDescent="0.2">
      <c r="A233" s="6">
        <v>3</v>
      </c>
      <c r="B233" s="6" t="s">
        <v>370</v>
      </c>
      <c r="C233" s="6">
        <v>11.52</v>
      </c>
      <c r="D233" s="6">
        <v>8.48</v>
      </c>
      <c r="E233" s="6">
        <v>11.52</v>
      </c>
      <c r="F233" s="6">
        <v>29.33</v>
      </c>
      <c r="G233" s="6">
        <v>29.33</v>
      </c>
      <c r="H233" s="6">
        <v>6.12</v>
      </c>
      <c r="I233" s="6">
        <v>15.12</v>
      </c>
      <c r="J233" s="6">
        <v>2</v>
      </c>
      <c r="K233" s="6">
        <v>29.33</v>
      </c>
      <c r="L233" s="6">
        <v>11.52</v>
      </c>
      <c r="M233" s="6">
        <v>11.52</v>
      </c>
      <c r="N233" s="6">
        <v>8.48</v>
      </c>
      <c r="O233" s="6">
        <v>6.12</v>
      </c>
      <c r="P233" s="6">
        <v>15.12</v>
      </c>
      <c r="Q233" s="6">
        <v>29.33</v>
      </c>
      <c r="R233" s="6">
        <v>11.52</v>
      </c>
      <c r="S233" s="6" t="s">
        <v>3</v>
      </c>
      <c r="T233" s="6" t="s">
        <v>3</v>
      </c>
      <c r="U233" s="6" t="s">
        <v>3</v>
      </c>
      <c r="V233" s="6" t="s">
        <v>3</v>
      </c>
      <c r="W233" s="6" t="s">
        <v>3</v>
      </c>
      <c r="X233" s="6" t="s">
        <v>3</v>
      </c>
      <c r="Y233" s="6" t="s">
        <v>3</v>
      </c>
      <c r="Z233" s="6" t="s">
        <v>3</v>
      </c>
      <c r="AA233" s="6" t="s">
        <v>3</v>
      </c>
      <c r="AB233" s="6" t="s">
        <v>3</v>
      </c>
      <c r="AC233" s="6" t="s">
        <v>3</v>
      </c>
      <c r="AD233" s="6" t="s">
        <v>3</v>
      </c>
      <c r="AE233" s="6" t="s">
        <v>3</v>
      </c>
      <c r="AF233" s="6" t="s">
        <v>3</v>
      </c>
      <c r="AG233" s="6" t="s">
        <v>3</v>
      </c>
      <c r="AH233" s="6" t="s">
        <v>3</v>
      </c>
      <c r="AI233" s="6"/>
      <c r="AJ233" s="6"/>
      <c r="AK233" s="6"/>
      <c r="AL233" s="6"/>
      <c r="AM233" s="6"/>
      <c r="AN233" s="6">
        <v>145262828</v>
      </c>
    </row>
    <row r="237" spans="1:40" x14ac:dyDescent="0.2">
      <c r="A237">
        <v>65</v>
      </c>
      <c r="C237">
        <v>1</v>
      </c>
      <c r="D237">
        <v>0</v>
      </c>
      <c r="E237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54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371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0</v>
      </c>
      <c r="L1">
        <v>31883</v>
      </c>
      <c r="M1">
        <v>18266318</v>
      </c>
      <c r="N1">
        <v>11</v>
      </c>
      <c r="O1">
        <v>6</v>
      </c>
      <c r="P1">
        <v>5</v>
      </c>
      <c r="Q1">
        <v>6</v>
      </c>
    </row>
    <row r="4" spans="1:133" x14ac:dyDescent="0.2">
      <c r="A4" s="1">
        <v>8</v>
      </c>
      <c r="B4" s="1">
        <v>1</v>
      </c>
      <c r="C4" s="1">
        <v>-1</v>
      </c>
      <c r="D4" s="1"/>
      <c r="E4" s="1"/>
      <c r="F4" s="1"/>
      <c r="G4" s="1" t="s">
        <v>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>
        <v>0</v>
      </c>
    </row>
    <row r="12" spans="1:133" x14ac:dyDescent="0.2">
      <c r="A12" s="1">
        <v>1</v>
      </c>
      <c r="B12" s="1">
        <v>53</v>
      </c>
      <c r="C12" s="1">
        <v>0</v>
      </c>
      <c r="D12" s="1"/>
      <c r="E12" s="1">
        <v>0</v>
      </c>
      <c r="F12" s="1" t="s">
        <v>3</v>
      </c>
      <c r="G12" s="1" t="s">
        <v>5</v>
      </c>
      <c r="H12" s="1" t="s">
        <v>3</v>
      </c>
      <c r="I12" s="1">
        <v>0</v>
      </c>
      <c r="J12" s="1" t="s">
        <v>6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7</v>
      </c>
      <c r="AC12" s="1" t="s">
        <v>3</v>
      </c>
      <c r="AD12" s="1" t="s">
        <v>8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9</v>
      </c>
      <c r="BI12" s="1" t="s">
        <v>10</v>
      </c>
      <c r="BJ12" s="1">
        <v>0</v>
      </c>
      <c r="BK12" s="1">
        <v>0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0</v>
      </c>
      <c r="BT12" s="1">
        <v>0</v>
      </c>
      <c r="BU12" s="1">
        <v>0</v>
      </c>
      <c r="BV12" s="1">
        <v>1</v>
      </c>
      <c r="BW12" s="1">
        <v>1</v>
      </c>
      <c r="BX12" s="1">
        <v>0</v>
      </c>
      <c r="BY12" s="1" t="s">
        <v>11</v>
      </c>
      <c r="BZ12" s="1" t="s">
        <v>12</v>
      </c>
      <c r="CA12" s="1" t="s">
        <v>13</v>
      </c>
      <c r="CB12" s="1" t="s">
        <v>13</v>
      </c>
      <c r="CC12" s="1" t="s">
        <v>13</v>
      </c>
      <c r="CD12" s="1" t="s">
        <v>13</v>
      </c>
      <c r="CE12" s="1" t="s">
        <v>14</v>
      </c>
      <c r="CF12" s="1">
        <v>0</v>
      </c>
      <c r="CG12" s="1">
        <v>0</v>
      </c>
      <c r="CH12" s="1">
        <v>17301512</v>
      </c>
      <c r="CI12" s="1" t="s">
        <v>3</v>
      </c>
      <c r="CJ12" s="1" t="s">
        <v>3</v>
      </c>
      <c r="CK12" s="1">
        <v>9</v>
      </c>
      <c r="CL12" s="1"/>
      <c r="CM12" s="1"/>
      <c r="CN12" s="1"/>
      <c r="CO12" s="1"/>
      <c r="CP12" s="1"/>
      <c r="CQ12" s="1" t="s">
        <v>596</v>
      </c>
      <c r="CR12" s="1" t="s">
        <v>15</v>
      </c>
      <c r="CS12" s="1">
        <v>44551</v>
      </c>
      <c r="CT12" s="1">
        <v>395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1</v>
      </c>
      <c r="C14" s="1">
        <v>0</v>
      </c>
      <c r="D14" s="1">
        <v>145262827</v>
      </c>
      <c r="E14" s="1">
        <v>0</v>
      </c>
      <c r="F14" s="1">
        <v>2</v>
      </c>
      <c r="G14" s="1">
        <v>1</v>
      </c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7">
        <v>3</v>
      </c>
      <c r="B16" s="7">
        <v>0</v>
      </c>
      <c r="C16" s="7" t="s">
        <v>16</v>
      </c>
      <c r="D16" s="7" t="s">
        <v>17</v>
      </c>
      <c r="E16" s="8">
        <f>ROUND((Source!F157)/1000,2)</f>
        <v>16843.71</v>
      </c>
      <c r="F16" s="8">
        <f>ROUND((Source!F158)/1000,2)</f>
        <v>1783.04</v>
      </c>
      <c r="G16" s="8">
        <f>ROUND((Source!F149)/1000,2)</f>
        <v>0</v>
      </c>
      <c r="H16" s="8">
        <f>ROUND((Source!F159)/1000+(Source!F160)/1000,2)</f>
        <v>0</v>
      </c>
      <c r="I16" s="8">
        <f>E16+F16+G16+H16</f>
        <v>18626.75</v>
      </c>
      <c r="J16" s="8">
        <f>ROUND((Source!F155+Source!F154)/1000,2)</f>
        <v>2322.9299999999998</v>
      </c>
      <c r="AI16" s="7">
        <v>0</v>
      </c>
      <c r="AJ16" s="7">
        <v>-1</v>
      </c>
      <c r="AK16" s="7" t="s">
        <v>3</v>
      </c>
      <c r="AL16" s="7" t="s">
        <v>3</v>
      </c>
      <c r="AM16" s="7" t="s">
        <v>3</v>
      </c>
      <c r="AN16" s="7">
        <v>0</v>
      </c>
      <c r="AO16" s="7" t="s">
        <v>3</v>
      </c>
      <c r="AP16" s="7" t="s">
        <v>3</v>
      </c>
      <c r="AT16" s="8">
        <v>14865091.16</v>
      </c>
      <c r="AU16" s="8">
        <v>11482602.91</v>
      </c>
      <c r="AV16" s="8">
        <v>0</v>
      </c>
      <c r="AW16" s="8">
        <v>0</v>
      </c>
      <c r="AX16" s="8">
        <v>0</v>
      </c>
      <c r="AY16" s="8">
        <v>1368347.77</v>
      </c>
      <c r="AZ16" s="8">
        <v>308793.34999999998</v>
      </c>
      <c r="BA16" s="8">
        <v>2014140.48</v>
      </c>
      <c r="BB16" s="8">
        <v>16843714.289999999</v>
      </c>
      <c r="BC16" s="8">
        <v>1783039.15</v>
      </c>
      <c r="BD16" s="8">
        <v>0</v>
      </c>
      <c r="BE16" s="8">
        <v>0</v>
      </c>
      <c r="BF16" s="8">
        <v>7630.8687987000003</v>
      </c>
      <c r="BG16" s="8">
        <v>821.78897124999992</v>
      </c>
      <c r="BH16" s="8">
        <v>0</v>
      </c>
      <c r="BI16" s="8">
        <v>2249208.3199999998</v>
      </c>
      <c r="BJ16" s="8">
        <v>1333694.3600000001</v>
      </c>
      <c r="BK16" s="8">
        <v>18626753.440000001</v>
      </c>
    </row>
    <row r="18" spans="1:19" x14ac:dyDescent="0.2">
      <c r="A18">
        <v>51</v>
      </c>
      <c r="E18" s="5">
        <f>SUMIF(A16:A17,3,E16:E17)</f>
        <v>16843.71</v>
      </c>
      <c r="F18" s="5">
        <f>SUMIF(A16:A17,3,F16:F17)</f>
        <v>1783.04</v>
      </c>
      <c r="G18" s="5">
        <f>SUMIF(A16:A17,3,G16:G17)</f>
        <v>0</v>
      </c>
      <c r="H18" s="5">
        <f>SUMIF(A16:A17,3,H16:H17)</f>
        <v>0</v>
      </c>
      <c r="I18" s="5">
        <f>SUMIF(A16:A17,3,I16:I17)</f>
        <v>18626.75</v>
      </c>
      <c r="J18" s="5">
        <f>SUMIF(A16:A17,3,J16:J17)</f>
        <v>2322.9299999999998</v>
      </c>
      <c r="K18" s="5"/>
      <c r="L18" s="5"/>
      <c r="M18" s="5"/>
      <c r="N18" s="5"/>
      <c r="O18" s="5"/>
      <c r="P18" s="5"/>
      <c r="Q18" s="5"/>
      <c r="R18" s="5"/>
      <c r="S18" s="5"/>
    </row>
    <row r="20" spans="1:19" x14ac:dyDescent="0.2">
      <c r="A20" s="4">
        <v>50</v>
      </c>
      <c r="B20" s="4">
        <f>IF(SourceObSm!F20&lt;&gt;0,1,0)</f>
        <v>1</v>
      </c>
      <c r="C20" s="4">
        <v>0</v>
      </c>
      <c r="D20" s="4">
        <v>1</v>
      </c>
      <c r="E20" s="4">
        <v>201</v>
      </c>
      <c r="F20" s="4">
        <v>14865091.16</v>
      </c>
      <c r="G20" s="4" t="s">
        <v>89</v>
      </c>
      <c r="H20" s="4" t="s">
        <v>90</v>
      </c>
      <c r="I20" s="4"/>
      <c r="J20" s="4"/>
      <c r="K20" s="4">
        <v>201</v>
      </c>
      <c r="L20" s="4">
        <v>1</v>
      </c>
      <c r="M20" s="4">
        <v>1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f>IF(SourceObSm!F21&lt;&gt;0,1,0)</f>
        <v>1</v>
      </c>
      <c r="C21" s="4">
        <v>0</v>
      </c>
      <c r="D21" s="4">
        <v>1</v>
      </c>
      <c r="E21" s="4">
        <v>202</v>
      </c>
      <c r="F21" s="4">
        <v>11482602.91</v>
      </c>
      <c r="G21" s="4" t="s">
        <v>91</v>
      </c>
      <c r="H21" s="4" t="s">
        <v>92</v>
      </c>
      <c r="I21" s="4"/>
      <c r="J21" s="4"/>
      <c r="K21" s="4">
        <v>202</v>
      </c>
      <c r="L21" s="4">
        <v>2</v>
      </c>
      <c r="M21" s="4">
        <v>1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93</v>
      </c>
      <c r="H22" s="4" t="s">
        <v>94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11482602.91</v>
      </c>
      <c r="G23" s="4" t="s">
        <v>95</v>
      </c>
      <c r="H23" s="4" t="s">
        <v>96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f>IF(SourceObSm!F24&lt;&gt;0,1,0)</f>
        <v>1</v>
      </c>
      <c r="C24" s="4">
        <v>0</v>
      </c>
      <c r="D24" s="4">
        <v>1</v>
      </c>
      <c r="E24" s="4">
        <v>226</v>
      </c>
      <c r="F24" s="4">
        <v>11482602.91</v>
      </c>
      <c r="G24" s="4" t="s">
        <v>97</v>
      </c>
      <c r="H24" s="4" t="s">
        <v>98</v>
      </c>
      <c r="I24" s="4"/>
      <c r="J24" s="4"/>
      <c r="K24" s="4">
        <v>226</v>
      </c>
      <c r="L24" s="4">
        <v>5</v>
      </c>
      <c r="M24" s="4">
        <v>1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99</v>
      </c>
      <c r="H25" s="4" t="s">
        <v>100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11482602.91</v>
      </c>
      <c r="G26" s="4" t="s">
        <v>101</v>
      </c>
      <c r="H26" s="4" t="s">
        <v>102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f>IF(SourceObSm!F27&lt;&gt;0,1,0)</f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103</v>
      </c>
      <c r="H27" s="4" t="s">
        <v>104</v>
      </c>
      <c r="I27" s="4"/>
      <c r="J27" s="4"/>
      <c r="K27" s="4">
        <v>216</v>
      </c>
      <c r="L27" s="4">
        <v>8</v>
      </c>
      <c r="M27" s="4">
        <v>1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105</v>
      </c>
      <c r="H28" s="4" t="s">
        <v>106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107</v>
      </c>
      <c r="H29" s="4" t="s">
        <v>108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f>IF(SourceObSm!F30&lt;&gt;0,1,0)</f>
        <v>1</v>
      </c>
      <c r="C30" s="4">
        <v>0</v>
      </c>
      <c r="D30" s="4">
        <v>1</v>
      </c>
      <c r="E30" s="4">
        <v>203</v>
      </c>
      <c r="F30" s="4">
        <v>1368347.77</v>
      </c>
      <c r="G30" s="4" t="s">
        <v>109</v>
      </c>
      <c r="H30" s="4" t="s">
        <v>110</v>
      </c>
      <c r="I30" s="4"/>
      <c r="J30" s="4"/>
      <c r="K30" s="4">
        <v>203</v>
      </c>
      <c r="L30" s="4">
        <v>11</v>
      </c>
      <c r="M30" s="4">
        <v>1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111</v>
      </c>
      <c r="H31" s="4" t="s">
        <v>112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f>IF(SourceObSm!F32&lt;&gt;0,1,0)</f>
        <v>1</v>
      </c>
      <c r="C32" s="4">
        <v>0</v>
      </c>
      <c r="D32" s="4">
        <v>1</v>
      </c>
      <c r="E32" s="4">
        <v>204</v>
      </c>
      <c r="F32" s="4">
        <v>308793.34999999998</v>
      </c>
      <c r="G32" s="4" t="s">
        <v>113</v>
      </c>
      <c r="H32" s="4" t="s">
        <v>114</v>
      </c>
      <c r="I32" s="4"/>
      <c r="J32" s="4"/>
      <c r="K32" s="4">
        <v>204</v>
      </c>
      <c r="L32" s="4">
        <v>13</v>
      </c>
      <c r="M32" s="4">
        <v>1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f>IF(SourceObSm!F33&lt;&gt;0,1,0)</f>
        <v>1</v>
      </c>
      <c r="C33" s="4">
        <v>0</v>
      </c>
      <c r="D33" s="4">
        <v>1</v>
      </c>
      <c r="E33" s="4">
        <v>205</v>
      </c>
      <c r="F33" s="4">
        <v>2014140.48</v>
      </c>
      <c r="G33" s="4" t="s">
        <v>115</v>
      </c>
      <c r="H33" s="4" t="s">
        <v>116</v>
      </c>
      <c r="I33" s="4"/>
      <c r="J33" s="4"/>
      <c r="K33" s="4">
        <v>205</v>
      </c>
      <c r="L33" s="4">
        <v>14</v>
      </c>
      <c r="M33" s="4">
        <v>1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117</v>
      </c>
      <c r="H34" s="4" t="s">
        <v>118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f>IF(SourceObSm!F35&lt;&gt;0,1,0)</f>
        <v>1</v>
      </c>
      <c r="C35" s="4">
        <v>0</v>
      </c>
      <c r="D35" s="4">
        <v>1</v>
      </c>
      <c r="E35" s="4">
        <v>214</v>
      </c>
      <c r="F35" s="4">
        <v>16843714.289999999</v>
      </c>
      <c r="G35" s="4" t="s">
        <v>119</v>
      </c>
      <c r="H35" s="4" t="s">
        <v>120</v>
      </c>
      <c r="I35" s="4"/>
      <c r="J35" s="4"/>
      <c r="K35" s="4">
        <v>214</v>
      </c>
      <c r="L35" s="4">
        <v>16</v>
      </c>
      <c r="M35" s="4">
        <v>1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f>IF(SourceObSm!F36&lt;&gt;0,1,0)</f>
        <v>1</v>
      </c>
      <c r="C36" s="4">
        <v>0</v>
      </c>
      <c r="D36" s="4">
        <v>1</v>
      </c>
      <c r="E36" s="4">
        <v>215</v>
      </c>
      <c r="F36" s="4">
        <v>1783039.15</v>
      </c>
      <c r="G36" s="4" t="s">
        <v>121</v>
      </c>
      <c r="H36" s="4" t="s">
        <v>122</v>
      </c>
      <c r="I36" s="4"/>
      <c r="J36" s="4"/>
      <c r="K36" s="4">
        <v>215</v>
      </c>
      <c r="L36" s="4">
        <v>17</v>
      </c>
      <c r="M36" s="4">
        <v>1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f>IF(SourceObSm!F37&lt;&gt;0,1,0)</f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123</v>
      </c>
      <c r="H37" s="4" t="s">
        <v>124</v>
      </c>
      <c r="I37" s="4"/>
      <c r="J37" s="4"/>
      <c r="K37" s="4">
        <v>217</v>
      </c>
      <c r="L37" s="4">
        <v>18</v>
      </c>
      <c r="M37" s="4">
        <v>1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125</v>
      </c>
      <c r="H38" s="4" t="s">
        <v>126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f>IF(SourceObSm!F39&lt;&gt;0,1,0)</f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127</v>
      </c>
      <c r="H39" s="4" t="s">
        <v>128</v>
      </c>
      <c r="I39" s="4"/>
      <c r="J39" s="4"/>
      <c r="K39" s="4">
        <v>206</v>
      </c>
      <c r="L39" s="4">
        <v>20</v>
      </c>
      <c r="M39" s="4">
        <v>1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f>IF(SourceObSm!F40&lt;&gt;0,1,0)</f>
        <v>1</v>
      </c>
      <c r="C40" s="4">
        <v>0</v>
      </c>
      <c r="D40" s="4">
        <v>1</v>
      </c>
      <c r="E40" s="4">
        <v>207</v>
      </c>
      <c r="F40" s="4">
        <v>7630.8687987000003</v>
      </c>
      <c r="G40" s="4" t="s">
        <v>129</v>
      </c>
      <c r="H40" s="4" t="s">
        <v>130</v>
      </c>
      <c r="I40" s="4"/>
      <c r="J40" s="4"/>
      <c r="K40" s="4">
        <v>207</v>
      </c>
      <c r="L40" s="4">
        <v>21</v>
      </c>
      <c r="M40" s="4">
        <v>1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f>IF(SourceObSm!F41&lt;&gt;0,1,0)</f>
        <v>1</v>
      </c>
      <c r="C41" s="4">
        <v>0</v>
      </c>
      <c r="D41" s="4">
        <v>1</v>
      </c>
      <c r="E41" s="4">
        <v>208</v>
      </c>
      <c r="F41" s="4">
        <v>821.78897124999992</v>
      </c>
      <c r="G41" s="4" t="s">
        <v>131</v>
      </c>
      <c r="H41" s="4" t="s">
        <v>132</v>
      </c>
      <c r="I41" s="4"/>
      <c r="J41" s="4"/>
      <c r="K41" s="4">
        <v>208</v>
      </c>
      <c r="L41" s="4">
        <v>22</v>
      </c>
      <c r="M41" s="4">
        <v>1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f>IF(SourceObSm!F42&lt;&gt;0,1,0)</f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133</v>
      </c>
      <c r="H42" s="4" t="s">
        <v>134</v>
      </c>
      <c r="I42" s="4"/>
      <c r="J42" s="4"/>
      <c r="K42" s="4">
        <v>209</v>
      </c>
      <c r="L42" s="4">
        <v>23</v>
      </c>
      <c r="M42" s="4">
        <v>1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178759.6</v>
      </c>
      <c r="G43" s="4" t="s">
        <v>135</v>
      </c>
      <c r="H43" s="4" t="s">
        <v>136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f>IF(SourceObSm!F44&lt;&gt;0,1,0)</f>
        <v>1</v>
      </c>
      <c r="C44" s="4">
        <v>0</v>
      </c>
      <c r="D44" s="4">
        <v>1</v>
      </c>
      <c r="E44" s="4">
        <v>210</v>
      </c>
      <c r="F44" s="4">
        <v>2249208.3199999998</v>
      </c>
      <c r="G44" s="4" t="s">
        <v>137</v>
      </c>
      <c r="H44" s="4" t="s">
        <v>138</v>
      </c>
      <c r="I44" s="4"/>
      <c r="J44" s="4"/>
      <c r="K44" s="4">
        <v>210</v>
      </c>
      <c r="L44" s="4">
        <v>25</v>
      </c>
      <c r="M44" s="4">
        <v>1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f>IF(SourceObSm!F45&lt;&gt;0,1,0)</f>
        <v>1</v>
      </c>
      <c r="C45" s="4">
        <v>0</v>
      </c>
      <c r="D45" s="4">
        <v>1</v>
      </c>
      <c r="E45" s="4">
        <v>211</v>
      </c>
      <c r="F45" s="4">
        <v>1333694.3600000001</v>
      </c>
      <c r="G45" s="4" t="s">
        <v>139</v>
      </c>
      <c r="H45" s="4" t="s">
        <v>140</v>
      </c>
      <c r="I45" s="4"/>
      <c r="J45" s="4"/>
      <c r="K45" s="4">
        <v>211</v>
      </c>
      <c r="L45" s="4">
        <v>26</v>
      </c>
      <c r="M45" s="4">
        <v>1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f>IF(SourceObSm!F46&lt;&gt;0,1,0)</f>
        <v>1</v>
      </c>
      <c r="C46" s="4">
        <v>0</v>
      </c>
      <c r="D46" s="4">
        <v>1</v>
      </c>
      <c r="E46" s="4">
        <v>224</v>
      </c>
      <c r="F46" s="4">
        <v>18626753.440000001</v>
      </c>
      <c r="G46" s="4" t="s">
        <v>141</v>
      </c>
      <c r="H46" s="4" t="s">
        <v>142</v>
      </c>
      <c r="I46" s="4"/>
      <c r="J46" s="4"/>
      <c r="K46" s="4">
        <v>224</v>
      </c>
      <c r="L46" s="4">
        <v>27</v>
      </c>
      <c r="M46" s="4">
        <v>1</v>
      </c>
      <c r="N46" s="4" t="s">
        <v>3</v>
      </c>
      <c r="O46" s="4">
        <v>2</v>
      </c>
      <c r="P46" s="4"/>
    </row>
    <row r="47" spans="1:16" x14ac:dyDescent="0.2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3725350.69</v>
      </c>
      <c r="G47" s="4" t="s">
        <v>298</v>
      </c>
      <c r="H47" s="4" t="s">
        <v>299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 x14ac:dyDescent="0.2">
      <c r="A48" s="4">
        <v>50</v>
      </c>
      <c r="B48" s="4">
        <v>1</v>
      </c>
      <c r="C48" s="4">
        <v>0</v>
      </c>
      <c r="D48" s="4">
        <v>2</v>
      </c>
      <c r="E48" s="4">
        <v>0</v>
      </c>
      <c r="F48" s="4">
        <v>22352104.129999999</v>
      </c>
      <c r="G48" s="4" t="s">
        <v>300</v>
      </c>
      <c r="H48" s="4" t="s">
        <v>301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 x14ac:dyDescent="0.2">
      <c r="A50">
        <v>-1</v>
      </c>
    </row>
    <row r="53" spans="1:40" x14ac:dyDescent="0.2">
      <c r="A53" s="3">
        <v>75</v>
      </c>
      <c r="B53" s="3" t="s">
        <v>369</v>
      </c>
      <c r="C53" s="3">
        <v>2024</v>
      </c>
      <c r="D53" s="3">
        <v>1</v>
      </c>
      <c r="E53" s="3">
        <v>0</v>
      </c>
      <c r="F53" s="3">
        <v>0</v>
      </c>
      <c r="G53" s="3">
        <v>0</v>
      </c>
      <c r="H53" s="3">
        <v>1</v>
      </c>
      <c r="I53" s="3">
        <v>0</v>
      </c>
      <c r="J53" s="3">
        <v>4</v>
      </c>
      <c r="K53" s="3">
        <v>0</v>
      </c>
      <c r="L53" s="3">
        <v>0</v>
      </c>
      <c r="M53" s="3">
        <v>0</v>
      </c>
      <c r="N53" s="3">
        <v>145262827</v>
      </c>
      <c r="O53" s="3">
        <v>1</v>
      </c>
    </row>
    <row r="54" spans="1:40" x14ac:dyDescent="0.2">
      <c r="A54" s="6">
        <v>3</v>
      </c>
      <c r="B54" s="6" t="s">
        <v>370</v>
      </c>
      <c r="C54" s="6">
        <v>11.52</v>
      </c>
      <c r="D54" s="6">
        <v>8.48</v>
      </c>
      <c r="E54" s="6">
        <v>11.52</v>
      </c>
      <c r="F54" s="6">
        <v>29.33</v>
      </c>
      <c r="G54" s="6">
        <v>29.33</v>
      </c>
      <c r="H54" s="6">
        <v>6.12</v>
      </c>
      <c r="I54" s="6">
        <v>15.12</v>
      </c>
      <c r="J54" s="6">
        <v>2</v>
      </c>
      <c r="K54" s="6">
        <v>29.33</v>
      </c>
      <c r="L54" s="6">
        <v>11.52</v>
      </c>
      <c r="M54" s="6">
        <v>11.52</v>
      </c>
      <c r="N54" s="6">
        <v>8.48</v>
      </c>
      <c r="O54" s="6">
        <v>6.12</v>
      </c>
      <c r="P54" s="6">
        <v>15.12</v>
      </c>
      <c r="Q54" s="6">
        <v>29.33</v>
      </c>
      <c r="R54" s="6">
        <v>11.52</v>
      </c>
      <c r="S54" s="6" t="s">
        <v>3</v>
      </c>
      <c r="T54" s="6" t="s">
        <v>3</v>
      </c>
      <c r="U54" s="6" t="s">
        <v>3</v>
      </c>
      <c r="V54" s="6" t="s">
        <v>3</v>
      </c>
      <c r="W54" s="6" t="s">
        <v>3</v>
      </c>
      <c r="X54" s="6" t="s">
        <v>3</v>
      </c>
      <c r="Y54" s="6" t="s">
        <v>3</v>
      </c>
      <c r="Z54" s="6" t="s">
        <v>3</v>
      </c>
      <c r="AA54" s="6" t="s">
        <v>3</v>
      </c>
      <c r="AB54" s="6" t="s">
        <v>3</v>
      </c>
      <c r="AC54" s="6" t="s">
        <v>3</v>
      </c>
      <c r="AD54" s="6" t="s">
        <v>3</v>
      </c>
      <c r="AE54" s="6" t="s">
        <v>3</v>
      </c>
      <c r="AF54" s="6" t="s">
        <v>3</v>
      </c>
      <c r="AG54" s="6" t="s">
        <v>3</v>
      </c>
      <c r="AH54" s="6" t="s">
        <v>3</v>
      </c>
      <c r="AI54" s="6"/>
      <c r="AJ54" s="6"/>
      <c r="AK54" s="6"/>
      <c r="AL54" s="6"/>
      <c r="AM54" s="6"/>
      <c r="AN54" s="6">
        <v>145262828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O169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19" x14ac:dyDescent="0.2">
      <c r="A1">
        <f>ROW(Source!A28)</f>
        <v>28</v>
      </c>
      <c r="B1">
        <v>145262827</v>
      </c>
      <c r="C1">
        <v>145263005</v>
      </c>
      <c r="D1">
        <v>140759935</v>
      </c>
      <c r="E1">
        <v>70</v>
      </c>
      <c r="F1">
        <v>1</v>
      </c>
      <c r="G1">
        <v>1</v>
      </c>
      <c r="H1">
        <v>1</v>
      </c>
      <c r="I1" t="s">
        <v>372</v>
      </c>
      <c r="J1" t="s">
        <v>3</v>
      </c>
      <c r="K1" t="s">
        <v>373</v>
      </c>
      <c r="L1">
        <v>1191</v>
      </c>
      <c r="N1">
        <v>1013</v>
      </c>
      <c r="O1" t="s">
        <v>374</v>
      </c>
      <c r="P1" t="s">
        <v>374</v>
      </c>
      <c r="Q1">
        <v>1</v>
      </c>
      <c r="W1">
        <v>0</v>
      </c>
      <c r="X1">
        <v>2031828327</v>
      </c>
      <c r="Y1">
        <f>AT1</f>
        <v>14.38</v>
      </c>
      <c r="AA1">
        <v>0</v>
      </c>
      <c r="AB1">
        <v>0</v>
      </c>
      <c r="AC1">
        <v>0</v>
      </c>
      <c r="AD1">
        <v>228.77</v>
      </c>
      <c r="AE1">
        <v>0</v>
      </c>
      <c r="AF1">
        <v>0</v>
      </c>
      <c r="AG1">
        <v>0</v>
      </c>
      <c r="AH1">
        <v>7.8</v>
      </c>
      <c r="AI1">
        <v>1</v>
      </c>
      <c r="AJ1">
        <v>1</v>
      </c>
      <c r="AK1">
        <v>1</v>
      </c>
      <c r="AL1">
        <v>29.33</v>
      </c>
      <c r="AM1">
        <v>4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14.38</v>
      </c>
      <c r="AU1" t="s">
        <v>3</v>
      </c>
      <c r="AV1">
        <v>1</v>
      </c>
      <c r="AW1">
        <v>2</v>
      </c>
      <c r="AX1">
        <v>145263008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ROUND(Y1*Source!I28,9)</f>
        <v>639.62239999999997</v>
      </c>
      <c r="CY1">
        <f>AD1</f>
        <v>228.77</v>
      </c>
      <c r="CZ1">
        <f>AH1</f>
        <v>7.8</v>
      </c>
      <c r="DA1">
        <f>AL1</f>
        <v>29.33</v>
      </c>
      <c r="DB1">
        <f>ROUND(ROUND(AT1*CZ1,2),2)</f>
        <v>112.16</v>
      </c>
      <c r="DC1">
        <f>ROUND(ROUND(AT1*AG1,2),2)</f>
        <v>0</v>
      </c>
      <c r="DD1" t="s">
        <v>3</v>
      </c>
      <c r="DE1" t="s">
        <v>3</v>
      </c>
      <c r="DF1">
        <f t="shared" ref="DF1:DF7" si="0">ROUND(ROUND(AE1,2)*CX1,2)</f>
        <v>0</v>
      </c>
      <c r="DG1">
        <f>ROUND(ROUND(AF1,2)*CX1,2)</f>
        <v>0</v>
      </c>
      <c r="DH1">
        <f>ROUND(ROUND(AG1,2)*CX1,2)</f>
        <v>0</v>
      </c>
      <c r="DI1">
        <f>ROUND(ROUND(AH1*AL1,2)*CX1,2)</f>
        <v>146326.42000000001</v>
      </c>
      <c r="DJ1">
        <f>DI1</f>
        <v>146326.42000000001</v>
      </c>
      <c r="DK1">
        <v>0</v>
      </c>
      <c r="DL1" t="s">
        <v>3</v>
      </c>
      <c r="DM1">
        <v>0</v>
      </c>
      <c r="DN1" t="s">
        <v>3</v>
      </c>
      <c r="DO1">
        <v>0</v>
      </c>
    </row>
    <row r="2" spans="1:119" x14ac:dyDescent="0.2">
      <c r="A2">
        <f>ROW(Source!A28)</f>
        <v>28</v>
      </c>
      <c r="B2">
        <v>145262827</v>
      </c>
      <c r="C2">
        <v>145263005</v>
      </c>
      <c r="D2">
        <v>140923081</v>
      </c>
      <c r="E2">
        <v>1</v>
      </c>
      <c r="F2">
        <v>1</v>
      </c>
      <c r="G2">
        <v>1</v>
      </c>
      <c r="H2">
        <v>2</v>
      </c>
      <c r="I2" t="s">
        <v>375</v>
      </c>
      <c r="J2" t="s">
        <v>376</v>
      </c>
      <c r="K2" t="s">
        <v>377</v>
      </c>
      <c r="L2">
        <v>1367</v>
      </c>
      <c r="N2">
        <v>1011</v>
      </c>
      <c r="O2" t="s">
        <v>378</v>
      </c>
      <c r="P2" t="s">
        <v>378</v>
      </c>
      <c r="Q2">
        <v>1</v>
      </c>
      <c r="W2">
        <v>0</v>
      </c>
      <c r="X2">
        <v>-1424865896</v>
      </c>
      <c r="Y2">
        <f>AT2</f>
        <v>6.22</v>
      </c>
      <c r="AA2">
        <v>0</v>
      </c>
      <c r="AB2">
        <v>76.72</v>
      </c>
      <c r="AC2">
        <v>0</v>
      </c>
      <c r="AD2">
        <v>0</v>
      </c>
      <c r="AE2">
        <v>0</v>
      </c>
      <c r="AF2">
        <v>6.66</v>
      </c>
      <c r="AG2">
        <v>0</v>
      </c>
      <c r="AH2">
        <v>0</v>
      </c>
      <c r="AI2">
        <v>1</v>
      </c>
      <c r="AJ2">
        <v>11.52</v>
      </c>
      <c r="AK2">
        <v>29.33</v>
      </c>
      <c r="AL2">
        <v>1</v>
      </c>
      <c r="AM2">
        <v>4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6.22</v>
      </c>
      <c r="AU2" t="s">
        <v>3</v>
      </c>
      <c r="AV2">
        <v>0</v>
      </c>
      <c r="AW2">
        <v>2</v>
      </c>
      <c r="AX2">
        <v>145263009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ROUND(Y2*Source!I28,9)</f>
        <v>276.66559999999998</v>
      </c>
      <c r="CY2">
        <f>AB2</f>
        <v>76.72</v>
      </c>
      <c r="CZ2">
        <f>AF2</f>
        <v>6.66</v>
      </c>
      <c r="DA2">
        <f>AJ2</f>
        <v>11.52</v>
      </c>
      <c r="DB2">
        <f>ROUND(ROUND(AT2*CZ2,2),2)</f>
        <v>41.43</v>
      </c>
      <c r="DC2">
        <f>ROUND(ROUND(AT2*AG2,2),2)</f>
        <v>0</v>
      </c>
      <c r="DD2" t="s">
        <v>3</v>
      </c>
      <c r="DE2" t="s">
        <v>3</v>
      </c>
      <c r="DF2">
        <f t="shared" si="0"/>
        <v>0</v>
      </c>
      <c r="DG2">
        <f>ROUND(ROUND(AF2*AJ2,2)*CX2,2)</f>
        <v>21225.78</v>
      </c>
      <c r="DH2">
        <f>ROUND(ROUND(AG2*AK2,2)*CX2,2)</f>
        <v>0</v>
      </c>
      <c r="DI2">
        <f>ROUND(ROUND(AH2,2)*CX2,2)</f>
        <v>0</v>
      </c>
      <c r="DJ2">
        <f>DG2</f>
        <v>21225.78</v>
      </c>
      <c r="DK2">
        <v>0</v>
      </c>
      <c r="DL2" t="s">
        <v>3</v>
      </c>
      <c r="DM2">
        <v>0</v>
      </c>
      <c r="DN2" t="s">
        <v>3</v>
      </c>
      <c r="DO2">
        <v>0</v>
      </c>
    </row>
    <row r="3" spans="1:119" x14ac:dyDescent="0.2">
      <c r="A3">
        <f>ROW(Source!A29)</f>
        <v>29</v>
      </c>
      <c r="B3">
        <v>145262827</v>
      </c>
      <c r="C3">
        <v>145263010</v>
      </c>
      <c r="D3">
        <v>140760001</v>
      </c>
      <c r="E3">
        <v>70</v>
      </c>
      <c r="F3">
        <v>1</v>
      </c>
      <c r="G3">
        <v>1</v>
      </c>
      <c r="H3">
        <v>1</v>
      </c>
      <c r="I3" t="s">
        <v>379</v>
      </c>
      <c r="J3" t="s">
        <v>3</v>
      </c>
      <c r="K3" t="s">
        <v>380</v>
      </c>
      <c r="L3">
        <v>1191</v>
      </c>
      <c r="N3">
        <v>1013</v>
      </c>
      <c r="O3" t="s">
        <v>374</v>
      </c>
      <c r="P3" t="s">
        <v>374</v>
      </c>
      <c r="Q3">
        <v>1</v>
      </c>
      <c r="W3">
        <v>0</v>
      </c>
      <c r="X3">
        <v>1893946532</v>
      </c>
      <c r="Y3">
        <f>(AT3*0.8)</f>
        <v>164.8</v>
      </c>
      <c r="AA3">
        <v>0</v>
      </c>
      <c r="AB3">
        <v>0</v>
      </c>
      <c r="AC3">
        <v>0</v>
      </c>
      <c r="AD3">
        <v>266.02</v>
      </c>
      <c r="AE3">
        <v>0</v>
      </c>
      <c r="AF3">
        <v>0</v>
      </c>
      <c r="AG3">
        <v>0</v>
      </c>
      <c r="AH3">
        <v>9.07</v>
      </c>
      <c r="AI3">
        <v>1</v>
      </c>
      <c r="AJ3">
        <v>1</v>
      </c>
      <c r="AK3">
        <v>1</v>
      </c>
      <c r="AL3">
        <v>29.33</v>
      </c>
      <c r="AM3">
        <v>4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206</v>
      </c>
      <c r="AU3" t="s">
        <v>39</v>
      </c>
      <c r="AV3">
        <v>1</v>
      </c>
      <c r="AW3">
        <v>2</v>
      </c>
      <c r="AX3">
        <v>145263025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ROUND(Y3*Source!I29,9)</f>
        <v>593.28</v>
      </c>
      <c r="CY3">
        <f>AD3</f>
        <v>266.02</v>
      </c>
      <c r="CZ3">
        <f>AH3</f>
        <v>9.07</v>
      </c>
      <c r="DA3">
        <f>AL3</f>
        <v>29.33</v>
      </c>
      <c r="DB3">
        <f>ROUND((ROUND(AT3*CZ3,2)*0.8),2)</f>
        <v>1494.74</v>
      </c>
      <c r="DC3">
        <f>ROUND((ROUND(AT3*AG3,2)*0.8),2)</f>
        <v>0</v>
      </c>
      <c r="DD3" t="s">
        <v>3</v>
      </c>
      <c r="DE3" t="s">
        <v>3</v>
      </c>
      <c r="DF3">
        <f t="shared" si="0"/>
        <v>0</v>
      </c>
      <c r="DG3">
        <f>ROUND(ROUND(AF3,2)*CX3,2)</f>
        <v>0</v>
      </c>
      <c r="DH3">
        <f>ROUND(ROUND(AG3,2)*CX3,2)</f>
        <v>0</v>
      </c>
      <c r="DI3">
        <f>ROUND(ROUND(AH3*AL3,2)*CX3,2)</f>
        <v>157824.35</v>
      </c>
      <c r="DJ3">
        <f>DI3</f>
        <v>157824.35</v>
      </c>
      <c r="DK3">
        <v>0</v>
      </c>
      <c r="DL3" t="s">
        <v>3</v>
      </c>
      <c r="DM3">
        <v>0</v>
      </c>
      <c r="DN3" t="s">
        <v>3</v>
      </c>
      <c r="DO3">
        <v>0</v>
      </c>
    </row>
    <row r="4" spans="1:119" x14ac:dyDescent="0.2">
      <c r="A4">
        <f>ROW(Source!A29)</f>
        <v>29</v>
      </c>
      <c r="B4">
        <v>145262827</v>
      </c>
      <c r="C4">
        <v>145263010</v>
      </c>
      <c r="D4">
        <v>140760225</v>
      </c>
      <c r="E4">
        <v>70</v>
      </c>
      <c r="F4">
        <v>1</v>
      </c>
      <c r="G4">
        <v>1</v>
      </c>
      <c r="H4">
        <v>1</v>
      </c>
      <c r="I4" t="s">
        <v>381</v>
      </c>
      <c r="J4" t="s">
        <v>3</v>
      </c>
      <c r="K4" t="s">
        <v>382</v>
      </c>
      <c r="L4">
        <v>1191</v>
      </c>
      <c r="N4">
        <v>1013</v>
      </c>
      <c r="O4" t="s">
        <v>374</v>
      </c>
      <c r="P4" t="s">
        <v>374</v>
      </c>
      <c r="Q4">
        <v>1</v>
      </c>
      <c r="W4">
        <v>0</v>
      </c>
      <c r="X4">
        <v>-1417349443</v>
      </c>
      <c r="Y4">
        <f>(AT4*0.8)</f>
        <v>60.391999999999996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1</v>
      </c>
      <c r="AK4">
        <v>29.33</v>
      </c>
      <c r="AL4">
        <v>1</v>
      </c>
      <c r="AM4">
        <v>4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75.489999999999995</v>
      </c>
      <c r="AU4" t="s">
        <v>39</v>
      </c>
      <c r="AV4">
        <v>2</v>
      </c>
      <c r="AW4">
        <v>2</v>
      </c>
      <c r="AX4">
        <v>145263026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ROUND(Y4*Source!I29,9)</f>
        <v>217.41120000000001</v>
      </c>
      <c r="CY4">
        <f>AD4</f>
        <v>0</v>
      </c>
      <c r="CZ4">
        <f>AH4</f>
        <v>0</v>
      </c>
      <c r="DA4">
        <f>AL4</f>
        <v>1</v>
      </c>
      <c r="DB4">
        <f>ROUND((ROUND(AT4*CZ4,2)*0.8),2)</f>
        <v>0</v>
      </c>
      <c r="DC4">
        <f>ROUND((ROUND(AT4*AG4,2)*0.8),2)</f>
        <v>0</v>
      </c>
      <c r="DD4" t="s">
        <v>3</v>
      </c>
      <c r="DE4" t="s">
        <v>3</v>
      </c>
      <c r="DF4">
        <f t="shared" si="0"/>
        <v>0</v>
      </c>
      <c r="DG4">
        <f>ROUND(ROUND(AF4,2)*CX4,2)</f>
        <v>0</v>
      </c>
      <c r="DH4">
        <f>ROUND(ROUND(AG4*AK4,2)*CX4,2)</f>
        <v>0</v>
      </c>
      <c r="DI4">
        <f t="shared" ref="DI4:DI16" si="1">ROUND(ROUND(AH4,2)*CX4,2)</f>
        <v>0</v>
      </c>
      <c r="DJ4">
        <f>DI4</f>
        <v>0</v>
      </c>
      <c r="DK4">
        <v>0</v>
      </c>
      <c r="DL4" t="s">
        <v>3</v>
      </c>
      <c r="DM4">
        <v>0</v>
      </c>
      <c r="DN4" t="s">
        <v>3</v>
      </c>
      <c r="DO4">
        <v>0</v>
      </c>
    </row>
    <row r="5" spans="1:119" x14ac:dyDescent="0.2">
      <c r="A5">
        <f>ROW(Source!A29)</f>
        <v>29</v>
      </c>
      <c r="B5">
        <v>145262827</v>
      </c>
      <c r="C5">
        <v>145263010</v>
      </c>
      <c r="D5">
        <v>140922959</v>
      </c>
      <c r="E5">
        <v>1</v>
      </c>
      <c r="F5">
        <v>1</v>
      </c>
      <c r="G5">
        <v>1</v>
      </c>
      <c r="H5">
        <v>2</v>
      </c>
      <c r="I5" t="s">
        <v>383</v>
      </c>
      <c r="J5" t="s">
        <v>384</v>
      </c>
      <c r="K5" t="s">
        <v>385</v>
      </c>
      <c r="L5">
        <v>1367</v>
      </c>
      <c r="N5">
        <v>1011</v>
      </c>
      <c r="O5" t="s">
        <v>378</v>
      </c>
      <c r="P5" t="s">
        <v>378</v>
      </c>
      <c r="Q5">
        <v>1</v>
      </c>
      <c r="W5">
        <v>0</v>
      </c>
      <c r="X5">
        <v>-1161184353</v>
      </c>
      <c r="Y5">
        <f>(AT5*0.8)</f>
        <v>29.768000000000001</v>
      </c>
      <c r="AA5">
        <v>0</v>
      </c>
      <c r="AB5">
        <v>3340.92</v>
      </c>
      <c r="AC5">
        <v>736.18</v>
      </c>
      <c r="AD5">
        <v>0</v>
      </c>
      <c r="AE5">
        <v>0</v>
      </c>
      <c r="AF5">
        <v>290.01</v>
      </c>
      <c r="AG5">
        <v>25.1</v>
      </c>
      <c r="AH5">
        <v>0</v>
      </c>
      <c r="AI5">
        <v>1</v>
      </c>
      <c r="AJ5">
        <v>11.52</v>
      </c>
      <c r="AK5">
        <v>29.33</v>
      </c>
      <c r="AL5">
        <v>1</v>
      </c>
      <c r="AM5">
        <v>4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37.21</v>
      </c>
      <c r="AU5" t="s">
        <v>39</v>
      </c>
      <c r="AV5">
        <v>0</v>
      </c>
      <c r="AW5">
        <v>2</v>
      </c>
      <c r="AX5">
        <v>145263027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ROUND(Y5*Source!I29,9)</f>
        <v>107.1648</v>
      </c>
      <c r="CY5">
        <f>AB5</f>
        <v>3340.92</v>
      </c>
      <c r="CZ5">
        <f>AF5</f>
        <v>290.01</v>
      </c>
      <c r="DA5">
        <f>AJ5</f>
        <v>11.52</v>
      </c>
      <c r="DB5">
        <f>ROUND((ROUND(AT5*CZ5,2)*0.8),2)</f>
        <v>8633.02</v>
      </c>
      <c r="DC5">
        <f>ROUND((ROUND(AT5*AG5,2)*0.8),2)</f>
        <v>747.18</v>
      </c>
      <c r="DD5" t="s">
        <v>3</v>
      </c>
      <c r="DE5" t="s">
        <v>3</v>
      </c>
      <c r="DF5">
        <f t="shared" si="0"/>
        <v>0</v>
      </c>
      <c r="DG5">
        <f>ROUND(ROUND(AF5*AJ5,2)*CX5,2)</f>
        <v>358029.02</v>
      </c>
      <c r="DH5">
        <f>ROUND(ROUND(AG5*AK5,2)*CX5,2)</f>
        <v>78892.58</v>
      </c>
      <c r="DI5">
        <f t="shared" si="1"/>
        <v>0</v>
      </c>
      <c r="DJ5">
        <f>DG5</f>
        <v>358029.02</v>
      </c>
      <c r="DK5">
        <v>0</v>
      </c>
      <c r="DL5" t="s">
        <v>3</v>
      </c>
      <c r="DM5">
        <v>0</v>
      </c>
      <c r="DN5" t="s">
        <v>3</v>
      </c>
      <c r="DO5">
        <v>0</v>
      </c>
    </row>
    <row r="6" spans="1:119" x14ac:dyDescent="0.2">
      <c r="A6">
        <f>ROW(Source!A29)</f>
        <v>29</v>
      </c>
      <c r="B6">
        <v>145262827</v>
      </c>
      <c r="C6">
        <v>145263010</v>
      </c>
      <c r="D6">
        <v>140923885</v>
      </c>
      <c r="E6">
        <v>1</v>
      </c>
      <c r="F6">
        <v>1</v>
      </c>
      <c r="G6">
        <v>1</v>
      </c>
      <c r="H6">
        <v>2</v>
      </c>
      <c r="I6" t="s">
        <v>386</v>
      </c>
      <c r="J6" t="s">
        <v>387</v>
      </c>
      <c r="K6" t="s">
        <v>388</v>
      </c>
      <c r="L6">
        <v>1367</v>
      </c>
      <c r="N6">
        <v>1011</v>
      </c>
      <c r="O6" t="s">
        <v>378</v>
      </c>
      <c r="P6" t="s">
        <v>378</v>
      </c>
      <c r="Q6">
        <v>1</v>
      </c>
      <c r="W6">
        <v>0</v>
      </c>
      <c r="X6">
        <v>509054691</v>
      </c>
      <c r="Y6">
        <f>(AT6*0.8)</f>
        <v>0.85600000000000009</v>
      </c>
      <c r="AA6">
        <v>0</v>
      </c>
      <c r="AB6">
        <v>756.98</v>
      </c>
      <c r="AC6">
        <v>340.23</v>
      </c>
      <c r="AD6">
        <v>0</v>
      </c>
      <c r="AE6">
        <v>0</v>
      </c>
      <c r="AF6">
        <v>65.709999999999994</v>
      </c>
      <c r="AG6">
        <v>11.6</v>
      </c>
      <c r="AH6">
        <v>0</v>
      </c>
      <c r="AI6">
        <v>1</v>
      </c>
      <c r="AJ6">
        <v>11.52</v>
      </c>
      <c r="AK6">
        <v>29.33</v>
      </c>
      <c r="AL6">
        <v>1</v>
      </c>
      <c r="AM6">
        <v>4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</v>
      </c>
      <c r="AT6">
        <v>1.07</v>
      </c>
      <c r="AU6" t="s">
        <v>39</v>
      </c>
      <c r="AV6">
        <v>0</v>
      </c>
      <c r="AW6">
        <v>2</v>
      </c>
      <c r="AX6">
        <v>145263028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ROUND(Y6*Source!I29,9)</f>
        <v>3.0815999999999999</v>
      </c>
      <c r="CY6">
        <f>AB6</f>
        <v>756.98</v>
      </c>
      <c r="CZ6">
        <f>AF6</f>
        <v>65.709999999999994</v>
      </c>
      <c r="DA6">
        <f>AJ6</f>
        <v>11.52</v>
      </c>
      <c r="DB6">
        <f>ROUND((ROUND(AT6*CZ6,2)*0.8),2)</f>
        <v>56.25</v>
      </c>
      <c r="DC6">
        <f>ROUND((ROUND(AT6*AG6,2)*0.8),2)</f>
        <v>9.93</v>
      </c>
      <c r="DD6" t="s">
        <v>3</v>
      </c>
      <c r="DE6" t="s">
        <v>3</v>
      </c>
      <c r="DF6">
        <f t="shared" si="0"/>
        <v>0</v>
      </c>
      <c r="DG6">
        <f>ROUND(ROUND(AF6*AJ6,2)*CX6,2)</f>
        <v>2332.71</v>
      </c>
      <c r="DH6">
        <f>ROUND(ROUND(AG6*AK6,2)*CX6,2)</f>
        <v>1048.45</v>
      </c>
      <c r="DI6">
        <f t="shared" si="1"/>
        <v>0</v>
      </c>
      <c r="DJ6">
        <f>DG6</f>
        <v>2332.71</v>
      </c>
      <c r="DK6">
        <v>0</v>
      </c>
      <c r="DL6" t="s">
        <v>3</v>
      </c>
      <c r="DM6">
        <v>0</v>
      </c>
      <c r="DN6" t="s">
        <v>3</v>
      </c>
      <c r="DO6">
        <v>0</v>
      </c>
    </row>
    <row r="7" spans="1:119" x14ac:dyDescent="0.2">
      <c r="A7">
        <f>ROW(Source!A29)</f>
        <v>29</v>
      </c>
      <c r="B7">
        <v>145262827</v>
      </c>
      <c r="C7">
        <v>145263010</v>
      </c>
      <c r="D7">
        <v>140924098</v>
      </c>
      <c r="E7">
        <v>1</v>
      </c>
      <c r="F7">
        <v>1</v>
      </c>
      <c r="G7">
        <v>1</v>
      </c>
      <c r="H7">
        <v>2</v>
      </c>
      <c r="I7" t="s">
        <v>389</v>
      </c>
      <c r="J7" t="s">
        <v>390</v>
      </c>
      <c r="K7" t="s">
        <v>391</v>
      </c>
      <c r="L7">
        <v>1367</v>
      </c>
      <c r="N7">
        <v>1011</v>
      </c>
      <c r="O7" t="s">
        <v>378</v>
      </c>
      <c r="P7" t="s">
        <v>378</v>
      </c>
      <c r="Q7">
        <v>1</v>
      </c>
      <c r="W7">
        <v>0</v>
      </c>
      <c r="X7">
        <v>829370094</v>
      </c>
      <c r="Y7">
        <f>(AT7*0.8)</f>
        <v>8.4320000000000004</v>
      </c>
      <c r="AA7">
        <v>0</v>
      </c>
      <c r="AB7">
        <v>93.31</v>
      </c>
      <c r="AC7">
        <v>0</v>
      </c>
      <c r="AD7">
        <v>0</v>
      </c>
      <c r="AE7">
        <v>0</v>
      </c>
      <c r="AF7">
        <v>8.1</v>
      </c>
      <c r="AG7">
        <v>0</v>
      </c>
      <c r="AH7">
        <v>0</v>
      </c>
      <c r="AI7">
        <v>1</v>
      </c>
      <c r="AJ7">
        <v>11.52</v>
      </c>
      <c r="AK7">
        <v>29.33</v>
      </c>
      <c r="AL7">
        <v>1</v>
      </c>
      <c r="AM7">
        <v>4</v>
      </c>
      <c r="AN7">
        <v>0</v>
      </c>
      <c r="AO7">
        <v>1</v>
      </c>
      <c r="AP7">
        <v>1</v>
      </c>
      <c r="AQ7">
        <v>0</v>
      </c>
      <c r="AR7">
        <v>0</v>
      </c>
      <c r="AS7" t="s">
        <v>3</v>
      </c>
      <c r="AT7">
        <v>10.54</v>
      </c>
      <c r="AU7" t="s">
        <v>39</v>
      </c>
      <c r="AV7">
        <v>0</v>
      </c>
      <c r="AW7">
        <v>2</v>
      </c>
      <c r="AX7">
        <v>145263029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ROUND(Y7*Source!I29,9)</f>
        <v>30.3552</v>
      </c>
      <c r="CY7">
        <f>AB7</f>
        <v>93.31</v>
      </c>
      <c r="CZ7">
        <f>AF7</f>
        <v>8.1</v>
      </c>
      <c r="DA7">
        <f>AJ7</f>
        <v>11.52</v>
      </c>
      <c r="DB7">
        <f>ROUND((ROUND(AT7*CZ7,2)*0.8),2)</f>
        <v>68.3</v>
      </c>
      <c r="DC7">
        <f>ROUND((ROUND(AT7*AG7,2)*0.8),2)</f>
        <v>0</v>
      </c>
      <c r="DD7" t="s">
        <v>3</v>
      </c>
      <c r="DE7" t="s">
        <v>3</v>
      </c>
      <c r="DF7">
        <f t="shared" si="0"/>
        <v>0</v>
      </c>
      <c r="DG7">
        <f>ROUND(ROUND(AF7*AJ7,2)*CX7,2)</f>
        <v>2832.44</v>
      </c>
      <c r="DH7">
        <f>ROUND(ROUND(AG7*AK7,2)*CX7,2)</f>
        <v>0</v>
      </c>
      <c r="DI7">
        <f t="shared" si="1"/>
        <v>0</v>
      </c>
      <c r="DJ7">
        <f>DG7</f>
        <v>2832.44</v>
      </c>
      <c r="DK7">
        <v>0</v>
      </c>
      <c r="DL7" t="s">
        <v>3</v>
      </c>
      <c r="DM7">
        <v>0</v>
      </c>
      <c r="DN7" t="s">
        <v>3</v>
      </c>
      <c r="DO7">
        <v>0</v>
      </c>
    </row>
    <row r="8" spans="1:119" x14ac:dyDescent="0.2">
      <c r="A8">
        <f>ROW(Source!A29)</f>
        <v>29</v>
      </c>
      <c r="B8">
        <v>145262827</v>
      </c>
      <c r="C8">
        <v>145263010</v>
      </c>
      <c r="D8">
        <v>140773170</v>
      </c>
      <c r="E8">
        <v>1</v>
      </c>
      <c r="F8">
        <v>1</v>
      </c>
      <c r="G8">
        <v>1</v>
      </c>
      <c r="H8">
        <v>3</v>
      </c>
      <c r="I8" t="s">
        <v>392</v>
      </c>
      <c r="J8" t="s">
        <v>393</v>
      </c>
      <c r="K8" t="s">
        <v>394</v>
      </c>
      <c r="L8">
        <v>1327</v>
      </c>
      <c r="N8">
        <v>1005</v>
      </c>
      <c r="O8" t="s">
        <v>158</v>
      </c>
      <c r="P8" t="s">
        <v>158</v>
      </c>
      <c r="Q8">
        <v>1</v>
      </c>
      <c r="W8">
        <v>0</v>
      </c>
      <c r="X8">
        <v>1300369369</v>
      </c>
      <c r="Y8">
        <f t="shared" ref="Y8:Y16" si="2">(AT8*0)</f>
        <v>0</v>
      </c>
      <c r="AA8">
        <v>30.7</v>
      </c>
      <c r="AB8">
        <v>0</v>
      </c>
      <c r="AC8">
        <v>0</v>
      </c>
      <c r="AD8">
        <v>0</v>
      </c>
      <c r="AE8">
        <v>3.62</v>
      </c>
      <c r="AF8">
        <v>0</v>
      </c>
      <c r="AG8">
        <v>0</v>
      </c>
      <c r="AH8">
        <v>0</v>
      </c>
      <c r="AI8">
        <v>8.48</v>
      </c>
      <c r="AJ8">
        <v>1</v>
      </c>
      <c r="AK8">
        <v>1</v>
      </c>
      <c r="AL8">
        <v>1</v>
      </c>
      <c r="AM8">
        <v>4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</v>
      </c>
      <c r="AT8">
        <v>62.9</v>
      </c>
      <c r="AU8" t="s">
        <v>38</v>
      </c>
      <c r="AV8">
        <v>0</v>
      </c>
      <c r="AW8">
        <v>2</v>
      </c>
      <c r="AX8">
        <v>145263030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ROUND(Y8*Source!I29,9)</f>
        <v>0</v>
      </c>
      <c r="CY8">
        <f t="shared" ref="CY8:CY16" si="3">AA8</f>
        <v>30.7</v>
      </c>
      <c r="CZ8">
        <f t="shared" ref="CZ8:CZ16" si="4">AE8</f>
        <v>3.62</v>
      </c>
      <c r="DA8">
        <f t="shared" ref="DA8:DA16" si="5">AI8</f>
        <v>8.48</v>
      </c>
      <c r="DB8">
        <f t="shared" ref="DB8:DB16" si="6">ROUND((ROUND(AT8*CZ8,2)*0),2)</f>
        <v>0</v>
      </c>
      <c r="DC8">
        <f t="shared" ref="DC8:DC16" si="7">ROUND((ROUND(AT8*AG8,2)*0),2)</f>
        <v>0</v>
      </c>
      <c r="DD8" t="s">
        <v>3</v>
      </c>
      <c r="DE8" t="s">
        <v>3</v>
      </c>
      <c r="DF8">
        <f t="shared" ref="DF8:DF16" si="8">ROUND(ROUND(AE8*AI8,2)*CX8,2)</f>
        <v>0</v>
      </c>
      <c r="DG8">
        <f t="shared" ref="DG8:DG18" si="9">ROUND(ROUND(AF8,2)*CX8,2)</f>
        <v>0</v>
      </c>
      <c r="DH8">
        <f t="shared" ref="DH8:DH17" si="10">ROUND(ROUND(AG8,2)*CX8,2)</f>
        <v>0</v>
      </c>
      <c r="DI8">
        <f t="shared" si="1"/>
        <v>0</v>
      </c>
      <c r="DJ8">
        <f t="shared" ref="DJ8:DJ16" si="11">DF8</f>
        <v>0</v>
      </c>
      <c r="DK8">
        <v>0</v>
      </c>
      <c r="DL8" t="s">
        <v>3</v>
      </c>
      <c r="DM8">
        <v>0</v>
      </c>
      <c r="DN8" t="s">
        <v>3</v>
      </c>
      <c r="DO8">
        <v>0</v>
      </c>
    </row>
    <row r="9" spans="1:119" x14ac:dyDescent="0.2">
      <c r="A9">
        <f>ROW(Source!A29)</f>
        <v>29</v>
      </c>
      <c r="B9">
        <v>145262827</v>
      </c>
      <c r="C9">
        <v>145263010</v>
      </c>
      <c r="D9">
        <v>140773798</v>
      </c>
      <c r="E9">
        <v>1</v>
      </c>
      <c r="F9">
        <v>1</v>
      </c>
      <c r="G9">
        <v>1</v>
      </c>
      <c r="H9">
        <v>3</v>
      </c>
      <c r="I9" t="s">
        <v>395</v>
      </c>
      <c r="J9" t="s">
        <v>396</v>
      </c>
      <c r="K9" t="s">
        <v>397</v>
      </c>
      <c r="L9">
        <v>1348</v>
      </c>
      <c r="N9">
        <v>1009</v>
      </c>
      <c r="O9" t="s">
        <v>206</v>
      </c>
      <c r="P9" t="s">
        <v>206</v>
      </c>
      <c r="Q9">
        <v>1000</v>
      </c>
      <c r="W9">
        <v>0</v>
      </c>
      <c r="X9">
        <v>761442094</v>
      </c>
      <c r="Y9">
        <f t="shared" si="2"/>
        <v>0</v>
      </c>
      <c r="AA9">
        <v>79915.520000000004</v>
      </c>
      <c r="AB9">
        <v>0</v>
      </c>
      <c r="AC9">
        <v>0</v>
      </c>
      <c r="AD9">
        <v>0</v>
      </c>
      <c r="AE9">
        <v>9424</v>
      </c>
      <c r="AF9">
        <v>0</v>
      </c>
      <c r="AG9">
        <v>0</v>
      </c>
      <c r="AH9">
        <v>0</v>
      </c>
      <c r="AI9">
        <v>8.48</v>
      </c>
      <c r="AJ9">
        <v>1</v>
      </c>
      <c r="AK9">
        <v>1</v>
      </c>
      <c r="AL9">
        <v>1</v>
      </c>
      <c r="AM9">
        <v>4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</v>
      </c>
      <c r="AT9">
        <v>0.03</v>
      </c>
      <c r="AU9" t="s">
        <v>38</v>
      </c>
      <c r="AV9">
        <v>0</v>
      </c>
      <c r="AW9">
        <v>2</v>
      </c>
      <c r="AX9">
        <v>145263031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ROUND(Y9*Source!I29,9)</f>
        <v>0</v>
      </c>
      <c r="CY9">
        <f t="shared" si="3"/>
        <v>79915.520000000004</v>
      </c>
      <c r="CZ9">
        <f t="shared" si="4"/>
        <v>9424</v>
      </c>
      <c r="DA9">
        <f t="shared" si="5"/>
        <v>8.48</v>
      </c>
      <c r="DB9">
        <f t="shared" si="6"/>
        <v>0</v>
      </c>
      <c r="DC9">
        <f t="shared" si="7"/>
        <v>0</v>
      </c>
      <c r="DD9" t="s">
        <v>3</v>
      </c>
      <c r="DE9" t="s">
        <v>3</v>
      </c>
      <c r="DF9">
        <f t="shared" si="8"/>
        <v>0</v>
      </c>
      <c r="DG9">
        <f t="shared" si="9"/>
        <v>0</v>
      </c>
      <c r="DH9">
        <f t="shared" si="10"/>
        <v>0</v>
      </c>
      <c r="DI9">
        <f t="shared" si="1"/>
        <v>0</v>
      </c>
      <c r="DJ9">
        <f t="shared" si="11"/>
        <v>0</v>
      </c>
      <c r="DK9">
        <v>0</v>
      </c>
      <c r="DL9" t="s">
        <v>3</v>
      </c>
      <c r="DM9">
        <v>0</v>
      </c>
      <c r="DN9" t="s">
        <v>3</v>
      </c>
      <c r="DO9">
        <v>0</v>
      </c>
    </row>
    <row r="10" spans="1:119" x14ac:dyDescent="0.2">
      <c r="A10">
        <f>ROW(Source!A29)</f>
        <v>29</v>
      </c>
      <c r="B10">
        <v>145262827</v>
      </c>
      <c r="C10">
        <v>145263010</v>
      </c>
      <c r="D10">
        <v>140775118</v>
      </c>
      <c r="E10">
        <v>1</v>
      </c>
      <c r="F10">
        <v>1</v>
      </c>
      <c r="G10">
        <v>1</v>
      </c>
      <c r="H10">
        <v>3</v>
      </c>
      <c r="I10" t="s">
        <v>398</v>
      </c>
      <c r="J10" t="s">
        <v>399</v>
      </c>
      <c r="K10" t="s">
        <v>400</v>
      </c>
      <c r="L10">
        <v>1348</v>
      </c>
      <c r="N10">
        <v>1009</v>
      </c>
      <c r="O10" t="s">
        <v>206</v>
      </c>
      <c r="P10" t="s">
        <v>206</v>
      </c>
      <c r="Q10">
        <v>1000</v>
      </c>
      <c r="W10">
        <v>0</v>
      </c>
      <c r="X10">
        <v>-45966985</v>
      </c>
      <c r="Y10">
        <f t="shared" si="2"/>
        <v>0</v>
      </c>
      <c r="AA10">
        <v>101573.44</v>
      </c>
      <c r="AB10">
        <v>0</v>
      </c>
      <c r="AC10">
        <v>0</v>
      </c>
      <c r="AD10">
        <v>0</v>
      </c>
      <c r="AE10">
        <v>11978</v>
      </c>
      <c r="AF10">
        <v>0</v>
      </c>
      <c r="AG10">
        <v>0</v>
      </c>
      <c r="AH10">
        <v>0</v>
      </c>
      <c r="AI10">
        <v>8.48</v>
      </c>
      <c r="AJ10">
        <v>1</v>
      </c>
      <c r="AK10">
        <v>1</v>
      </c>
      <c r="AL10">
        <v>1</v>
      </c>
      <c r="AM10">
        <v>4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2.9999999999999997E-4</v>
      </c>
      <c r="AU10" t="s">
        <v>38</v>
      </c>
      <c r="AV10">
        <v>0</v>
      </c>
      <c r="AW10">
        <v>2</v>
      </c>
      <c r="AX10">
        <v>145263032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ROUND(Y10*Source!I29,9)</f>
        <v>0</v>
      </c>
      <c r="CY10">
        <f t="shared" si="3"/>
        <v>101573.44</v>
      </c>
      <c r="CZ10">
        <f t="shared" si="4"/>
        <v>11978</v>
      </c>
      <c r="DA10">
        <f t="shared" si="5"/>
        <v>8.48</v>
      </c>
      <c r="DB10">
        <f t="shared" si="6"/>
        <v>0</v>
      </c>
      <c r="DC10">
        <f t="shared" si="7"/>
        <v>0</v>
      </c>
      <c r="DD10" t="s">
        <v>3</v>
      </c>
      <c r="DE10" t="s">
        <v>3</v>
      </c>
      <c r="DF10">
        <f t="shared" si="8"/>
        <v>0</v>
      </c>
      <c r="DG10">
        <f t="shared" si="9"/>
        <v>0</v>
      </c>
      <c r="DH10">
        <f t="shared" si="10"/>
        <v>0</v>
      </c>
      <c r="DI10">
        <f t="shared" si="1"/>
        <v>0</v>
      </c>
      <c r="DJ10">
        <f t="shared" si="11"/>
        <v>0</v>
      </c>
      <c r="DK10">
        <v>0</v>
      </c>
      <c r="DL10" t="s">
        <v>3</v>
      </c>
      <c r="DM10">
        <v>0</v>
      </c>
      <c r="DN10" t="s">
        <v>3</v>
      </c>
      <c r="DO10">
        <v>0</v>
      </c>
    </row>
    <row r="11" spans="1:119" x14ac:dyDescent="0.2">
      <c r="A11">
        <f>ROW(Source!A29)</f>
        <v>29</v>
      </c>
      <c r="B11">
        <v>145262827</v>
      </c>
      <c r="C11">
        <v>145263010</v>
      </c>
      <c r="D11">
        <v>140778126</v>
      </c>
      <c r="E11">
        <v>1</v>
      </c>
      <c r="F11">
        <v>1</v>
      </c>
      <c r="G11">
        <v>1</v>
      </c>
      <c r="H11">
        <v>3</v>
      </c>
      <c r="I11" t="s">
        <v>401</v>
      </c>
      <c r="J11" t="s">
        <v>402</v>
      </c>
      <c r="K11" t="s">
        <v>403</v>
      </c>
      <c r="L11">
        <v>1339</v>
      </c>
      <c r="N11">
        <v>1007</v>
      </c>
      <c r="O11" t="s">
        <v>404</v>
      </c>
      <c r="P11" t="s">
        <v>404</v>
      </c>
      <c r="Q11">
        <v>1</v>
      </c>
      <c r="W11">
        <v>0</v>
      </c>
      <c r="X11">
        <v>513360614</v>
      </c>
      <c r="Y11">
        <f t="shared" si="2"/>
        <v>0</v>
      </c>
      <c r="AA11">
        <v>4391.88</v>
      </c>
      <c r="AB11">
        <v>0</v>
      </c>
      <c r="AC11">
        <v>0</v>
      </c>
      <c r="AD11">
        <v>0</v>
      </c>
      <c r="AE11">
        <v>517.91</v>
      </c>
      <c r="AF11">
        <v>0</v>
      </c>
      <c r="AG11">
        <v>0</v>
      </c>
      <c r="AH11">
        <v>0</v>
      </c>
      <c r="AI11">
        <v>8.48</v>
      </c>
      <c r="AJ11">
        <v>1</v>
      </c>
      <c r="AK11">
        <v>1</v>
      </c>
      <c r="AL11">
        <v>1</v>
      </c>
      <c r="AM11">
        <v>4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0.2</v>
      </c>
      <c r="AU11" t="s">
        <v>38</v>
      </c>
      <c r="AV11">
        <v>0</v>
      </c>
      <c r="AW11">
        <v>2</v>
      </c>
      <c r="AX11">
        <v>145263034</v>
      </c>
      <c r="AY11">
        <v>1</v>
      </c>
      <c r="AZ11">
        <v>0</v>
      </c>
      <c r="BA11">
        <v>12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ROUND(Y11*Source!I29,9)</f>
        <v>0</v>
      </c>
      <c r="CY11">
        <f t="shared" si="3"/>
        <v>4391.88</v>
      </c>
      <c r="CZ11">
        <f t="shared" si="4"/>
        <v>517.91</v>
      </c>
      <c r="DA11">
        <f t="shared" si="5"/>
        <v>8.48</v>
      </c>
      <c r="DB11">
        <f t="shared" si="6"/>
        <v>0</v>
      </c>
      <c r="DC11">
        <f t="shared" si="7"/>
        <v>0</v>
      </c>
      <c r="DD11" t="s">
        <v>3</v>
      </c>
      <c r="DE11" t="s">
        <v>3</v>
      </c>
      <c r="DF11">
        <f t="shared" si="8"/>
        <v>0</v>
      </c>
      <c r="DG11">
        <f t="shared" si="9"/>
        <v>0</v>
      </c>
      <c r="DH11">
        <f t="shared" si="10"/>
        <v>0</v>
      </c>
      <c r="DI11">
        <f t="shared" si="1"/>
        <v>0</v>
      </c>
      <c r="DJ11">
        <f t="shared" si="11"/>
        <v>0</v>
      </c>
      <c r="DK11">
        <v>0</v>
      </c>
      <c r="DL11" t="s">
        <v>3</v>
      </c>
      <c r="DM11">
        <v>0</v>
      </c>
      <c r="DN11" t="s">
        <v>3</v>
      </c>
      <c r="DO11">
        <v>0</v>
      </c>
    </row>
    <row r="12" spans="1:119" x14ac:dyDescent="0.2">
      <c r="A12">
        <f>ROW(Source!A29)</f>
        <v>29</v>
      </c>
      <c r="B12">
        <v>145262827</v>
      </c>
      <c r="C12">
        <v>145263010</v>
      </c>
      <c r="D12">
        <v>140789846</v>
      </c>
      <c r="E12">
        <v>1</v>
      </c>
      <c r="F12">
        <v>1</v>
      </c>
      <c r="G12">
        <v>1</v>
      </c>
      <c r="H12">
        <v>3</v>
      </c>
      <c r="I12" t="s">
        <v>405</v>
      </c>
      <c r="J12" t="s">
        <v>406</v>
      </c>
      <c r="K12" t="s">
        <v>407</v>
      </c>
      <c r="L12">
        <v>1348</v>
      </c>
      <c r="N12">
        <v>1009</v>
      </c>
      <c r="O12" t="s">
        <v>206</v>
      </c>
      <c r="P12" t="s">
        <v>206</v>
      </c>
      <c r="Q12">
        <v>1000</v>
      </c>
      <c r="W12">
        <v>0</v>
      </c>
      <c r="X12">
        <v>630163152</v>
      </c>
      <c r="Y12">
        <f t="shared" si="2"/>
        <v>0</v>
      </c>
      <c r="AA12">
        <v>85181.6</v>
      </c>
      <c r="AB12">
        <v>0</v>
      </c>
      <c r="AC12">
        <v>0</v>
      </c>
      <c r="AD12">
        <v>0</v>
      </c>
      <c r="AE12">
        <v>10045</v>
      </c>
      <c r="AF12">
        <v>0</v>
      </c>
      <c r="AG12">
        <v>0</v>
      </c>
      <c r="AH12">
        <v>0</v>
      </c>
      <c r="AI12">
        <v>8.48</v>
      </c>
      <c r="AJ12">
        <v>1</v>
      </c>
      <c r="AK12">
        <v>1</v>
      </c>
      <c r="AL12">
        <v>1</v>
      </c>
      <c r="AM12">
        <v>4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0.06</v>
      </c>
      <c r="AU12" t="s">
        <v>38</v>
      </c>
      <c r="AV12">
        <v>0</v>
      </c>
      <c r="AW12">
        <v>2</v>
      </c>
      <c r="AX12">
        <v>145263036</v>
      </c>
      <c r="AY12">
        <v>1</v>
      </c>
      <c r="AZ12">
        <v>0</v>
      </c>
      <c r="BA12">
        <v>14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ROUND(Y12*Source!I29,9)</f>
        <v>0</v>
      </c>
      <c r="CY12">
        <f t="shared" si="3"/>
        <v>85181.6</v>
      </c>
      <c r="CZ12">
        <f t="shared" si="4"/>
        <v>10045</v>
      </c>
      <c r="DA12">
        <f t="shared" si="5"/>
        <v>8.48</v>
      </c>
      <c r="DB12">
        <f t="shared" si="6"/>
        <v>0</v>
      </c>
      <c r="DC12">
        <f t="shared" si="7"/>
        <v>0</v>
      </c>
      <c r="DD12" t="s">
        <v>3</v>
      </c>
      <c r="DE12" t="s">
        <v>3</v>
      </c>
      <c r="DF12">
        <f t="shared" si="8"/>
        <v>0</v>
      </c>
      <c r="DG12">
        <f t="shared" si="9"/>
        <v>0</v>
      </c>
      <c r="DH12">
        <f t="shared" si="10"/>
        <v>0</v>
      </c>
      <c r="DI12">
        <f t="shared" si="1"/>
        <v>0</v>
      </c>
      <c r="DJ12">
        <f t="shared" si="11"/>
        <v>0</v>
      </c>
      <c r="DK12">
        <v>0</v>
      </c>
      <c r="DL12" t="s">
        <v>3</v>
      </c>
      <c r="DM12">
        <v>0</v>
      </c>
      <c r="DN12" t="s">
        <v>3</v>
      </c>
      <c r="DO12">
        <v>0</v>
      </c>
    </row>
    <row r="13" spans="1:119" x14ac:dyDescent="0.2">
      <c r="A13">
        <f>ROW(Source!A29)</f>
        <v>29</v>
      </c>
      <c r="B13">
        <v>145262827</v>
      </c>
      <c r="C13">
        <v>145263010</v>
      </c>
      <c r="D13">
        <v>140792339</v>
      </c>
      <c r="E13">
        <v>1</v>
      </c>
      <c r="F13">
        <v>1</v>
      </c>
      <c r="G13">
        <v>1</v>
      </c>
      <c r="H13">
        <v>3</v>
      </c>
      <c r="I13" t="s">
        <v>408</v>
      </c>
      <c r="J13" t="s">
        <v>409</v>
      </c>
      <c r="K13" t="s">
        <v>410</v>
      </c>
      <c r="L13">
        <v>1348</v>
      </c>
      <c r="N13">
        <v>1009</v>
      </c>
      <c r="O13" t="s">
        <v>206</v>
      </c>
      <c r="P13" t="s">
        <v>206</v>
      </c>
      <c r="Q13">
        <v>1000</v>
      </c>
      <c r="W13">
        <v>0</v>
      </c>
      <c r="X13">
        <v>-120483918</v>
      </c>
      <c r="Y13">
        <f t="shared" si="2"/>
        <v>0</v>
      </c>
      <c r="AA13">
        <v>37780.1</v>
      </c>
      <c r="AB13">
        <v>0</v>
      </c>
      <c r="AC13">
        <v>0</v>
      </c>
      <c r="AD13">
        <v>0</v>
      </c>
      <c r="AE13">
        <v>4455.2</v>
      </c>
      <c r="AF13">
        <v>0</v>
      </c>
      <c r="AG13">
        <v>0</v>
      </c>
      <c r="AH13">
        <v>0</v>
      </c>
      <c r="AI13">
        <v>8.48</v>
      </c>
      <c r="AJ13">
        <v>1</v>
      </c>
      <c r="AK13">
        <v>1</v>
      </c>
      <c r="AL13">
        <v>1</v>
      </c>
      <c r="AM13">
        <v>4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1.4800000000000001E-2</v>
      </c>
      <c r="AU13" t="s">
        <v>38</v>
      </c>
      <c r="AV13">
        <v>0</v>
      </c>
      <c r="AW13">
        <v>2</v>
      </c>
      <c r="AX13">
        <v>145263037</v>
      </c>
      <c r="AY13">
        <v>1</v>
      </c>
      <c r="AZ13">
        <v>0</v>
      </c>
      <c r="BA13">
        <v>15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ROUND(Y13*Source!I29,9)</f>
        <v>0</v>
      </c>
      <c r="CY13">
        <f t="shared" si="3"/>
        <v>37780.1</v>
      </c>
      <c r="CZ13">
        <f t="shared" si="4"/>
        <v>4455.2</v>
      </c>
      <c r="DA13">
        <f t="shared" si="5"/>
        <v>8.48</v>
      </c>
      <c r="DB13">
        <f t="shared" si="6"/>
        <v>0</v>
      </c>
      <c r="DC13">
        <f t="shared" si="7"/>
        <v>0</v>
      </c>
      <c r="DD13" t="s">
        <v>3</v>
      </c>
      <c r="DE13" t="s">
        <v>3</v>
      </c>
      <c r="DF13">
        <f t="shared" si="8"/>
        <v>0</v>
      </c>
      <c r="DG13">
        <f t="shared" si="9"/>
        <v>0</v>
      </c>
      <c r="DH13">
        <f t="shared" si="10"/>
        <v>0</v>
      </c>
      <c r="DI13">
        <f t="shared" si="1"/>
        <v>0</v>
      </c>
      <c r="DJ13">
        <f t="shared" si="11"/>
        <v>0</v>
      </c>
      <c r="DK13">
        <v>0</v>
      </c>
      <c r="DL13" t="s">
        <v>3</v>
      </c>
      <c r="DM13">
        <v>0</v>
      </c>
      <c r="DN13" t="s">
        <v>3</v>
      </c>
      <c r="DO13">
        <v>0</v>
      </c>
    </row>
    <row r="14" spans="1:119" x14ac:dyDescent="0.2">
      <c r="A14">
        <f>ROW(Source!A29)</f>
        <v>29</v>
      </c>
      <c r="B14">
        <v>145262827</v>
      </c>
      <c r="C14">
        <v>145263010</v>
      </c>
      <c r="D14">
        <v>140796538</v>
      </c>
      <c r="E14">
        <v>1</v>
      </c>
      <c r="F14">
        <v>1</v>
      </c>
      <c r="G14">
        <v>1</v>
      </c>
      <c r="H14">
        <v>3</v>
      </c>
      <c r="I14" t="s">
        <v>411</v>
      </c>
      <c r="J14" t="s">
        <v>412</v>
      </c>
      <c r="K14" t="s">
        <v>413</v>
      </c>
      <c r="L14">
        <v>1339</v>
      </c>
      <c r="N14">
        <v>1007</v>
      </c>
      <c r="O14" t="s">
        <v>404</v>
      </c>
      <c r="P14" t="s">
        <v>404</v>
      </c>
      <c r="Q14">
        <v>1</v>
      </c>
      <c r="W14">
        <v>0</v>
      </c>
      <c r="X14">
        <v>-1160610406</v>
      </c>
      <c r="Y14">
        <f t="shared" si="2"/>
        <v>0</v>
      </c>
      <c r="AA14">
        <v>8564.7999999999993</v>
      </c>
      <c r="AB14">
        <v>0</v>
      </c>
      <c r="AC14">
        <v>0</v>
      </c>
      <c r="AD14">
        <v>0</v>
      </c>
      <c r="AE14">
        <v>1010</v>
      </c>
      <c r="AF14">
        <v>0</v>
      </c>
      <c r="AG14">
        <v>0</v>
      </c>
      <c r="AH14">
        <v>0</v>
      </c>
      <c r="AI14">
        <v>8.48</v>
      </c>
      <c r="AJ14">
        <v>1</v>
      </c>
      <c r="AK14">
        <v>1</v>
      </c>
      <c r="AL14">
        <v>1</v>
      </c>
      <c r="AM14">
        <v>4</v>
      </c>
      <c r="AN14">
        <v>0</v>
      </c>
      <c r="AO14">
        <v>1</v>
      </c>
      <c r="AP14">
        <v>1</v>
      </c>
      <c r="AQ14">
        <v>0</v>
      </c>
      <c r="AR14">
        <v>0</v>
      </c>
      <c r="AS14" t="s">
        <v>3</v>
      </c>
      <c r="AT14">
        <v>0.29899999999999999</v>
      </c>
      <c r="AU14" t="s">
        <v>38</v>
      </c>
      <c r="AV14">
        <v>0</v>
      </c>
      <c r="AW14">
        <v>2</v>
      </c>
      <c r="AX14">
        <v>145263038</v>
      </c>
      <c r="AY14">
        <v>1</v>
      </c>
      <c r="AZ14">
        <v>0</v>
      </c>
      <c r="BA14">
        <v>16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ROUND(Y14*Source!I29,9)</f>
        <v>0</v>
      </c>
      <c r="CY14">
        <f t="shared" si="3"/>
        <v>8564.7999999999993</v>
      </c>
      <c r="CZ14">
        <f t="shared" si="4"/>
        <v>1010</v>
      </c>
      <c r="DA14">
        <f t="shared" si="5"/>
        <v>8.48</v>
      </c>
      <c r="DB14">
        <f t="shared" si="6"/>
        <v>0</v>
      </c>
      <c r="DC14">
        <f t="shared" si="7"/>
        <v>0</v>
      </c>
      <c r="DD14" t="s">
        <v>3</v>
      </c>
      <c r="DE14" t="s">
        <v>3</v>
      </c>
      <c r="DF14">
        <f t="shared" si="8"/>
        <v>0</v>
      </c>
      <c r="DG14">
        <f t="shared" si="9"/>
        <v>0</v>
      </c>
      <c r="DH14">
        <f t="shared" si="10"/>
        <v>0</v>
      </c>
      <c r="DI14">
        <f t="shared" si="1"/>
        <v>0</v>
      </c>
      <c r="DJ14">
        <f t="shared" si="11"/>
        <v>0</v>
      </c>
      <c r="DK14">
        <v>0</v>
      </c>
      <c r="DL14" t="s">
        <v>3</v>
      </c>
      <c r="DM14">
        <v>0</v>
      </c>
      <c r="DN14" t="s">
        <v>3</v>
      </c>
      <c r="DO14">
        <v>0</v>
      </c>
    </row>
    <row r="15" spans="1:119" x14ac:dyDescent="0.2">
      <c r="A15">
        <f>ROW(Source!A29)</f>
        <v>29</v>
      </c>
      <c r="B15">
        <v>145262827</v>
      </c>
      <c r="C15">
        <v>145263010</v>
      </c>
      <c r="D15">
        <v>140798964</v>
      </c>
      <c r="E15">
        <v>1</v>
      </c>
      <c r="F15">
        <v>1</v>
      </c>
      <c r="G15">
        <v>1</v>
      </c>
      <c r="H15">
        <v>3</v>
      </c>
      <c r="I15" t="s">
        <v>414</v>
      </c>
      <c r="J15" t="s">
        <v>415</v>
      </c>
      <c r="K15" t="s">
        <v>416</v>
      </c>
      <c r="L15">
        <v>1327</v>
      </c>
      <c r="N15">
        <v>1005</v>
      </c>
      <c r="O15" t="s">
        <v>158</v>
      </c>
      <c r="P15" t="s">
        <v>158</v>
      </c>
      <c r="Q15">
        <v>1</v>
      </c>
      <c r="W15">
        <v>0</v>
      </c>
      <c r="X15">
        <v>-1195643458</v>
      </c>
      <c r="Y15">
        <f t="shared" si="2"/>
        <v>0</v>
      </c>
      <c r="AA15">
        <v>57.49</v>
      </c>
      <c r="AB15">
        <v>0</v>
      </c>
      <c r="AC15">
        <v>0</v>
      </c>
      <c r="AD15">
        <v>0</v>
      </c>
      <c r="AE15">
        <v>6.78</v>
      </c>
      <c r="AF15">
        <v>0</v>
      </c>
      <c r="AG15">
        <v>0</v>
      </c>
      <c r="AH15">
        <v>0</v>
      </c>
      <c r="AI15">
        <v>8.48</v>
      </c>
      <c r="AJ15">
        <v>1</v>
      </c>
      <c r="AK15">
        <v>1</v>
      </c>
      <c r="AL15">
        <v>1</v>
      </c>
      <c r="AM15">
        <v>4</v>
      </c>
      <c r="AN15">
        <v>0</v>
      </c>
      <c r="AO15">
        <v>1</v>
      </c>
      <c r="AP15">
        <v>1</v>
      </c>
      <c r="AQ15">
        <v>0</v>
      </c>
      <c r="AR15">
        <v>0</v>
      </c>
      <c r="AS15" t="s">
        <v>3</v>
      </c>
      <c r="AT15">
        <v>56.2</v>
      </c>
      <c r="AU15" t="s">
        <v>38</v>
      </c>
      <c r="AV15">
        <v>0</v>
      </c>
      <c r="AW15">
        <v>2</v>
      </c>
      <c r="AX15">
        <v>145263039</v>
      </c>
      <c r="AY15">
        <v>1</v>
      </c>
      <c r="AZ15">
        <v>0</v>
      </c>
      <c r="BA15">
        <v>17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ROUND(Y15*Source!I29,9)</f>
        <v>0</v>
      </c>
      <c r="CY15">
        <f t="shared" si="3"/>
        <v>57.49</v>
      </c>
      <c r="CZ15">
        <f t="shared" si="4"/>
        <v>6.78</v>
      </c>
      <c r="DA15">
        <f t="shared" si="5"/>
        <v>8.48</v>
      </c>
      <c r="DB15">
        <f t="shared" si="6"/>
        <v>0</v>
      </c>
      <c r="DC15">
        <f t="shared" si="7"/>
        <v>0</v>
      </c>
      <c r="DD15" t="s">
        <v>3</v>
      </c>
      <c r="DE15" t="s">
        <v>3</v>
      </c>
      <c r="DF15">
        <f t="shared" si="8"/>
        <v>0</v>
      </c>
      <c r="DG15">
        <f t="shared" si="9"/>
        <v>0</v>
      </c>
      <c r="DH15">
        <f t="shared" si="10"/>
        <v>0</v>
      </c>
      <c r="DI15">
        <f t="shared" si="1"/>
        <v>0</v>
      </c>
      <c r="DJ15">
        <f t="shared" si="11"/>
        <v>0</v>
      </c>
      <c r="DK15">
        <v>0</v>
      </c>
      <c r="DL15" t="s">
        <v>3</v>
      </c>
      <c r="DM15">
        <v>0</v>
      </c>
      <c r="DN15" t="s">
        <v>3</v>
      </c>
      <c r="DO15">
        <v>0</v>
      </c>
    </row>
    <row r="16" spans="1:119" x14ac:dyDescent="0.2">
      <c r="A16">
        <f>ROW(Source!A29)</f>
        <v>29</v>
      </c>
      <c r="B16">
        <v>145262827</v>
      </c>
      <c r="C16">
        <v>145263010</v>
      </c>
      <c r="D16">
        <v>140804289</v>
      </c>
      <c r="E16">
        <v>1</v>
      </c>
      <c r="F16">
        <v>1</v>
      </c>
      <c r="G16">
        <v>1</v>
      </c>
      <c r="H16">
        <v>3</v>
      </c>
      <c r="I16" t="s">
        <v>417</v>
      </c>
      <c r="J16" t="s">
        <v>418</v>
      </c>
      <c r="K16" t="s">
        <v>419</v>
      </c>
      <c r="L16">
        <v>1348</v>
      </c>
      <c r="N16">
        <v>1009</v>
      </c>
      <c r="O16" t="s">
        <v>206</v>
      </c>
      <c r="P16" t="s">
        <v>206</v>
      </c>
      <c r="Q16">
        <v>1000</v>
      </c>
      <c r="W16">
        <v>0</v>
      </c>
      <c r="X16">
        <v>-1431291401</v>
      </c>
      <c r="Y16">
        <f t="shared" si="2"/>
        <v>0</v>
      </c>
      <c r="AA16">
        <v>150918.22</v>
      </c>
      <c r="AB16">
        <v>0</v>
      </c>
      <c r="AC16">
        <v>0</v>
      </c>
      <c r="AD16">
        <v>0</v>
      </c>
      <c r="AE16">
        <v>17796.96</v>
      </c>
      <c r="AF16">
        <v>0</v>
      </c>
      <c r="AG16">
        <v>0</v>
      </c>
      <c r="AH16">
        <v>0</v>
      </c>
      <c r="AI16">
        <v>8.48</v>
      </c>
      <c r="AJ16">
        <v>1</v>
      </c>
      <c r="AK16">
        <v>1</v>
      </c>
      <c r="AL16">
        <v>1</v>
      </c>
      <c r="AM16">
        <v>4</v>
      </c>
      <c r="AN16">
        <v>0</v>
      </c>
      <c r="AO16">
        <v>1</v>
      </c>
      <c r="AP16">
        <v>1</v>
      </c>
      <c r="AQ16">
        <v>0</v>
      </c>
      <c r="AR16">
        <v>0</v>
      </c>
      <c r="AS16" t="s">
        <v>3</v>
      </c>
      <c r="AT16">
        <v>0.01</v>
      </c>
      <c r="AU16" t="s">
        <v>38</v>
      </c>
      <c r="AV16">
        <v>0</v>
      </c>
      <c r="AW16">
        <v>2</v>
      </c>
      <c r="AX16">
        <v>145263040</v>
      </c>
      <c r="AY16">
        <v>1</v>
      </c>
      <c r="AZ16">
        <v>0</v>
      </c>
      <c r="BA16">
        <v>18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ROUND(Y16*Source!I29,9)</f>
        <v>0</v>
      </c>
      <c r="CY16">
        <f t="shared" si="3"/>
        <v>150918.22</v>
      </c>
      <c r="CZ16">
        <f t="shared" si="4"/>
        <v>17796.96</v>
      </c>
      <c r="DA16">
        <f t="shared" si="5"/>
        <v>8.48</v>
      </c>
      <c r="DB16">
        <f t="shared" si="6"/>
        <v>0</v>
      </c>
      <c r="DC16">
        <f t="shared" si="7"/>
        <v>0</v>
      </c>
      <c r="DD16" t="s">
        <v>3</v>
      </c>
      <c r="DE16" t="s">
        <v>3</v>
      </c>
      <c r="DF16">
        <f t="shared" si="8"/>
        <v>0</v>
      </c>
      <c r="DG16">
        <f t="shared" si="9"/>
        <v>0</v>
      </c>
      <c r="DH16">
        <f t="shared" si="10"/>
        <v>0</v>
      </c>
      <c r="DI16">
        <f t="shared" si="1"/>
        <v>0</v>
      </c>
      <c r="DJ16">
        <f t="shared" si="11"/>
        <v>0</v>
      </c>
      <c r="DK16">
        <v>0</v>
      </c>
      <c r="DL16" t="s">
        <v>3</v>
      </c>
      <c r="DM16">
        <v>0</v>
      </c>
      <c r="DN16" t="s">
        <v>3</v>
      </c>
      <c r="DO16">
        <v>0</v>
      </c>
    </row>
    <row r="17" spans="1:119" x14ac:dyDescent="0.2">
      <c r="A17">
        <f>ROW(Source!A30)</f>
        <v>30</v>
      </c>
      <c r="B17">
        <v>145262827</v>
      </c>
      <c r="C17">
        <v>145263041</v>
      </c>
      <c r="D17">
        <v>140760001</v>
      </c>
      <c r="E17">
        <v>70</v>
      </c>
      <c r="F17">
        <v>1</v>
      </c>
      <c r="G17">
        <v>1</v>
      </c>
      <c r="H17">
        <v>1</v>
      </c>
      <c r="I17" t="s">
        <v>379</v>
      </c>
      <c r="J17" t="s">
        <v>3</v>
      </c>
      <c r="K17" t="s">
        <v>380</v>
      </c>
      <c r="L17">
        <v>1191</v>
      </c>
      <c r="N17">
        <v>1013</v>
      </c>
      <c r="O17" t="s">
        <v>374</v>
      </c>
      <c r="P17" t="s">
        <v>374</v>
      </c>
      <c r="Q17">
        <v>1</v>
      </c>
      <c r="W17">
        <v>0</v>
      </c>
      <c r="X17">
        <v>1893946532</v>
      </c>
      <c r="Y17">
        <f t="shared" ref="Y17:Y23" si="12">(AT17*0.8)</f>
        <v>220.8</v>
      </c>
      <c r="AA17">
        <v>0</v>
      </c>
      <c r="AB17">
        <v>0</v>
      </c>
      <c r="AC17">
        <v>0</v>
      </c>
      <c r="AD17">
        <v>266.02</v>
      </c>
      <c r="AE17">
        <v>0</v>
      </c>
      <c r="AF17">
        <v>0</v>
      </c>
      <c r="AG17">
        <v>0</v>
      </c>
      <c r="AH17">
        <v>9.07</v>
      </c>
      <c r="AI17">
        <v>1</v>
      </c>
      <c r="AJ17">
        <v>1</v>
      </c>
      <c r="AK17">
        <v>1</v>
      </c>
      <c r="AL17">
        <v>29.33</v>
      </c>
      <c r="AM17">
        <v>4</v>
      </c>
      <c r="AN17">
        <v>0</v>
      </c>
      <c r="AO17">
        <v>1</v>
      </c>
      <c r="AP17">
        <v>1</v>
      </c>
      <c r="AQ17">
        <v>0</v>
      </c>
      <c r="AR17">
        <v>0</v>
      </c>
      <c r="AS17" t="s">
        <v>3</v>
      </c>
      <c r="AT17">
        <v>276</v>
      </c>
      <c r="AU17" t="s">
        <v>39</v>
      </c>
      <c r="AV17">
        <v>1</v>
      </c>
      <c r="AW17">
        <v>2</v>
      </c>
      <c r="AX17">
        <v>145263058</v>
      </c>
      <c r="AY17">
        <v>1</v>
      </c>
      <c r="AZ17">
        <v>0</v>
      </c>
      <c r="BA17">
        <v>19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ROUND(Y17*Source!I30,9)</f>
        <v>110.4</v>
      </c>
      <c r="CY17">
        <f>AD17</f>
        <v>266.02</v>
      </c>
      <c r="CZ17">
        <f>AH17</f>
        <v>9.07</v>
      </c>
      <c r="DA17">
        <f>AL17</f>
        <v>29.33</v>
      </c>
      <c r="DB17">
        <f t="shared" ref="DB17:DB23" si="13">ROUND((ROUND(AT17*CZ17,2)*0.8),2)</f>
        <v>2002.66</v>
      </c>
      <c r="DC17">
        <f t="shared" ref="DC17:DC23" si="14">ROUND((ROUND(AT17*AG17,2)*0.8),2)</f>
        <v>0</v>
      </c>
      <c r="DD17" t="s">
        <v>3</v>
      </c>
      <c r="DE17" t="s">
        <v>3</v>
      </c>
      <c r="DF17">
        <f t="shared" ref="DF17:DF23" si="15">ROUND(ROUND(AE17,2)*CX17,2)</f>
        <v>0</v>
      </c>
      <c r="DG17">
        <f t="shared" si="9"/>
        <v>0</v>
      </c>
      <c r="DH17">
        <f t="shared" si="10"/>
        <v>0</v>
      </c>
      <c r="DI17">
        <f>ROUND(ROUND(AH17*AL17,2)*CX17,2)</f>
        <v>29368.61</v>
      </c>
      <c r="DJ17">
        <f>DI17</f>
        <v>29368.61</v>
      </c>
      <c r="DK17">
        <v>0</v>
      </c>
      <c r="DL17" t="s">
        <v>3</v>
      </c>
      <c r="DM17">
        <v>0</v>
      </c>
      <c r="DN17" t="s">
        <v>3</v>
      </c>
      <c r="DO17">
        <v>0</v>
      </c>
    </row>
    <row r="18" spans="1:119" x14ac:dyDescent="0.2">
      <c r="A18">
        <f>ROW(Source!A30)</f>
        <v>30</v>
      </c>
      <c r="B18">
        <v>145262827</v>
      </c>
      <c r="C18">
        <v>145263041</v>
      </c>
      <c r="D18">
        <v>140760225</v>
      </c>
      <c r="E18">
        <v>70</v>
      </c>
      <c r="F18">
        <v>1</v>
      </c>
      <c r="G18">
        <v>1</v>
      </c>
      <c r="H18">
        <v>1</v>
      </c>
      <c r="I18" t="s">
        <v>381</v>
      </c>
      <c r="J18" t="s">
        <v>3</v>
      </c>
      <c r="K18" t="s">
        <v>382</v>
      </c>
      <c r="L18">
        <v>1191</v>
      </c>
      <c r="N18">
        <v>1013</v>
      </c>
      <c r="O18" t="s">
        <v>374</v>
      </c>
      <c r="P18" t="s">
        <v>374</v>
      </c>
      <c r="Q18">
        <v>1</v>
      </c>
      <c r="W18">
        <v>0</v>
      </c>
      <c r="X18">
        <v>-1417349443</v>
      </c>
      <c r="Y18">
        <f t="shared" si="12"/>
        <v>77.072000000000003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29.33</v>
      </c>
      <c r="AL18">
        <v>1</v>
      </c>
      <c r="AM18">
        <v>4</v>
      </c>
      <c r="AN18">
        <v>0</v>
      </c>
      <c r="AO18">
        <v>1</v>
      </c>
      <c r="AP18">
        <v>1</v>
      </c>
      <c r="AQ18">
        <v>0</v>
      </c>
      <c r="AR18">
        <v>0</v>
      </c>
      <c r="AS18" t="s">
        <v>3</v>
      </c>
      <c r="AT18">
        <v>96.34</v>
      </c>
      <c r="AU18" t="s">
        <v>39</v>
      </c>
      <c r="AV18">
        <v>2</v>
      </c>
      <c r="AW18">
        <v>2</v>
      </c>
      <c r="AX18">
        <v>145263059</v>
      </c>
      <c r="AY18">
        <v>1</v>
      </c>
      <c r="AZ18">
        <v>0</v>
      </c>
      <c r="BA18">
        <v>20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ROUND(Y18*Source!I30,9)</f>
        <v>38.536000000000001</v>
      </c>
      <c r="CY18">
        <f>AD18</f>
        <v>0</v>
      </c>
      <c r="CZ18">
        <f>AH18</f>
        <v>0</v>
      </c>
      <c r="DA18">
        <f>AL18</f>
        <v>1</v>
      </c>
      <c r="DB18">
        <f t="shared" si="13"/>
        <v>0</v>
      </c>
      <c r="DC18">
        <f t="shared" si="14"/>
        <v>0</v>
      </c>
      <c r="DD18" t="s">
        <v>3</v>
      </c>
      <c r="DE18" t="s">
        <v>3</v>
      </c>
      <c r="DF18">
        <f t="shared" si="15"/>
        <v>0</v>
      </c>
      <c r="DG18">
        <f t="shared" si="9"/>
        <v>0</v>
      </c>
      <c r="DH18">
        <f t="shared" ref="DH18:DH23" si="16">ROUND(ROUND(AG18*AK18,2)*CX18,2)</f>
        <v>0</v>
      </c>
      <c r="DI18">
        <f t="shared" ref="DI18:DI32" si="17">ROUND(ROUND(AH18,2)*CX18,2)</f>
        <v>0</v>
      </c>
      <c r="DJ18">
        <f>DI18</f>
        <v>0</v>
      </c>
      <c r="DK18">
        <v>0</v>
      </c>
      <c r="DL18" t="s">
        <v>3</v>
      </c>
      <c r="DM18">
        <v>0</v>
      </c>
      <c r="DN18" t="s">
        <v>3</v>
      </c>
      <c r="DO18">
        <v>0</v>
      </c>
    </row>
    <row r="19" spans="1:119" x14ac:dyDescent="0.2">
      <c r="A19">
        <f>ROW(Source!A30)</f>
        <v>30</v>
      </c>
      <c r="B19">
        <v>145262827</v>
      </c>
      <c r="C19">
        <v>145263041</v>
      </c>
      <c r="D19">
        <v>140922959</v>
      </c>
      <c r="E19">
        <v>1</v>
      </c>
      <c r="F19">
        <v>1</v>
      </c>
      <c r="G19">
        <v>1</v>
      </c>
      <c r="H19">
        <v>2</v>
      </c>
      <c r="I19" t="s">
        <v>383</v>
      </c>
      <c r="J19" t="s">
        <v>384</v>
      </c>
      <c r="K19" t="s">
        <v>385</v>
      </c>
      <c r="L19">
        <v>1367</v>
      </c>
      <c r="N19">
        <v>1011</v>
      </c>
      <c r="O19" t="s">
        <v>378</v>
      </c>
      <c r="P19" t="s">
        <v>378</v>
      </c>
      <c r="Q19">
        <v>1</v>
      </c>
      <c r="W19">
        <v>0</v>
      </c>
      <c r="X19">
        <v>-1161184353</v>
      </c>
      <c r="Y19">
        <f t="shared" si="12"/>
        <v>34.200000000000003</v>
      </c>
      <c r="AA19">
        <v>0</v>
      </c>
      <c r="AB19">
        <v>3340.92</v>
      </c>
      <c r="AC19">
        <v>736.18</v>
      </c>
      <c r="AD19">
        <v>0</v>
      </c>
      <c r="AE19">
        <v>0</v>
      </c>
      <c r="AF19">
        <v>290.01</v>
      </c>
      <c r="AG19">
        <v>25.1</v>
      </c>
      <c r="AH19">
        <v>0</v>
      </c>
      <c r="AI19">
        <v>1</v>
      </c>
      <c r="AJ19">
        <v>11.52</v>
      </c>
      <c r="AK19">
        <v>29.33</v>
      </c>
      <c r="AL19">
        <v>1</v>
      </c>
      <c r="AM19">
        <v>4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42.75</v>
      </c>
      <c r="AU19" t="s">
        <v>39</v>
      </c>
      <c r="AV19">
        <v>0</v>
      </c>
      <c r="AW19">
        <v>2</v>
      </c>
      <c r="AX19">
        <v>145263060</v>
      </c>
      <c r="AY19">
        <v>1</v>
      </c>
      <c r="AZ19">
        <v>0</v>
      </c>
      <c r="BA19">
        <v>21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ROUND(Y19*Source!I30,9)</f>
        <v>17.100000000000001</v>
      </c>
      <c r="CY19">
        <f>AB19</f>
        <v>3340.92</v>
      </c>
      <c r="CZ19">
        <f>AF19</f>
        <v>290.01</v>
      </c>
      <c r="DA19">
        <f>AJ19</f>
        <v>11.52</v>
      </c>
      <c r="DB19">
        <f t="shared" si="13"/>
        <v>9918.34</v>
      </c>
      <c r="DC19">
        <f t="shared" si="14"/>
        <v>858.42</v>
      </c>
      <c r="DD19" t="s">
        <v>3</v>
      </c>
      <c r="DE19" t="s">
        <v>3</v>
      </c>
      <c r="DF19">
        <f t="shared" si="15"/>
        <v>0</v>
      </c>
      <c r="DG19">
        <f>ROUND(ROUND(AF19*AJ19,2)*CX19,2)</f>
        <v>57129.73</v>
      </c>
      <c r="DH19">
        <f t="shared" si="16"/>
        <v>12588.68</v>
      </c>
      <c r="DI19">
        <f t="shared" si="17"/>
        <v>0</v>
      </c>
      <c r="DJ19">
        <f>DG19</f>
        <v>57129.73</v>
      </c>
      <c r="DK19">
        <v>0</v>
      </c>
      <c r="DL19" t="s">
        <v>3</v>
      </c>
      <c r="DM19">
        <v>0</v>
      </c>
      <c r="DN19" t="s">
        <v>3</v>
      </c>
      <c r="DO19">
        <v>0</v>
      </c>
    </row>
    <row r="20" spans="1:119" x14ac:dyDescent="0.2">
      <c r="A20">
        <f>ROW(Source!A30)</f>
        <v>30</v>
      </c>
      <c r="B20">
        <v>145262827</v>
      </c>
      <c r="C20">
        <v>145263041</v>
      </c>
      <c r="D20">
        <v>140923885</v>
      </c>
      <c r="E20">
        <v>1</v>
      </c>
      <c r="F20">
        <v>1</v>
      </c>
      <c r="G20">
        <v>1</v>
      </c>
      <c r="H20">
        <v>2</v>
      </c>
      <c r="I20" t="s">
        <v>386</v>
      </c>
      <c r="J20" t="s">
        <v>387</v>
      </c>
      <c r="K20" t="s">
        <v>388</v>
      </c>
      <c r="L20">
        <v>1367</v>
      </c>
      <c r="N20">
        <v>1011</v>
      </c>
      <c r="O20" t="s">
        <v>378</v>
      </c>
      <c r="P20" t="s">
        <v>378</v>
      </c>
      <c r="Q20">
        <v>1</v>
      </c>
      <c r="W20">
        <v>0</v>
      </c>
      <c r="X20">
        <v>509054691</v>
      </c>
      <c r="Y20">
        <f t="shared" si="12"/>
        <v>0.32800000000000001</v>
      </c>
      <c r="AA20">
        <v>0</v>
      </c>
      <c r="AB20">
        <v>756.98</v>
      </c>
      <c r="AC20">
        <v>340.23</v>
      </c>
      <c r="AD20">
        <v>0</v>
      </c>
      <c r="AE20">
        <v>0</v>
      </c>
      <c r="AF20">
        <v>65.709999999999994</v>
      </c>
      <c r="AG20">
        <v>11.6</v>
      </c>
      <c r="AH20">
        <v>0</v>
      </c>
      <c r="AI20">
        <v>1</v>
      </c>
      <c r="AJ20">
        <v>11.52</v>
      </c>
      <c r="AK20">
        <v>29.33</v>
      </c>
      <c r="AL20">
        <v>1</v>
      </c>
      <c r="AM20">
        <v>4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0.41</v>
      </c>
      <c r="AU20" t="s">
        <v>39</v>
      </c>
      <c r="AV20">
        <v>0</v>
      </c>
      <c r="AW20">
        <v>2</v>
      </c>
      <c r="AX20">
        <v>145263061</v>
      </c>
      <c r="AY20">
        <v>1</v>
      </c>
      <c r="AZ20">
        <v>0</v>
      </c>
      <c r="BA20">
        <v>22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ROUND(Y20*Source!I30,9)</f>
        <v>0.16400000000000001</v>
      </c>
      <c r="CY20">
        <f>AB20</f>
        <v>756.98</v>
      </c>
      <c r="CZ20">
        <f>AF20</f>
        <v>65.709999999999994</v>
      </c>
      <c r="DA20">
        <f>AJ20</f>
        <v>11.52</v>
      </c>
      <c r="DB20">
        <f t="shared" si="13"/>
        <v>21.55</v>
      </c>
      <c r="DC20">
        <f t="shared" si="14"/>
        <v>3.81</v>
      </c>
      <c r="DD20" t="s">
        <v>3</v>
      </c>
      <c r="DE20" t="s">
        <v>3</v>
      </c>
      <c r="DF20">
        <f t="shared" si="15"/>
        <v>0</v>
      </c>
      <c r="DG20">
        <f>ROUND(ROUND(AF20*AJ20,2)*CX20,2)</f>
        <v>124.14</v>
      </c>
      <c r="DH20">
        <f t="shared" si="16"/>
        <v>55.8</v>
      </c>
      <c r="DI20">
        <f t="shared" si="17"/>
        <v>0</v>
      </c>
      <c r="DJ20">
        <f>DG20</f>
        <v>124.14</v>
      </c>
      <c r="DK20">
        <v>0</v>
      </c>
      <c r="DL20" t="s">
        <v>3</v>
      </c>
      <c r="DM20">
        <v>0</v>
      </c>
      <c r="DN20" t="s">
        <v>3</v>
      </c>
      <c r="DO20">
        <v>0</v>
      </c>
    </row>
    <row r="21" spans="1:119" x14ac:dyDescent="0.2">
      <c r="A21">
        <f>ROW(Source!A30)</f>
        <v>30</v>
      </c>
      <c r="B21">
        <v>145262827</v>
      </c>
      <c r="C21">
        <v>145263041</v>
      </c>
      <c r="D21">
        <v>140923902</v>
      </c>
      <c r="E21">
        <v>1</v>
      </c>
      <c r="F21">
        <v>1</v>
      </c>
      <c r="G21">
        <v>1</v>
      </c>
      <c r="H21">
        <v>2</v>
      </c>
      <c r="I21" t="s">
        <v>420</v>
      </c>
      <c r="J21" t="s">
        <v>421</v>
      </c>
      <c r="K21" t="s">
        <v>422</v>
      </c>
      <c r="L21">
        <v>1367</v>
      </c>
      <c r="N21">
        <v>1011</v>
      </c>
      <c r="O21" t="s">
        <v>378</v>
      </c>
      <c r="P21" t="s">
        <v>378</v>
      </c>
      <c r="Q21">
        <v>1</v>
      </c>
      <c r="W21">
        <v>0</v>
      </c>
      <c r="X21">
        <v>302935676</v>
      </c>
      <c r="Y21">
        <f t="shared" si="12"/>
        <v>8.3439999999999994</v>
      </c>
      <c r="AA21">
        <v>0</v>
      </c>
      <c r="AB21">
        <v>1087.26</v>
      </c>
      <c r="AC21">
        <v>395.96</v>
      </c>
      <c r="AD21">
        <v>0</v>
      </c>
      <c r="AE21">
        <v>0</v>
      </c>
      <c r="AF21">
        <v>94.38</v>
      </c>
      <c r="AG21">
        <v>13.5</v>
      </c>
      <c r="AH21">
        <v>0</v>
      </c>
      <c r="AI21">
        <v>1</v>
      </c>
      <c r="AJ21">
        <v>11.52</v>
      </c>
      <c r="AK21">
        <v>29.33</v>
      </c>
      <c r="AL21">
        <v>1</v>
      </c>
      <c r="AM21">
        <v>4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10.43</v>
      </c>
      <c r="AU21" t="s">
        <v>39</v>
      </c>
      <c r="AV21">
        <v>0</v>
      </c>
      <c r="AW21">
        <v>2</v>
      </c>
      <c r="AX21">
        <v>145263062</v>
      </c>
      <c r="AY21">
        <v>1</v>
      </c>
      <c r="AZ21">
        <v>0</v>
      </c>
      <c r="BA21">
        <v>23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ROUND(Y21*Source!I30,9)</f>
        <v>4.1719999999999997</v>
      </c>
      <c r="CY21">
        <f>AB21</f>
        <v>1087.26</v>
      </c>
      <c r="CZ21">
        <f>AF21</f>
        <v>94.38</v>
      </c>
      <c r="DA21">
        <f>AJ21</f>
        <v>11.52</v>
      </c>
      <c r="DB21">
        <f t="shared" si="13"/>
        <v>787.5</v>
      </c>
      <c r="DC21">
        <f t="shared" si="14"/>
        <v>112.65</v>
      </c>
      <c r="DD21" t="s">
        <v>3</v>
      </c>
      <c r="DE21" t="s">
        <v>3</v>
      </c>
      <c r="DF21">
        <f t="shared" si="15"/>
        <v>0</v>
      </c>
      <c r="DG21">
        <f>ROUND(ROUND(AF21*AJ21,2)*CX21,2)</f>
        <v>4536.05</v>
      </c>
      <c r="DH21">
        <f t="shared" si="16"/>
        <v>1651.95</v>
      </c>
      <c r="DI21">
        <f t="shared" si="17"/>
        <v>0</v>
      </c>
      <c r="DJ21">
        <f>DG21</f>
        <v>4536.05</v>
      </c>
      <c r="DK21">
        <v>0</v>
      </c>
      <c r="DL21" t="s">
        <v>3</v>
      </c>
      <c r="DM21">
        <v>0</v>
      </c>
      <c r="DN21" t="s">
        <v>3</v>
      </c>
      <c r="DO21">
        <v>0</v>
      </c>
    </row>
    <row r="22" spans="1:119" x14ac:dyDescent="0.2">
      <c r="A22">
        <f>ROW(Source!A30)</f>
        <v>30</v>
      </c>
      <c r="B22">
        <v>145262827</v>
      </c>
      <c r="C22">
        <v>145263041</v>
      </c>
      <c r="D22">
        <v>140923908</v>
      </c>
      <c r="E22">
        <v>1</v>
      </c>
      <c r="F22">
        <v>1</v>
      </c>
      <c r="G22">
        <v>1</v>
      </c>
      <c r="H22">
        <v>2</v>
      </c>
      <c r="I22" t="s">
        <v>423</v>
      </c>
      <c r="J22" t="s">
        <v>424</v>
      </c>
      <c r="K22" t="s">
        <v>425</v>
      </c>
      <c r="L22">
        <v>1367</v>
      </c>
      <c r="N22">
        <v>1011</v>
      </c>
      <c r="O22" t="s">
        <v>378</v>
      </c>
      <c r="P22" t="s">
        <v>378</v>
      </c>
      <c r="Q22">
        <v>1</v>
      </c>
      <c r="W22">
        <v>0</v>
      </c>
      <c r="X22">
        <v>1419183142</v>
      </c>
      <c r="Y22">
        <f t="shared" si="12"/>
        <v>8.3439999999999994</v>
      </c>
      <c r="AA22">
        <v>0</v>
      </c>
      <c r="AB22">
        <v>330.05</v>
      </c>
      <c r="AC22">
        <v>0</v>
      </c>
      <c r="AD22">
        <v>0</v>
      </c>
      <c r="AE22">
        <v>0</v>
      </c>
      <c r="AF22">
        <v>28.65</v>
      </c>
      <c r="AG22">
        <v>0</v>
      </c>
      <c r="AH22">
        <v>0</v>
      </c>
      <c r="AI22">
        <v>1</v>
      </c>
      <c r="AJ22">
        <v>11.52</v>
      </c>
      <c r="AK22">
        <v>29.33</v>
      </c>
      <c r="AL22">
        <v>1</v>
      </c>
      <c r="AM22">
        <v>4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10.43</v>
      </c>
      <c r="AU22" t="s">
        <v>39</v>
      </c>
      <c r="AV22">
        <v>0</v>
      </c>
      <c r="AW22">
        <v>2</v>
      </c>
      <c r="AX22">
        <v>145263063</v>
      </c>
      <c r="AY22">
        <v>1</v>
      </c>
      <c r="AZ22">
        <v>0</v>
      </c>
      <c r="BA22">
        <v>24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ROUND(Y22*Source!I30,9)</f>
        <v>4.1719999999999997</v>
      </c>
      <c r="CY22">
        <f>AB22</f>
        <v>330.05</v>
      </c>
      <c r="CZ22">
        <f>AF22</f>
        <v>28.65</v>
      </c>
      <c r="DA22">
        <f>AJ22</f>
        <v>11.52</v>
      </c>
      <c r="DB22">
        <f t="shared" si="13"/>
        <v>239.06</v>
      </c>
      <c r="DC22">
        <f t="shared" si="14"/>
        <v>0</v>
      </c>
      <c r="DD22" t="s">
        <v>3</v>
      </c>
      <c r="DE22" t="s">
        <v>3</v>
      </c>
      <c r="DF22">
        <f t="shared" si="15"/>
        <v>0</v>
      </c>
      <c r="DG22">
        <f>ROUND(ROUND(AF22*AJ22,2)*CX22,2)</f>
        <v>1376.97</v>
      </c>
      <c r="DH22">
        <f t="shared" si="16"/>
        <v>0</v>
      </c>
      <c r="DI22">
        <f t="shared" si="17"/>
        <v>0</v>
      </c>
      <c r="DJ22">
        <f>DG22</f>
        <v>1376.97</v>
      </c>
      <c r="DK22">
        <v>0</v>
      </c>
      <c r="DL22" t="s">
        <v>3</v>
      </c>
      <c r="DM22">
        <v>0</v>
      </c>
      <c r="DN22" t="s">
        <v>3</v>
      </c>
      <c r="DO22">
        <v>0</v>
      </c>
    </row>
    <row r="23" spans="1:119" x14ac:dyDescent="0.2">
      <c r="A23">
        <f>ROW(Source!A30)</f>
        <v>30</v>
      </c>
      <c r="B23">
        <v>145262827</v>
      </c>
      <c r="C23">
        <v>145263041</v>
      </c>
      <c r="D23">
        <v>140924098</v>
      </c>
      <c r="E23">
        <v>1</v>
      </c>
      <c r="F23">
        <v>1</v>
      </c>
      <c r="G23">
        <v>1</v>
      </c>
      <c r="H23">
        <v>2</v>
      </c>
      <c r="I23" t="s">
        <v>389</v>
      </c>
      <c r="J23" t="s">
        <v>390</v>
      </c>
      <c r="K23" t="s">
        <v>391</v>
      </c>
      <c r="L23">
        <v>1367</v>
      </c>
      <c r="N23">
        <v>1011</v>
      </c>
      <c r="O23" t="s">
        <v>378</v>
      </c>
      <c r="P23" t="s">
        <v>378</v>
      </c>
      <c r="Q23">
        <v>1</v>
      </c>
      <c r="W23">
        <v>0</v>
      </c>
      <c r="X23">
        <v>829370094</v>
      </c>
      <c r="Y23">
        <f t="shared" si="12"/>
        <v>8.32</v>
      </c>
      <c r="AA23">
        <v>0</v>
      </c>
      <c r="AB23">
        <v>93.31</v>
      </c>
      <c r="AC23">
        <v>0</v>
      </c>
      <c r="AD23">
        <v>0</v>
      </c>
      <c r="AE23">
        <v>0</v>
      </c>
      <c r="AF23">
        <v>8.1</v>
      </c>
      <c r="AG23">
        <v>0</v>
      </c>
      <c r="AH23">
        <v>0</v>
      </c>
      <c r="AI23">
        <v>1</v>
      </c>
      <c r="AJ23">
        <v>11.52</v>
      </c>
      <c r="AK23">
        <v>29.33</v>
      </c>
      <c r="AL23">
        <v>1</v>
      </c>
      <c r="AM23">
        <v>4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10.4</v>
      </c>
      <c r="AU23" t="s">
        <v>39</v>
      </c>
      <c r="AV23">
        <v>0</v>
      </c>
      <c r="AW23">
        <v>2</v>
      </c>
      <c r="AX23">
        <v>145263064</v>
      </c>
      <c r="AY23">
        <v>1</v>
      </c>
      <c r="AZ23">
        <v>0</v>
      </c>
      <c r="BA23">
        <v>25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ROUND(Y23*Source!I30,9)</f>
        <v>4.16</v>
      </c>
      <c r="CY23">
        <f>AB23</f>
        <v>93.31</v>
      </c>
      <c r="CZ23">
        <f>AF23</f>
        <v>8.1</v>
      </c>
      <c r="DA23">
        <f>AJ23</f>
        <v>11.52</v>
      </c>
      <c r="DB23">
        <f t="shared" si="13"/>
        <v>67.39</v>
      </c>
      <c r="DC23">
        <f t="shared" si="14"/>
        <v>0</v>
      </c>
      <c r="DD23" t="s">
        <v>3</v>
      </c>
      <c r="DE23" t="s">
        <v>3</v>
      </c>
      <c r="DF23">
        <f t="shared" si="15"/>
        <v>0</v>
      </c>
      <c r="DG23">
        <f>ROUND(ROUND(AF23*AJ23,2)*CX23,2)</f>
        <v>388.17</v>
      </c>
      <c r="DH23">
        <f t="shared" si="16"/>
        <v>0</v>
      </c>
      <c r="DI23">
        <f t="shared" si="17"/>
        <v>0</v>
      </c>
      <c r="DJ23">
        <f>DG23</f>
        <v>388.17</v>
      </c>
      <c r="DK23">
        <v>0</v>
      </c>
      <c r="DL23" t="s">
        <v>3</v>
      </c>
      <c r="DM23">
        <v>0</v>
      </c>
      <c r="DN23" t="s">
        <v>3</v>
      </c>
      <c r="DO23">
        <v>0</v>
      </c>
    </row>
    <row r="24" spans="1:119" x14ac:dyDescent="0.2">
      <c r="A24">
        <f>ROW(Source!A30)</f>
        <v>30</v>
      </c>
      <c r="B24">
        <v>145262827</v>
      </c>
      <c r="C24">
        <v>145263041</v>
      </c>
      <c r="D24">
        <v>140773170</v>
      </c>
      <c r="E24">
        <v>1</v>
      </c>
      <c r="F24">
        <v>1</v>
      </c>
      <c r="G24">
        <v>1</v>
      </c>
      <c r="H24">
        <v>3</v>
      </c>
      <c r="I24" t="s">
        <v>392</v>
      </c>
      <c r="J24" t="s">
        <v>393</v>
      </c>
      <c r="K24" t="s">
        <v>394</v>
      </c>
      <c r="L24">
        <v>1327</v>
      </c>
      <c r="N24">
        <v>1005</v>
      </c>
      <c r="O24" t="s">
        <v>158</v>
      </c>
      <c r="P24" t="s">
        <v>158</v>
      </c>
      <c r="Q24">
        <v>1</v>
      </c>
      <c r="W24">
        <v>0</v>
      </c>
      <c r="X24">
        <v>1300369369</v>
      </c>
      <c r="Y24">
        <f t="shared" ref="Y24:Y32" si="18">(AT24*0)</f>
        <v>0</v>
      </c>
      <c r="AA24">
        <v>30.7</v>
      </c>
      <c r="AB24">
        <v>0</v>
      </c>
      <c r="AC24">
        <v>0</v>
      </c>
      <c r="AD24">
        <v>0</v>
      </c>
      <c r="AE24">
        <v>3.62</v>
      </c>
      <c r="AF24">
        <v>0</v>
      </c>
      <c r="AG24">
        <v>0</v>
      </c>
      <c r="AH24">
        <v>0</v>
      </c>
      <c r="AI24">
        <v>8.48</v>
      </c>
      <c r="AJ24">
        <v>1</v>
      </c>
      <c r="AK24">
        <v>1</v>
      </c>
      <c r="AL24">
        <v>1</v>
      </c>
      <c r="AM24">
        <v>4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60</v>
      </c>
      <c r="AU24" t="s">
        <v>38</v>
      </c>
      <c r="AV24">
        <v>0</v>
      </c>
      <c r="AW24">
        <v>2</v>
      </c>
      <c r="AX24">
        <v>145263065</v>
      </c>
      <c r="AY24">
        <v>1</v>
      </c>
      <c r="AZ24">
        <v>0</v>
      </c>
      <c r="BA24">
        <v>26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ROUND(Y24*Source!I30,9)</f>
        <v>0</v>
      </c>
      <c r="CY24">
        <f t="shared" ref="CY24:CY32" si="19">AA24</f>
        <v>30.7</v>
      </c>
      <c r="CZ24">
        <f t="shared" ref="CZ24:CZ32" si="20">AE24</f>
        <v>3.62</v>
      </c>
      <c r="DA24">
        <f t="shared" ref="DA24:DA32" si="21">AI24</f>
        <v>8.48</v>
      </c>
      <c r="DB24">
        <f t="shared" ref="DB24:DB32" si="22">ROUND((ROUND(AT24*CZ24,2)*0),2)</f>
        <v>0</v>
      </c>
      <c r="DC24">
        <f t="shared" ref="DC24:DC32" si="23">ROUND((ROUND(AT24*AG24,2)*0),2)</f>
        <v>0</v>
      </c>
      <c r="DD24" t="s">
        <v>3</v>
      </c>
      <c r="DE24" t="s">
        <v>3</v>
      </c>
      <c r="DF24">
        <f t="shared" ref="DF24:DF32" si="24">ROUND(ROUND(AE24*AI24,2)*CX24,2)</f>
        <v>0</v>
      </c>
      <c r="DG24">
        <f t="shared" ref="DG24:DG34" si="25">ROUND(ROUND(AF24,2)*CX24,2)</f>
        <v>0</v>
      </c>
      <c r="DH24">
        <f t="shared" ref="DH24:DH33" si="26">ROUND(ROUND(AG24,2)*CX24,2)</f>
        <v>0</v>
      </c>
      <c r="DI24">
        <f t="shared" si="17"/>
        <v>0</v>
      </c>
      <c r="DJ24">
        <f t="shared" ref="DJ24:DJ32" si="27">DF24</f>
        <v>0</v>
      </c>
      <c r="DK24">
        <v>0</v>
      </c>
      <c r="DL24" t="s">
        <v>3</v>
      </c>
      <c r="DM24">
        <v>0</v>
      </c>
      <c r="DN24" t="s">
        <v>3</v>
      </c>
      <c r="DO24">
        <v>0</v>
      </c>
    </row>
    <row r="25" spans="1:119" x14ac:dyDescent="0.2">
      <c r="A25">
        <f>ROW(Source!A30)</f>
        <v>30</v>
      </c>
      <c r="B25">
        <v>145262827</v>
      </c>
      <c r="C25">
        <v>145263041</v>
      </c>
      <c r="D25">
        <v>140773798</v>
      </c>
      <c r="E25">
        <v>1</v>
      </c>
      <c r="F25">
        <v>1</v>
      </c>
      <c r="G25">
        <v>1</v>
      </c>
      <c r="H25">
        <v>3</v>
      </c>
      <c r="I25" t="s">
        <v>395</v>
      </c>
      <c r="J25" t="s">
        <v>396</v>
      </c>
      <c r="K25" t="s">
        <v>397</v>
      </c>
      <c r="L25">
        <v>1348</v>
      </c>
      <c r="N25">
        <v>1009</v>
      </c>
      <c r="O25" t="s">
        <v>206</v>
      </c>
      <c r="P25" t="s">
        <v>206</v>
      </c>
      <c r="Q25">
        <v>1000</v>
      </c>
      <c r="W25">
        <v>0</v>
      </c>
      <c r="X25">
        <v>761442094</v>
      </c>
      <c r="Y25">
        <f t="shared" si="18"/>
        <v>0</v>
      </c>
      <c r="AA25">
        <v>79915.520000000004</v>
      </c>
      <c r="AB25">
        <v>0</v>
      </c>
      <c r="AC25">
        <v>0</v>
      </c>
      <c r="AD25">
        <v>0</v>
      </c>
      <c r="AE25">
        <v>9424</v>
      </c>
      <c r="AF25">
        <v>0</v>
      </c>
      <c r="AG25">
        <v>0</v>
      </c>
      <c r="AH25">
        <v>0</v>
      </c>
      <c r="AI25">
        <v>8.48</v>
      </c>
      <c r="AJ25">
        <v>1</v>
      </c>
      <c r="AK25">
        <v>1</v>
      </c>
      <c r="AL25">
        <v>1</v>
      </c>
      <c r="AM25">
        <v>4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</v>
      </c>
      <c r="AT25">
        <v>0.02</v>
      </c>
      <c r="AU25" t="s">
        <v>38</v>
      </c>
      <c r="AV25">
        <v>0</v>
      </c>
      <c r="AW25">
        <v>2</v>
      </c>
      <c r="AX25">
        <v>145263066</v>
      </c>
      <c r="AY25">
        <v>1</v>
      </c>
      <c r="AZ25">
        <v>0</v>
      </c>
      <c r="BA25">
        <v>27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ROUND(Y25*Source!I30,9)</f>
        <v>0</v>
      </c>
      <c r="CY25">
        <f t="shared" si="19"/>
        <v>79915.520000000004</v>
      </c>
      <c r="CZ25">
        <f t="shared" si="20"/>
        <v>9424</v>
      </c>
      <c r="DA25">
        <f t="shared" si="21"/>
        <v>8.48</v>
      </c>
      <c r="DB25">
        <f t="shared" si="22"/>
        <v>0</v>
      </c>
      <c r="DC25">
        <f t="shared" si="23"/>
        <v>0</v>
      </c>
      <c r="DD25" t="s">
        <v>3</v>
      </c>
      <c r="DE25" t="s">
        <v>3</v>
      </c>
      <c r="DF25">
        <f t="shared" si="24"/>
        <v>0</v>
      </c>
      <c r="DG25">
        <f t="shared" si="25"/>
        <v>0</v>
      </c>
      <c r="DH25">
        <f t="shared" si="26"/>
        <v>0</v>
      </c>
      <c r="DI25">
        <f t="shared" si="17"/>
        <v>0</v>
      </c>
      <c r="DJ25">
        <f t="shared" si="27"/>
        <v>0</v>
      </c>
      <c r="DK25">
        <v>0</v>
      </c>
      <c r="DL25" t="s">
        <v>3</v>
      </c>
      <c r="DM25">
        <v>0</v>
      </c>
      <c r="DN25" t="s">
        <v>3</v>
      </c>
      <c r="DO25">
        <v>0</v>
      </c>
    </row>
    <row r="26" spans="1:119" x14ac:dyDescent="0.2">
      <c r="A26">
        <f>ROW(Source!A30)</f>
        <v>30</v>
      </c>
      <c r="B26">
        <v>145262827</v>
      </c>
      <c r="C26">
        <v>145263041</v>
      </c>
      <c r="D26">
        <v>140775118</v>
      </c>
      <c r="E26">
        <v>1</v>
      </c>
      <c r="F26">
        <v>1</v>
      </c>
      <c r="G26">
        <v>1</v>
      </c>
      <c r="H26">
        <v>3</v>
      </c>
      <c r="I26" t="s">
        <v>398</v>
      </c>
      <c r="J26" t="s">
        <v>399</v>
      </c>
      <c r="K26" t="s">
        <v>400</v>
      </c>
      <c r="L26">
        <v>1348</v>
      </c>
      <c r="N26">
        <v>1009</v>
      </c>
      <c r="O26" t="s">
        <v>206</v>
      </c>
      <c r="P26" t="s">
        <v>206</v>
      </c>
      <c r="Q26">
        <v>1000</v>
      </c>
      <c r="W26">
        <v>0</v>
      </c>
      <c r="X26">
        <v>-45966985</v>
      </c>
      <c r="Y26">
        <f t="shared" si="18"/>
        <v>0</v>
      </c>
      <c r="AA26">
        <v>101573.44</v>
      </c>
      <c r="AB26">
        <v>0</v>
      </c>
      <c r="AC26">
        <v>0</v>
      </c>
      <c r="AD26">
        <v>0</v>
      </c>
      <c r="AE26">
        <v>11978</v>
      </c>
      <c r="AF26">
        <v>0</v>
      </c>
      <c r="AG26">
        <v>0</v>
      </c>
      <c r="AH26">
        <v>0</v>
      </c>
      <c r="AI26">
        <v>8.48</v>
      </c>
      <c r="AJ26">
        <v>1</v>
      </c>
      <c r="AK26">
        <v>1</v>
      </c>
      <c r="AL26">
        <v>1</v>
      </c>
      <c r="AM26">
        <v>4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</v>
      </c>
      <c r="AT26">
        <v>2.9999999999999997E-4</v>
      </c>
      <c r="AU26" t="s">
        <v>38</v>
      </c>
      <c r="AV26">
        <v>0</v>
      </c>
      <c r="AW26">
        <v>2</v>
      </c>
      <c r="AX26">
        <v>145263067</v>
      </c>
      <c r="AY26">
        <v>1</v>
      </c>
      <c r="AZ26">
        <v>0</v>
      </c>
      <c r="BA26">
        <v>28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ROUND(Y26*Source!I30,9)</f>
        <v>0</v>
      </c>
      <c r="CY26">
        <f t="shared" si="19"/>
        <v>101573.44</v>
      </c>
      <c r="CZ26">
        <f t="shared" si="20"/>
        <v>11978</v>
      </c>
      <c r="DA26">
        <f t="shared" si="21"/>
        <v>8.48</v>
      </c>
      <c r="DB26">
        <f t="shared" si="22"/>
        <v>0</v>
      </c>
      <c r="DC26">
        <f t="shared" si="23"/>
        <v>0</v>
      </c>
      <c r="DD26" t="s">
        <v>3</v>
      </c>
      <c r="DE26" t="s">
        <v>3</v>
      </c>
      <c r="DF26">
        <f t="shared" si="24"/>
        <v>0</v>
      </c>
      <c r="DG26">
        <f t="shared" si="25"/>
        <v>0</v>
      </c>
      <c r="DH26">
        <f t="shared" si="26"/>
        <v>0</v>
      </c>
      <c r="DI26">
        <f t="shared" si="17"/>
        <v>0</v>
      </c>
      <c r="DJ26">
        <f t="shared" si="27"/>
        <v>0</v>
      </c>
      <c r="DK26">
        <v>0</v>
      </c>
      <c r="DL26" t="s">
        <v>3</v>
      </c>
      <c r="DM26">
        <v>0</v>
      </c>
      <c r="DN26" t="s">
        <v>3</v>
      </c>
      <c r="DO26">
        <v>0</v>
      </c>
    </row>
    <row r="27" spans="1:119" x14ac:dyDescent="0.2">
      <c r="A27">
        <f>ROW(Source!A30)</f>
        <v>30</v>
      </c>
      <c r="B27">
        <v>145262827</v>
      </c>
      <c r="C27">
        <v>145263041</v>
      </c>
      <c r="D27">
        <v>140778126</v>
      </c>
      <c r="E27">
        <v>1</v>
      </c>
      <c r="F27">
        <v>1</v>
      </c>
      <c r="G27">
        <v>1</v>
      </c>
      <c r="H27">
        <v>3</v>
      </c>
      <c r="I27" t="s">
        <v>401</v>
      </c>
      <c r="J27" t="s">
        <v>402</v>
      </c>
      <c r="K27" t="s">
        <v>403</v>
      </c>
      <c r="L27">
        <v>1339</v>
      </c>
      <c r="N27">
        <v>1007</v>
      </c>
      <c r="O27" t="s">
        <v>404</v>
      </c>
      <c r="P27" t="s">
        <v>404</v>
      </c>
      <c r="Q27">
        <v>1</v>
      </c>
      <c r="W27">
        <v>0</v>
      </c>
      <c r="X27">
        <v>513360614</v>
      </c>
      <c r="Y27">
        <f t="shared" si="18"/>
        <v>0</v>
      </c>
      <c r="AA27">
        <v>4391.88</v>
      </c>
      <c r="AB27">
        <v>0</v>
      </c>
      <c r="AC27">
        <v>0</v>
      </c>
      <c r="AD27">
        <v>0</v>
      </c>
      <c r="AE27">
        <v>517.91</v>
      </c>
      <c r="AF27">
        <v>0</v>
      </c>
      <c r="AG27">
        <v>0</v>
      </c>
      <c r="AH27">
        <v>0</v>
      </c>
      <c r="AI27">
        <v>8.48</v>
      </c>
      <c r="AJ27">
        <v>1</v>
      </c>
      <c r="AK27">
        <v>1</v>
      </c>
      <c r="AL27">
        <v>1</v>
      </c>
      <c r="AM27">
        <v>4</v>
      </c>
      <c r="AN27">
        <v>0</v>
      </c>
      <c r="AO27">
        <v>1</v>
      </c>
      <c r="AP27">
        <v>1</v>
      </c>
      <c r="AQ27">
        <v>0</v>
      </c>
      <c r="AR27">
        <v>0</v>
      </c>
      <c r="AS27" t="s">
        <v>3</v>
      </c>
      <c r="AT27">
        <v>0.2</v>
      </c>
      <c r="AU27" t="s">
        <v>38</v>
      </c>
      <c r="AV27">
        <v>0</v>
      </c>
      <c r="AW27">
        <v>2</v>
      </c>
      <c r="AX27">
        <v>145263069</v>
      </c>
      <c r="AY27">
        <v>1</v>
      </c>
      <c r="AZ27">
        <v>0</v>
      </c>
      <c r="BA27">
        <v>30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ROUND(Y27*Source!I30,9)</f>
        <v>0</v>
      </c>
      <c r="CY27">
        <f t="shared" si="19"/>
        <v>4391.88</v>
      </c>
      <c r="CZ27">
        <f t="shared" si="20"/>
        <v>517.91</v>
      </c>
      <c r="DA27">
        <f t="shared" si="21"/>
        <v>8.48</v>
      </c>
      <c r="DB27">
        <f t="shared" si="22"/>
        <v>0</v>
      </c>
      <c r="DC27">
        <f t="shared" si="23"/>
        <v>0</v>
      </c>
      <c r="DD27" t="s">
        <v>3</v>
      </c>
      <c r="DE27" t="s">
        <v>3</v>
      </c>
      <c r="DF27">
        <f t="shared" si="24"/>
        <v>0</v>
      </c>
      <c r="DG27">
        <f t="shared" si="25"/>
        <v>0</v>
      </c>
      <c r="DH27">
        <f t="shared" si="26"/>
        <v>0</v>
      </c>
      <c r="DI27">
        <f t="shared" si="17"/>
        <v>0</v>
      </c>
      <c r="DJ27">
        <f t="shared" si="27"/>
        <v>0</v>
      </c>
      <c r="DK27">
        <v>0</v>
      </c>
      <c r="DL27" t="s">
        <v>3</v>
      </c>
      <c r="DM27">
        <v>0</v>
      </c>
      <c r="DN27" t="s">
        <v>3</v>
      </c>
      <c r="DO27">
        <v>0</v>
      </c>
    </row>
    <row r="28" spans="1:119" x14ac:dyDescent="0.2">
      <c r="A28">
        <f>ROW(Source!A30)</f>
        <v>30</v>
      </c>
      <c r="B28">
        <v>145262827</v>
      </c>
      <c r="C28">
        <v>145263041</v>
      </c>
      <c r="D28">
        <v>140789846</v>
      </c>
      <c r="E28">
        <v>1</v>
      </c>
      <c r="F28">
        <v>1</v>
      </c>
      <c r="G28">
        <v>1</v>
      </c>
      <c r="H28">
        <v>3</v>
      </c>
      <c r="I28" t="s">
        <v>405</v>
      </c>
      <c r="J28" t="s">
        <v>406</v>
      </c>
      <c r="K28" t="s">
        <v>407</v>
      </c>
      <c r="L28">
        <v>1348</v>
      </c>
      <c r="N28">
        <v>1009</v>
      </c>
      <c r="O28" t="s">
        <v>206</v>
      </c>
      <c r="P28" t="s">
        <v>206</v>
      </c>
      <c r="Q28">
        <v>1000</v>
      </c>
      <c r="W28">
        <v>0</v>
      </c>
      <c r="X28">
        <v>630163152</v>
      </c>
      <c r="Y28">
        <f t="shared" si="18"/>
        <v>0</v>
      </c>
      <c r="AA28">
        <v>85181.6</v>
      </c>
      <c r="AB28">
        <v>0</v>
      </c>
      <c r="AC28">
        <v>0</v>
      </c>
      <c r="AD28">
        <v>0</v>
      </c>
      <c r="AE28">
        <v>10045</v>
      </c>
      <c r="AF28">
        <v>0</v>
      </c>
      <c r="AG28">
        <v>0</v>
      </c>
      <c r="AH28">
        <v>0</v>
      </c>
      <c r="AI28">
        <v>8.48</v>
      </c>
      <c r="AJ28">
        <v>1</v>
      </c>
      <c r="AK28">
        <v>1</v>
      </c>
      <c r="AL28">
        <v>1</v>
      </c>
      <c r="AM28">
        <v>4</v>
      </c>
      <c r="AN28">
        <v>0</v>
      </c>
      <c r="AO28">
        <v>1</v>
      </c>
      <c r="AP28">
        <v>1</v>
      </c>
      <c r="AQ28">
        <v>0</v>
      </c>
      <c r="AR28">
        <v>0</v>
      </c>
      <c r="AS28" t="s">
        <v>3</v>
      </c>
      <c r="AT28">
        <v>0.12</v>
      </c>
      <c r="AU28" t="s">
        <v>38</v>
      </c>
      <c r="AV28">
        <v>0</v>
      </c>
      <c r="AW28">
        <v>2</v>
      </c>
      <c r="AX28">
        <v>145263071</v>
      </c>
      <c r="AY28">
        <v>1</v>
      </c>
      <c r="AZ28">
        <v>0</v>
      </c>
      <c r="BA28">
        <v>32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ROUND(Y28*Source!I30,9)</f>
        <v>0</v>
      </c>
      <c r="CY28">
        <f t="shared" si="19"/>
        <v>85181.6</v>
      </c>
      <c r="CZ28">
        <f t="shared" si="20"/>
        <v>10045</v>
      </c>
      <c r="DA28">
        <f t="shared" si="21"/>
        <v>8.48</v>
      </c>
      <c r="DB28">
        <f t="shared" si="22"/>
        <v>0</v>
      </c>
      <c r="DC28">
        <f t="shared" si="23"/>
        <v>0</v>
      </c>
      <c r="DD28" t="s">
        <v>3</v>
      </c>
      <c r="DE28" t="s">
        <v>3</v>
      </c>
      <c r="DF28">
        <f t="shared" si="24"/>
        <v>0</v>
      </c>
      <c r="DG28">
        <f t="shared" si="25"/>
        <v>0</v>
      </c>
      <c r="DH28">
        <f t="shared" si="26"/>
        <v>0</v>
      </c>
      <c r="DI28">
        <f t="shared" si="17"/>
        <v>0</v>
      </c>
      <c r="DJ28">
        <f t="shared" si="27"/>
        <v>0</v>
      </c>
      <c r="DK28">
        <v>0</v>
      </c>
      <c r="DL28" t="s">
        <v>3</v>
      </c>
      <c r="DM28">
        <v>0</v>
      </c>
      <c r="DN28" t="s">
        <v>3</v>
      </c>
      <c r="DO28">
        <v>0</v>
      </c>
    </row>
    <row r="29" spans="1:119" x14ac:dyDescent="0.2">
      <c r="A29">
        <f>ROW(Source!A30)</f>
        <v>30</v>
      </c>
      <c r="B29">
        <v>145262827</v>
      </c>
      <c r="C29">
        <v>145263041</v>
      </c>
      <c r="D29">
        <v>140792339</v>
      </c>
      <c r="E29">
        <v>1</v>
      </c>
      <c r="F29">
        <v>1</v>
      </c>
      <c r="G29">
        <v>1</v>
      </c>
      <c r="H29">
        <v>3</v>
      </c>
      <c r="I29" t="s">
        <v>408</v>
      </c>
      <c r="J29" t="s">
        <v>409</v>
      </c>
      <c r="K29" t="s">
        <v>410</v>
      </c>
      <c r="L29">
        <v>1348</v>
      </c>
      <c r="N29">
        <v>1009</v>
      </c>
      <c r="O29" t="s">
        <v>206</v>
      </c>
      <c r="P29" t="s">
        <v>206</v>
      </c>
      <c r="Q29">
        <v>1000</v>
      </c>
      <c r="W29">
        <v>0</v>
      </c>
      <c r="X29">
        <v>-120483918</v>
      </c>
      <c r="Y29">
        <f t="shared" si="18"/>
        <v>0</v>
      </c>
      <c r="AA29">
        <v>37780.1</v>
      </c>
      <c r="AB29">
        <v>0</v>
      </c>
      <c r="AC29">
        <v>0</v>
      </c>
      <c r="AD29">
        <v>0</v>
      </c>
      <c r="AE29">
        <v>4455.2</v>
      </c>
      <c r="AF29">
        <v>0</v>
      </c>
      <c r="AG29">
        <v>0</v>
      </c>
      <c r="AH29">
        <v>0</v>
      </c>
      <c r="AI29">
        <v>8.48</v>
      </c>
      <c r="AJ29">
        <v>1</v>
      </c>
      <c r="AK29">
        <v>1</v>
      </c>
      <c r="AL29">
        <v>1</v>
      </c>
      <c r="AM29">
        <v>4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2.5399999999999999E-2</v>
      </c>
      <c r="AU29" t="s">
        <v>38</v>
      </c>
      <c r="AV29">
        <v>0</v>
      </c>
      <c r="AW29">
        <v>2</v>
      </c>
      <c r="AX29">
        <v>145263072</v>
      </c>
      <c r="AY29">
        <v>1</v>
      </c>
      <c r="AZ29">
        <v>0</v>
      </c>
      <c r="BA29">
        <v>33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ROUND(Y29*Source!I30,9)</f>
        <v>0</v>
      </c>
      <c r="CY29">
        <f t="shared" si="19"/>
        <v>37780.1</v>
      </c>
      <c r="CZ29">
        <f t="shared" si="20"/>
        <v>4455.2</v>
      </c>
      <c r="DA29">
        <f t="shared" si="21"/>
        <v>8.48</v>
      </c>
      <c r="DB29">
        <f t="shared" si="22"/>
        <v>0</v>
      </c>
      <c r="DC29">
        <f t="shared" si="23"/>
        <v>0</v>
      </c>
      <c r="DD29" t="s">
        <v>3</v>
      </c>
      <c r="DE29" t="s">
        <v>3</v>
      </c>
      <c r="DF29">
        <f t="shared" si="24"/>
        <v>0</v>
      </c>
      <c r="DG29">
        <f t="shared" si="25"/>
        <v>0</v>
      </c>
      <c r="DH29">
        <f t="shared" si="26"/>
        <v>0</v>
      </c>
      <c r="DI29">
        <f t="shared" si="17"/>
        <v>0</v>
      </c>
      <c r="DJ29">
        <f t="shared" si="27"/>
        <v>0</v>
      </c>
      <c r="DK29">
        <v>0</v>
      </c>
      <c r="DL29" t="s">
        <v>3</v>
      </c>
      <c r="DM29">
        <v>0</v>
      </c>
      <c r="DN29" t="s">
        <v>3</v>
      </c>
      <c r="DO29">
        <v>0</v>
      </c>
    </row>
    <row r="30" spans="1:119" x14ac:dyDescent="0.2">
      <c r="A30">
        <f>ROW(Source!A30)</f>
        <v>30</v>
      </c>
      <c r="B30">
        <v>145262827</v>
      </c>
      <c r="C30">
        <v>145263041</v>
      </c>
      <c r="D30">
        <v>140796538</v>
      </c>
      <c r="E30">
        <v>1</v>
      </c>
      <c r="F30">
        <v>1</v>
      </c>
      <c r="G30">
        <v>1</v>
      </c>
      <c r="H30">
        <v>3</v>
      </c>
      <c r="I30" t="s">
        <v>411</v>
      </c>
      <c r="J30" t="s">
        <v>412</v>
      </c>
      <c r="K30" t="s">
        <v>413</v>
      </c>
      <c r="L30">
        <v>1339</v>
      </c>
      <c r="N30">
        <v>1007</v>
      </c>
      <c r="O30" t="s">
        <v>404</v>
      </c>
      <c r="P30" t="s">
        <v>404</v>
      </c>
      <c r="Q30">
        <v>1</v>
      </c>
      <c r="W30">
        <v>0</v>
      </c>
      <c r="X30">
        <v>-1160610406</v>
      </c>
      <c r="Y30">
        <f t="shared" si="18"/>
        <v>0</v>
      </c>
      <c r="AA30">
        <v>8564.7999999999993</v>
      </c>
      <c r="AB30">
        <v>0</v>
      </c>
      <c r="AC30">
        <v>0</v>
      </c>
      <c r="AD30">
        <v>0</v>
      </c>
      <c r="AE30">
        <v>1010</v>
      </c>
      <c r="AF30">
        <v>0</v>
      </c>
      <c r="AG30">
        <v>0</v>
      </c>
      <c r="AH30">
        <v>0</v>
      </c>
      <c r="AI30">
        <v>8.48</v>
      </c>
      <c r="AJ30">
        <v>1</v>
      </c>
      <c r="AK30">
        <v>1</v>
      </c>
      <c r="AL30">
        <v>1</v>
      </c>
      <c r="AM30">
        <v>4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</v>
      </c>
      <c r="AT30">
        <v>0.432</v>
      </c>
      <c r="AU30" t="s">
        <v>38</v>
      </c>
      <c r="AV30">
        <v>0</v>
      </c>
      <c r="AW30">
        <v>2</v>
      </c>
      <c r="AX30">
        <v>145263073</v>
      </c>
      <c r="AY30">
        <v>1</v>
      </c>
      <c r="AZ30">
        <v>0</v>
      </c>
      <c r="BA30">
        <v>34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ROUND(Y30*Source!I30,9)</f>
        <v>0</v>
      </c>
      <c r="CY30">
        <f t="shared" si="19"/>
        <v>8564.7999999999993</v>
      </c>
      <c r="CZ30">
        <f t="shared" si="20"/>
        <v>1010</v>
      </c>
      <c r="DA30">
        <f t="shared" si="21"/>
        <v>8.48</v>
      </c>
      <c r="DB30">
        <f t="shared" si="22"/>
        <v>0</v>
      </c>
      <c r="DC30">
        <f t="shared" si="23"/>
        <v>0</v>
      </c>
      <c r="DD30" t="s">
        <v>3</v>
      </c>
      <c r="DE30" t="s">
        <v>3</v>
      </c>
      <c r="DF30">
        <f t="shared" si="24"/>
        <v>0</v>
      </c>
      <c r="DG30">
        <f t="shared" si="25"/>
        <v>0</v>
      </c>
      <c r="DH30">
        <f t="shared" si="26"/>
        <v>0</v>
      </c>
      <c r="DI30">
        <f t="shared" si="17"/>
        <v>0</v>
      </c>
      <c r="DJ30">
        <f t="shared" si="27"/>
        <v>0</v>
      </c>
      <c r="DK30">
        <v>0</v>
      </c>
      <c r="DL30" t="s">
        <v>3</v>
      </c>
      <c r="DM30">
        <v>0</v>
      </c>
      <c r="DN30" t="s">
        <v>3</v>
      </c>
      <c r="DO30">
        <v>0</v>
      </c>
    </row>
    <row r="31" spans="1:119" x14ac:dyDescent="0.2">
      <c r="A31">
        <f>ROW(Source!A30)</f>
        <v>30</v>
      </c>
      <c r="B31">
        <v>145262827</v>
      </c>
      <c r="C31">
        <v>145263041</v>
      </c>
      <c r="D31">
        <v>140798964</v>
      </c>
      <c r="E31">
        <v>1</v>
      </c>
      <c r="F31">
        <v>1</v>
      </c>
      <c r="G31">
        <v>1</v>
      </c>
      <c r="H31">
        <v>3</v>
      </c>
      <c r="I31" t="s">
        <v>414</v>
      </c>
      <c r="J31" t="s">
        <v>415</v>
      </c>
      <c r="K31" t="s">
        <v>416</v>
      </c>
      <c r="L31">
        <v>1327</v>
      </c>
      <c r="N31">
        <v>1005</v>
      </c>
      <c r="O31" t="s">
        <v>158</v>
      </c>
      <c r="P31" t="s">
        <v>158</v>
      </c>
      <c r="Q31">
        <v>1</v>
      </c>
      <c r="W31">
        <v>0</v>
      </c>
      <c r="X31">
        <v>-1195643458</v>
      </c>
      <c r="Y31">
        <f t="shared" si="18"/>
        <v>0</v>
      </c>
      <c r="AA31">
        <v>57.49</v>
      </c>
      <c r="AB31">
        <v>0</v>
      </c>
      <c r="AC31">
        <v>0</v>
      </c>
      <c r="AD31">
        <v>0</v>
      </c>
      <c r="AE31">
        <v>6.78</v>
      </c>
      <c r="AF31">
        <v>0</v>
      </c>
      <c r="AG31">
        <v>0</v>
      </c>
      <c r="AH31">
        <v>0</v>
      </c>
      <c r="AI31">
        <v>8.48</v>
      </c>
      <c r="AJ31">
        <v>1</v>
      </c>
      <c r="AK31">
        <v>1</v>
      </c>
      <c r="AL31">
        <v>1</v>
      </c>
      <c r="AM31">
        <v>4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56.2</v>
      </c>
      <c r="AU31" t="s">
        <v>38</v>
      </c>
      <c r="AV31">
        <v>0</v>
      </c>
      <c r="AW31">
        <v>2</v>
      </c>
      <c r="AX31">
        <v>145263074</v>
      </c>
      <c r="AY31">
        <v>1</v>
      </c>
      <c r="AZ31">
        <v>0</v>
      </c>
      <c r="BA31">
        <v>35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ROUND(Y31*Source!I30,9)</f>
        <v>0</v>
      </c>
      <c r="CY31">
        <f t="shared" si="19"/>
        <v>57.49</v>
      </c>
      <c r="CZ31">
        <f t="shared" si="20"/>
        <v>6.78</v>
      </c>
      <c r="DA31">
        <f t="shared" si="21"/>
        <v>8.48</v>
      </c>
      <c r="DB31">
        <f t="shared" si="22"/>
        <v>0</v>
      </c>
      <c r="DC31">
        <f t="shared" si="23"/>
        <v>0</v>
      </c>
      <c r="DD31" t="s">
        <v>3</v>
      </c>
      <c r="DE31" t="s">
        <v>3</v>
      </c>
      <c r="DF31">
        <f t="shared" si="24"/>
        <v>0</v>
      </c>
      <c r="DG31">
        <f t="shared" si="25"/>
        <v>0</v>
      </c>
      <c r="DH31">
        <f t="shared" si="26"/>
        <v>0</v>
      </c>
      <c r="DI31">
        <f t="shared" si="17"/>
        <v>0</v>
      </c>
      <c r="DJ31">
        <f t="shared" si="27"/>
        <v>0</v>
      </c>
      <c r="DK31">
        <v>0</v>
      </c>
      <c r="DL31" t="s">
        <v>3</v>
      </c>
      <c r="DM31">
        <v>0</v>
      </c>
      <c r="DN31" t="s">
        <v>3</v>
      </c>
      <c r="DO31">
        <v>0</v>
      </c>
    </row>
    <row r="32" spans="1:119" x14ac:dyDescent="0.2">
      <c r="A32">
        <f>ROW(Source!A30)</f>
        <v>30</v>
      </c>
      <c r="B32">
        <v>145262827</v>
      </c>
      <c r="C32">
        <v>145263041</v>
      </c>
      <c r="D32">
        <v>140804289</v>
      </c>
      <c r="E32">
        <v>1</v>
      </c>
      <c r="F32">
        <v>1</v>
      </c>
      <c r="G32">
        <v>1</v>
      </c>
      <c r="H32">
        <v>3</v>
      </c>
      <c r="I32" t="s">
        <v>417</v>
      </c>
      <c r="J32" t="s">
        <v>418</v>
      </c>
      <c r="K32" t="s">
        <v>419</v>
      </c>
      <c r="L32">
        <v>1348</v>
      </c>
      <c r="N32">
        <v>1009</v>
      </c>
      <c r="O32" t="s">
        <v>206</v>
      </c>
      <c r="P32" t="s">
        <v>206</v>
      </c>
      <c r="Q32">
        <v>1000</v>
      </c>
      <c r="W32">
        <v>0</v>
      </c>
      <c r="X32">
        <v>-1431291401</v>
      </c>
      <c r="Y32">
        <f t="shared" si="18"/>
        <v>0</v>
      </c>
      <c r="AA32">
        <v>150918.22</v>
      </c>
      <c r="AB32">
        <v>0</v>
      </c>
      <c r="AC32">
        <v>0</v>
      </c>
      <c r="AD32">
        <v>0</v>
      </c>
      <c r="AE32">
        <v>17796.96</v>
      </c>
      <c r="AF32">
        <v>0</v>
      </c>
      <c r="AG32">
        <v>0</v>
      </c>
      <c r="AH32">
        <v>0</v>
      </c>
      <c r="AI32">
        <v>8.48</v>
      </c>
      <c r="AJ32">
        <v>1</v>
      </c>
      <c r="AK32">
        <v>1</v>
      </c>
      <c r="AL32">
        <v>1</v>
      </c>
      <c r="AM32">
        <v>4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0.01</v>
      </c>
      <c r="AU32" t="s">
        <v>38</v>
      </c>
      <c r="AV32">
        <v>0</v>
      </c>
      <c r="AW32">
        <v>2</v>
      </c>
      <c r="AX32">
        <v>145263075</v>
      </c>
      <c r="AY32">
        <v>1</v>
      </c>
      <c r="AZ32">
        <v>0</v>
      </c>
      <c r="BA32">
        <v>36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ROUND(Y32*Source!I30,9)</f>
        <v>0</v>
      </c>
      <c r="CY32">
        <f t="shared" si="19"/>
        <v>150918.22</v>
      </c>
      <c r="CZ32">
        <f t="shared" si="20"/>
        <v>17796.96</v>
      </c>
      <c r="DA32">
        <f t="shared" si="21"/>
        <v>8.48</v>
      </c>
      <c r="DB32">
        <f t="shared" si="22"/>
        <v>0</v>
      </c>
      <c r="DC32">
        <f t="shared" si="23"/>
        <v>0</v>
      </c>
      <c r="DD32" t="s">
        <v>3</v>
      </c>
      <c r="DE32" t="s">
        <v>3</v>
      </c>
      <c r="DF32">
        <f t="shared" si="24"/>
        <v>0</v>
      </c>
      <c r="DG32">
        <f t="shared" si="25"/>
        <v>0</v>
      </c>
      <c r="DH32">
        <f t="shared" si="26"/>
        <v>0</v>
      </c>
      <c r="DI32">
        <f t="shared" si="17"/>
        <v>0</v>
      </c>
      <c r="DJ32">
        <f t="shared" si="27"/>
        <v>0</v>
      </c>
      <c r="DK32">
        <v>0</v>
      </c>
      <c r="DL32" t="s">
        <v>3</v>
      </c>
      <c r="DM32">
        <v>0</v>
      </c>
      <c r="DN32" t="s">
        <v>3</v>
      </c>
      <c r="DO32">
        <v>0</v>
      </c>
    </row>
    <row r="33" spans="1:119" x14ac:dyDescent="0.2">
      <c r="A33">
        <f>ROW(Source!A31)</f>
        <v>31</v>
      </c>
      <c r="B33">
        <v>145262827</v>
      </c>
      <c r="C33">
        <v>145263076</v>
      </c>
      <c r="D33">
        <v>140760027</v>
      </c>
      <c r="E33">
        <v>70</v>
      </c>
      <c r="F33">
        <v>1</v>
      </c>
      <c r="G33">
        <v>1</v>
      </c>
      <c r="H33">
        <v>1</v>
      </c>
      <c r="I33" t="s">
        <v>426</v>
      </c>
      <c r="J33" t="s">
        <v>3</v>
      </c>
      <c r="K33" t="s">
        <v>427</v>
      </c>
      <c r="L33">
        <v>1191</v>
      </c>
      <c r="N33">
        <v>1013</v>
      </c>
      <c r="O33" t="s">
        <v>374</v>
      </c>
      <c r="P33" t="s">
        <v>374</v>
      </c>
      <c r="Q33">
        <v>1</v>
      </c>
      <c r="W33">
        <v>0</v>
      </c>
      <c r="X33">
        <v>1608048003</v>
      </c>
      <c r="Y33">
        <f>(AT33*0.8)</f>
        <v>141.6</v>
      </c>
      <c r="AA33">
        <v>0</v>
      </c>
      <c r="AB33">
        <v>0</v>
      </c>
      <c r="AC33">
        <v>0</v>
      </c>
      <c r="AD33">
        <v>278.93</v>
      </c>
      <c r="AE33">
        <v>0</v>
      </c>
      <c r="AF33">
        <v>0</v>
      </c>
      <c r="AG33">
        <v>0</v>
      </c>
      <c r="AH33">
        <v>9.51</v>
      </c>
      <c r="AI33">
        <v>1</v>
      </c>
      <c r="AJ33">
        <v>1</v>
      </c>
      <c r="AK33">
        <v>1</v>
      </c>
      <c r="AL33">
        <v>29.33</v>
      </c>
      <c r="AM33">
        <v>4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177</v>
      </c>
      <c r="AU33" t="s">
        <v>39</v>
      </c>
      <c r="AV33">
        <v>1</v>
      </c>
      <c r="AW33">
        <v>2</v>
      </c>
      <c r="AX33">
        <v>145263084</v>
      </c>
      <c r="AY33">
        <v>1</v>
      </c>
      <c r="AZ33">
        <v>0</v>
      </c>
      <c r="BA33">
        <v>37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ROUND(Y33*Source!I31,9)</f>
        <v>65.135999999999996</v>
      </c>
      <c r="CY33">
        <f>AD33</f>
        <v>278.93</v>
      </c>
      <c r="CZ33">
        <f>AH33</f>
        <v>9.51</v>
      </c>
      <c r="DA33">
        <f>AL33</f>
        <v>29.33</v>
      </c>
      <c r="DB33">
        <f>ROUND((ROUND(AT33*CZ33,2)*0.8),2)</f>
        <v>1346.62</v>
      </c>
      <c r="DC33">
        <f>ROUND((ROUND(AT33*AG33,2)*0.8),2)</f>
        <v>0</v>
      </c>
      <c r="DD33" t="s">
        <v>3</v>
      </c>
      <c r="DE33" t="s">
        <v>3</v>
      </c>
      <c r="DF33">
        <f>ROUND(ROUND(AE33,2)*CX33,2)</f>
        <v>0</v>
      </c>
      <c r="DG33">
        <f t="shared" si="25"/>
        <v>0</v>
      </c>
      <c r="DH33">
        <f t="shared" si="26"/>
        <v>0</v>
      </c>
      <c r="DI33">
        <f>ROUND(ROUND(AH33*AL33,2)*CX33,2)</f>
        <v>18168.38</v>
      </c>
      <c r="DJ33">
        <f>DI33</f>
        <v>18168.38</v>
      </c>
      <c r="DK33">
        <v>0</v>
      </c>
      <c r="DL33" t="s">
        <v>3</v>
      </c>
      <c r="DM33">
        <v>0</v>
      </c>
      <c r="DN33" t="s">
        <v>3</v>
      </c>
      <c r="DO33">
        <v>0</v>
      </c>
    </row>
    <row r="34" spans="1:119" x14ac:dyDescent="0.2">
      <c r="A34">
        <f>ROW(Source!A31)</f>
        <v>31</v>
      </c>
      <c r="B34">
        <v>145262827</v>
      </c>
      <c r="C34">
        <v>145263076</v>
      </c>
      <c r="D34">
        <v>140760225</v>
      </c>
      <c r="E34">
        <v>70</v>
      </c>
      <c r="F34">
        <v>1</v>
      </c>
      <c r="G34">
        <v>1</v>
      </c>
      <c r="H34">
        <v>1</v>
      </c>
      <c r="I34" t="s">
        <v>381</v>
      </c>
      <c r="J34" t="s">
        <v>3</v>
      </c>
      <c r="K34" t="s">
        <v>382</v>
      </c>
      <c r="L34">
        <v>1191</v>
      </c>
      <c r="N34">
        <v>1013</v>
      </c>
      <c r="O34" t="s">
        <v>374</v>
      </c>
      <c r="P34" t="s">
        <v>374</v>
      </c>
      <c r="Q34">
        <v>1</v>
      </c>
      <c r="W34">
        <v>0</v>
      </c>
      <c r="X34">
        <v>-1417349443</v>
      </c>
      <c r="Y34">
        <f>(AT34*0.8)</f>
        <v>35.095999999999997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</v>
      </c>
      <c r="AJ34">
        <v>1</v>
      </c>
      <c r="AK34">
        <v>29.33</v>
      </c>
      <c r="AL34">
        <v>1</v>
      </c>
      <c r="AM34">
        <v>4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43.87</v>
      </c>
      <c r="AU34" t="s">
        <v>39</v>
      </c>
      <c r="AV34">
        <v>2</v>
      </c>
      <c r="AW34">
        <v>2</v>
      </c>
      <c r="AX34">
        <v>145263085</v>
      </c>
      <c r="AY34">
        <v>1</v>
      </c>
      <c r="AZ34">
        <v>0</v>
      </c>
      <c r="BA34">
        <v>38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ROUND(Y34*Source!I31,9)</f>
        <v>16.144159999999999</v>
      </c>
      <c r="CY34">
        <f>AD34</f>
        <v>0</v>
      </c>
      <c r="CZ34">
        <f>AH34</f>
        <v>0</v>
      </c>
      <c r="DA34">
        <f>AL34</f>
        <v>1</v>
      </c>
      <c r="DB34">
        <f>ROUND((ROUND(AT34*CZ34,2)*0.8),2)</f>
        <v>0</v>
      </c>
      <c r="DC34">
        <f>ROUND((ROUND(AT34*AG34,2)*0.8),2)</f>
        <v>0</v>
      </c>
      <c r="DD34" t="s">
        <v>3</v>
      </c>
      <c r="DE34" t="s">
        <v>3</v>
      </c>
      <c r="DF34">
        <f>ROUND(ROUND(AE34,2)*CX34,2)</f>
        <v>0</v>
      </c>
      <c r="DG34">
        <f t="shared" si="25"/>
        <v>0</v>
      </c>
      <c r="DH34">
        <f>ROUND(ROUND(AG34*AK34,2)*CX34,2)</f>
        <v>0</v>
      </c>
      <c r="DI34">
        <f t="shared" ref="DI34:DI39" si="28">ROUND(ROUND(AH34,2)*CX34,2)</f>
        <v>0</v>
      </c>
      <c r="DJ34">
        <f>DI34</f>
        <v>0</v>
      </c>
      <c r="DK34">
        <v>0</v>
      </c>
      <c r="DL34" t="s">
        <v>3</v>
      </c>
      <c r="DM34">
        <v>0</v>
      </c>
      <c r="DN34" t="s">
        <v>3</v>
      </c>
      <c r="DO34">
        <v>0</v>
      </c>
    </row>
    <row r="35" spans="1:119" x14ac:dyDescent="0.2">
      <c r="A35">
        <f>ROW(Source!A31)</f>
        <v>31</v>
      </c>
      <c r="B35">
        <v>145262827</v>
      </c>
      <c r="C35">
        <v>145263076</v>
      </c>
      <c r="D35">
        <v>140922893</v>
      </c>
      <c r="E35">
        <v>1</v>
      </c>
      <c r="F35">
        <v>1</v>
      </c>
      <c r="G35">
        <v>1</v>
      </c>
      <c r="H35">
        <v>2</v>
      </c>
      <c r="I35" t="s">
        <v>428</v>
      </c>
      <c r="J35" t="s">
        <v>429</v>
      </c>
      <c r="K35" t="s">
        <v>430</v>
      </c>
      <c r="L35">
        <v>1367</v>
      </c>
      <c r="N35">
        <v>1011</v>
      </c>
      <c r="O35" t="s">
        <v>378</v>
      </c>
      <c r="P35" t="s">
        <v>378</v>
      </c>
      <c r="Q35">
        <v>1</v>
      </c>
      <c r="W35">
        <v>0</v>
      </c>
      <c r="X35">
        <v>-130837057</v>
      </c>
      <c r="Y35">
        <f>(AT35*0.8)</f>
        <v>34.216000000000001</v>
      </c>
      <c r="AA35">
        <v>0</v>
      </c>
      <c r="AB35">
        <v>995.33</v>
      </c>
      <c r="AC35">
        <v>395.96</v>
      </c>
      <c r="AD35">
        <v>0</v>
      </c>
      <c r="AE35">
        <v>0</v>
      </c>
      <c r="AF35">
        <v>86.4</v>
      </c>
      <c r="AG35">
        <v>13.5</v>
      </c>
      <c r="AH35">
        <v>0</v>
      </c>
      <c r="AI35">
        <v>1</v>
      </c>
      <c r="AJ35">
        <v>11.52</v>
      </c>
      <c r="AK35">
        <v>29.33</v>
      </c>
      <c r="AL35">
        <v>1</v>
      </c>
      <c r="AM35">
        <v>4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42.77</v>
      </c>
      <c r="AU35" t="s">
        <v>39</v>
      </c>
      <c r="AV35">
        <v>0</v>
      </c>
      <c r="AW35">
        <v>2</v>
      </c>
      <c r="AX35">
        <v>145263086</v>
      </c>
      <c r="AY35">
        <v>1</v>
      </c>
      <c r="AZ35">
        <v>0</v>
      </c>
      <c r="BA35">
        <v>39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ROUND(Y35*Source!I31,9)</f>
        <v>15.73936</v>
      </c>
      <c r="CY35">
        <f>AB35</f>
        <v>995.33</v>
      </c>
      <c r="CZ35">
        <f>AF35</f>
        <v>86.4</v>
      </c>
      <c r="DA35">
        <f>AJ35</f>
        <v>11.52</v>
      </c>
      <c r="DB35">
        <f>ROUND((ROUND(AT35*CZ35,2)*0.8),2)</f>
        <v>2956.26</v>
      </c>
      <c r="DC35">
        <f>ROUND((ROUND(AT35*AG35,2)*0.8),2)</f>
        <v>461.92</v>
      </c>
      <c r="DD35" t="s">
        <v>3</v>
      </c>
      <c r="DE35" t="s">
        <v>3</v>
      </c>
      <c r="DF35">
        <f>ROUND(ROUND(AE35,2)*CX35,2)</f>
        <v>0</v>
      </c>
      <c r="DG35">
        <f>ROUND(ROUND(AF35*AJ35,2)*CX35,2)</f>
        <v>15665.86</v>
      </c>
      <c r="DH35">
        <f>ROUND(ROUND(AG35*AK35,2)*CX35,2)</f>
        <v>6232.16</v>
      </c>
      <c r="DI35">
        <f t="shared" si="28"/>
        <v>0</v>
      </c>
      <c r="DJ35">
        <f>DG35</f>
        <v>15665.86</v>
      </c>
      <c r="DK35">
        <v>0</v>
      </c>
      <c r="DL35" t="s">
        <v>3</v>
      </c>
      <c r="DM35">
        <v>0</v>
      </c>
      <c r="DN35" t="s">
        <v>3</v>
      </c>
      <c r="DO35">
        <v>0</v>
      </c>
    </row>
    <row r="36" spans="1:119" x14ac:dyDescent="0.2">
      <c r="A36">
        <f>ROW(Source!A31)</f>
        <v>31</v>
      </c>
      <c r="B36">
        <v>145262827</v>
      </c>
      <c r="C36">
        <v>145263076</v>
      </c>
      <c r="D36">
        <v>140923885</v>
      </c>
      <c r="E36">
        <v>1</v>
      </c>
      <c r="F36">
        <v>1</v>
      </c>
      <c r="G36">
        <v>1</v>
      </c>
      <c r="H36">
        <v>2</v>
      </c>
      <c r="I36" t="s">
        <v>386</v>
      </c>
      <c r="J36" t="s">
        <v>387</v>
      </c>
      <c r="K36" t="s">
        <v>388</v>
      </c>
      <c r="L36">
        <v>1367</v>
      </c>
      <c r="N36">
        <v>1011</v>
      </c>
      <c r="O36" t="s">
        <v>378</v>
      </c>
      <c r="P36" t="s">
        <v>378</v>
      </c>
      <c r="Q36">
        <v>1</v>
      </c>
      <c r="W36">
        <v>0</v>
      </c>
      <c r="X36">
        <v>509054691</v>
      </c>
      <c r="Y36">
        <f>(AT36*0.8)</f>
        <v>0.88000000000000012</v>
      </c>
      <c r="AA36">
        <v>0</v>
      </c>
      <c r="AB36">
        <v>756.98</v>
      </c>
      <c r="AC36">
        <v>340.23</v>
      </c>
      <c r="AD36">
        <v>0</v>
      </c>
      <c r="AE36">
        <v>0</v>
      </c>
      <c r="AF36">
        <v>65.709999999999994</v>
      </c>
      <c r="AG36">
        <v>11.6</v>
      </c>
      <c r="AH36">
        <v>0</v>
      </c>
      <c r="AI36">
        <v>1</v>
      </c>
      <c r="AJ36">
        <v>11.52</v>
      </c>
      <c r="AK36">
        <v>29.33</v>
      </c>
      <c r="AL36">
        <v>1</v>
      </c>
      <c r="AM36">
        <v>4</v>
      </c>
      <c r="AN36">
        <v>0</v>
      </c>
      <c r="AO36">
        <v>1</v>
      </c>
      <c r="AP36">
        <v>1</v>
      </c>
      <c r="AQ36">
        <v>0</v>
      </c>
      <c r="AR36">
        <v>0</v>
      </c>
      <c r="AS36" t="s">
        <v>3</v>
      </c>
      <c r="AT36">
        <v>1.1000000000000001</v>
      </c>
      <c r="AU36" t="s">
        <v>39</v>
      </c>
      <c r="AV36">
        <v>0</v>
      </c>
      <c r="AW36">
        <v>2</v>
      </c>
      <c r="AX36">
        <v>145263087</v>
      </c>
      <c r="AY36">
        <v>1</v>
      </c>
      <c r="AZ36">
        <v>0</v>
      </c>
      <c r="BA36">
        <v>40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ROUND(Y36*Source!I31,9)</f>
        <v>0.40479999999999999</v>
      </c>
      <c r="CY36">
        <f>AB36</f>
        <v>756.98</v>
      </c>
      <c r="CZ36">
        <f>AF36</f>
        <v>65.709999999999994</v>
      </c>
      <c r="DA36">
        <f>AJ36</f>
        <v>11.52</v>
      </c>
      <c r="DB36">
        <f>ROUND((ROUND(AT36*CZ36,2)*0.8),2)</f>
        <v>57.82</v>
      </c>
      <c r="DC36">
        <f>ROUND((ROUND(AT36*AG36,2)*0.8),2)</f>
        <v>10.210000000000001</v>
      </c>
      <c r="DD36" t="s">
        <v>3</v>
      </c>
      <c r="DE36" t="s">
        <v>3</v>
      </c>
      <c r="DF36">
        <f>ROUND(ROUND(AE36,2)*CX36,2)</f>
        <v>0</v>
      </c>
      <c r="DG36">
        <f>ROUND(ROUND(AF36*AJ36,2)*CX36,2)</f>
        <v>306.43</v>
      </c>
      <c r="DH36">
        <f>ROUND(ROUND(AG36*AK36,2)*CX36,2)</f>
        <v>137.72999999999999</v>
      </c>
      <c r="DI36">
        <f t="shared" si="28"/>
        <v>0</v>
      </c>
      <c r="DJ36">
        <f>DG36</f>
        <v>306.43</v>
      </c>
      <c r="DK36">
        <v>0</v>
      </c>
      <c r="DL36" t="s">
        <v>3</v>
      </c>
      <c r="DM36">
        <v>0</v>
      </c>
      <c r="DN36" t="s">
        <v>3</v>
      </c>
      <c r="DO36">
        <v>0</v>
      </c>
    </row>
    <row r="37" spans="1:119" x14ac:dyDescent="0.2">
      <c r="A37">
        <f>ROW(Source!A31)</f>
        <v>31</v>
      </c>
      <c r="B37">
        <v>145262827</v>
      </c>
      <c r="C37">
        <v>145263076</v>
      </c>
      <c r="D37">
        <v>140924098</v>
      </c>
      <c r="E37">
        <v>1</v>
      </c>
      <c r="F37">
        <v>1</v>
      </c>
      <c r="G37">
        <v>1</v>
      </c>
      <c r="H37">
        <v>2</v>
      </c>
      <c r="I37" t="s">
        <v>389</v>
      </c>
      <c r="J37" t="s">
        <v>390</v>
      </c>
      <c r="K37" t="s">
        <v>391</v>
      </c>
      <c r="L37">
        <v>1367</v>
      </c>
      <c r="N37">
        <v>1011</v>
      </c>
      <c r="O37" t="s">
        <v>378</v>
      </c>
      <c r="P37" t="s">
        <v>378</v>
      </c>
      <c r="Q37">
        <v>1</v>
      </c>
      <c r="W37">
        <v>0</v>
      </c>
      <c r="X37">
        <v>829370094</v>
      </c>
      <c r="Y37">
        <f>(AT37*0.8)</f>
        <v>14</v>
      </c>
      <c r="AA37">
        <v>0</v>
      </c>
      <c r="AB37">
        <v>93.31</v>
      </c>
      <c r="AC37">
        <v>0</v>
      </c>
      <c r="AD37">
        <v>0</v>
      </c>
      <c r="AE37">
        <v>0</v>
      </c>
      <c r="AF37">
        <v>8.1</v>
      </c>
      <c r="AG37">
        <v>0</v>
      </c>
      <c r="AH37">
        <v>0</v>
      </c>
      <c r="AI37">
        <v>1</v>
      </c>
      <c r="AJ37">
        <v>11.52</v>
      </c>
      <c r="AK37">
        <v>29.33</v>
      </c>
      <c r="AL37">
        <v>1</v>
      </c>
      <c r="AM37">
        <v>4</v>
      </c>
      <c r="AN37">
        <v>0</v>
      </c>
      <c r="AO37">
        <v>1</v>
      </c>
      <c r="AP37">
        <v>1</v>
      </c>
      <c r="AQ37">
        <v>0</v>
      </c>
      <c r="AR37">
        <v>0</v>
      </c>
      <c r="AS37" t="s">
        <v>3</v>
      </c>
      <c r="AT37">
        <v>17.5</v>
      </c>
      <c r="AU37" t="s">
        <v>39</v>
      </c>
      <c r="AV37">
        <v>0</v>
      </c>
      <c r="AW37">
        <v>2</v>
      </c>
      <c r="AX37">
        <v>145263088</v>
      </c>
      <c r="AY37">
        <v>1</v>
      </c>
      <c r="AZ37">
        <v>0</v>
      </c>
      <c r="BA37">
        <v>41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ROUND(Y37*Source!I31,9)</f>
        <v>6.44</v>
      </c>
      <c r="CY37">
        <f>AB37</f>
        <v>93.31</v>
      </c>
      <c r="CZ37">
        <f>AF37</f>
        <v>8.1</v>
      </c>
      <c r="DA37">
        <f>AJ37</f>
        <v>11.52</v>
      </c>
      <c r="DB37">
        <f>ROUND((ROUND(AT37*CZ37,2)*0.8),2)</f>
        <v>113.4</v>
      </c>
      <c r="DC37">
        <f>ROUND((ROUND(AT37*AG37,2)*0.8),2)</f>
        <v>0</v>
      </c>
      <c r="DD37" t="s">
        <v>3</v>
      </c>
      <c r="DE37" t="s">
        <v>3</v>
      </c>
      <c r="DF37">
        <f>ROUND(ROUND(AE37,2)*CX37,2)</f>
        <v>0</v>
      </c>
      <c r="DG37">
        <f>ROUND(ROUND(AF37*AJ37,2)*CX37,2)</f>
        <v>600.91999999999996</v>
      </c>
      <c r="DH37">
        <f>ROUND(ROUND(AG37*AK37,2)*CX37,2)</f>
        <v>0</v>
      </c>
      <c r="DI37">
        <f t="shared" si="28"/>
        <v>0</v>
      </c>
      <c r="DJ37">
        <f>DG37</f>
        <v>600.91999999999996</v>
      </c>
      <c r="DK37">
        <v>0</v>
      </c>
      <c r="DL37" t="s">
        <v>3</v>
      </c>
      <c r="DM37">
        <v>0</v>
      </c>
      <c r="DN37" t="s">
        <v>3</v>
      </c>
      <c r="DO37">
        <v>0</v>
      </c>
    </row>
    <row r="38" spans="1:119" x14ac:dyDescent="0.2">
      <c r="A38">
        <f>ROW(Source!A31)</f>
        <v>31</v>
      </c>
      <c r="B38">
        <v>145262827</v>
      </c>
      <c r="C38">
        <v>145263076</v>
      </c>
      <c r="D38">
        <v>140773798</v>
      </c>
      <c r="E38">
        <v>1</v>
      </c>
      <c r="F38">
        <v>1</v>
      </c>
      <c r="G38">
        <v>1</v>
      </c>
      <c r="H38">
        <v>3</v>
      </c>
      <c r="I38" t="s">
        <v>395</v>
      </c>
      <c r="J38" t="s">
        <v>396</v>
      </c>
      <c r="K38" t="s">
        <v>397</v>
      </c>
      <c r="L38">
        <v>1348</v>
      </c>
      <c r="N38">
        <v>1009</v>
      </c>
      <c r="O38" t="s">
        <v>206</v>
      </c>
      <c r="P38" t="s">
        <v>206</v>
      </c>
      <c r="Q38">
        <v>1000</v>
      </c>
      <c r="W38">
        <v>0</v>
      </c>
      <c r="X38">
        <v>761442094</v>
      </c>
      <c r="Y38">
        <f>(AT38*0)</f>
        <v>0</v>
      </c>
      <c r="AA38">
        <v>79915.520000000004</v>
      </c>
      <c r="AB38">
        <v>0</v>
      </c>
      <c r="AC38">
        <v>0</v>
      </c>
      <c r="AD38">
        <v>0</v>
      </c>
      <c r="AE38">
        <v>9424</v>
      </c>
      <c r="AF38">
        <v>0</v>
      </c>
      <c r="AG38">
        <v>0</v>
      </c>
      <c r="AH38">
        <v>0</v>
      </c>
      <c r="AI38">
        <v>8.48</v>
      </c>
      <c r="AJ38">
        <v>1</v>
      </c>
      <c r="AK38">
        <v>1</v>
      </c>
      <c r="AL38">
        <v>1</v>
      </c>
      <c r="AM38">
        <v>4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</v>
      </c>
      <c r="AT38">
        <v>0.03</v>
      </c>
      <c r="AU38" t="s">
        <v>38</v>
      </c>
      <c r="AV38">
        <v>0</v>
      </c>
      <c r="AW38">
        <v>2</v>
      </c>
      <c r="AX38">
        <v>145263089</v>
      </c>
      <c r="AY38">
        <v>1</v>
      </c>
      <c r="AZ38">
        <v>0</v>
      </c>
      <c r="BA38">
        <v>42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ROUND(Y38*Source!I31,9)</f>
        <v>0</v>
      </c>
      <c r="CY38">
        <f>AA38</f>
        <v>79915.520000000004</v>
      </c>
      <c r="CZ38">
        <f>AE38</f>
        <v>9424</v>
      </c>
      <c r="DA38">
        <f>AI38</f>
        <v>8.48</v>
      </c>
      <c r="DB38">
        <f>ROUND((ROUND(AT38*CZ38,2)*0),2)</f>
        <v>0</v>
      </c>
      <c r="DC38">
        <f>ROUND((ROUND(AT38*AG38,2)*0),2)</f>
        <v>0</v>
      </c>
      <c r="DD38" t="s">
        <v>3</v>
      </c>
      <c r="DE38" t="s">
        <v>3</v>
      </c>
      <c r="DF38">
        <f>ROUND(ROUND(AE38*AI38,2)*CX38,2)</f>
        <v>0</v>
      </c>
      <c r="DG38">
        <f>ROUND(ROUND(AF38,2)*CX38,2)</f>
        <v>0</v>
      </c>
      <c r="DH38">
        <f>ROUND(ROUND(AG38,2)*CX38,2)</f>
        <v>0</v>
      </c>
      <c r="DI38">
        <f t="shared" si="28"/>
        <v>0</v>
      </c>
      <c r="DJ38">
        <f>DF38</f>
        <v>0</v>
      </c>
      <c r="DK38">
        <v>0</v>
      </c>
      <c r="DL38" t="s">
        <v>3</v>
      </c>
      <c r="DM38">
        <v>0</v>
      </c>
      <c r="DN38" t="s">
        <v>3</v>
      </c>
      <c r="DO38">
        <v>0</v>
      </c>
    </row>
    <row r="39" spans="1:119" x14ac:dyDescent="0.2">
      <c r="A39">
        <f>ROW(Source!A31)</f>
        <v>31</v>
      </c>
      <c r="B39">
        <v>145262827</v>
      </c>
      <c r="C39">
        <v>145263076</v>
      </c>
      <c r="D39">
        <v>140789846</v>
      </c>
      <c r="E39">
        <v>1</v>
      </c>
      <c r="F39">
        <v>1</v>
      </c>
      <c r="G39">
        <v>1</v>
      </c>
      <c r="H39">
        <v>3</v>
      </c>
      <c r="I39" t="s">
        <v>405</v>
      </c>
      <c r="J39" t="s">
        <v>406</v>
      </c>
      <c r="K39" t="s">
        <v>407</v>
      </c>
      <c r="L39">
        <v>1348</v>
      </c>
      <c r="N39">
        <v>1009</v>
      </c>
      <c r="O39" t="s">
        <v>206</v>
      </c>
      <c r="P39" t="s">
        <v>206</v>
      </c>
      <c r="Q39">
        <v>1000</v>
      </c>
      <c r="W39">
        <v>0</v>
      </c>
      <c r="X39">
        <v>630163152</v>
      </c>
      <c r="Y39">
        <f>(AT39*0)</f>
        <v>0</v>
      </c>
      <c r="AA39">
        <v>85181.6</v>
      </c>
      <c r="AB39">
        <v>0</v>
      </c>
      <c r="AC39">
        <v>0</v>
      </c>
      <c r="AD39">
        <v>0</v>
      </c>
      <c r="AE39">
        <v>10045</v>
      </c>
      <c r="AF39">
        <v>0</v>
      </c>
      <c r="AG39">
        <v>0</v>
      </c>
      <c r="AH39">
        <v>0</v>
      </c>
      <c r="AI39">
        <v>8.48</v>
      </c>
      <c r="AJ39">
        <v>1</v>
      </c>
      <c r="AK39">
        <v>1</v>
      </c>
      <c r="AL39">
        <v>1</v>
      </c>
      <c r="AM39">
        <v>4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0.16</v>
      </c>
      <c r="AU39" t="s">
        <v>38</v>
      </c>
      <c r="AV39">
        <v>0</v>
      </c>
      <c r="AW39">
        <v>2</v>
      </c>
      <c r="AX39">
        <v>145263091</v>
      </c>
      <c r="AY39">
        <v>1</v>
      </c>
      <c r="AZ39">
        <v>0</v>
      </c>
      <c r="BA39">
        <v>44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ROUND(Y39*Source!I31,9)</f>
        <v>0</v>
      </c>
      <c r="CY39">
        <f>AA39</f>
        <v>85181.6</v>
      </c>
      <c r="CZ39">
        <f>AE39</f>
        <v>10045</v>
      </c>
      <c r="DA39">
        <f>AI39</f>
        <v>8.48</v>
      </c>
      <c r="DB39">
        <f>ROUND((ROUND(AT39*CZ39,2)*0),2)</f>
        <v>0</v>
      </c>
      <c r="DC39">
        <f>ROUND((ROUND(AT39*AG39,2)*0),2)</f>
        <v>0</v>
      </c>
      <c r="DD39" t="s">
        <v>3</v>
      </c>
      <c r="DE39" t="s">
        <v>3</v>
      </c>
      <c r="DF39">
        <f>ROUND(ROUND(AE39*AI39,2)*CX39,2)</f>
        <v>0</v>
      </c>
      <c r="DG39">
        <f>ROUND(ROUND(AF39,2)*CX39,2)</f>
        <v>0</v>
      </c>
      <c r="DH39">
        <f>ROUND(ROUND(AG39,2)*CX39,2)</f>
        <v>0</v>
      </c>
      <c r="DI39">
        <f t="shared" si="28"/>
        <v>0</v>
      </c>
      <c r="DJ39">
        <f>DF39</f>
        <v>0</v>
      </c>
      <c r="DK39">
        <v>0</v>
      </c>
      <c r="DL39" t="s">
        <v>3</v>
      </c>
      <c r="DM39">
        <v>0</v>
      </c>
      <c r="DN39" t="s">
        <v>3</v>
      </c>
      <c r="DO39">
        <v>0</v>
      </c>
    </row>
    <row r="40" spans="1:119" x14ac:dyDescent="0.2">
      <c r="A40">
        <f>ROW(Source!A73)</f>
        <v>73</v>
      </c>
      <c r="B40">
        <v>145262827</v>
      </c>
      <c r="C40">
        <v>145263098</v>
      </c>
      <c r="D40">
        <v>140759985</v>
      </c>
      <c r="E40">
        <v>70</v>
      </c>
      <c r="F40">
        <v>1</v>
      </c>
      <c r="G40">
        <v>1</v>
      </c>
      <c r="H40">
        <v>1</v>
      </c>
      <c r="I40" t="s">
        <v>431</v>
      </c>
      <c r="J40" t="s">
        <v>3</v>
      </c>
      <c r="K40" t="s">
        <v>432</v>
      </c>
      <c r="L40">
        <v>1191</v>
      </c>
      <c r="N40">
        <v>1013</v>
      </c>
      <c r="O40" t="s">
        <v>374</v>
      </c>
      <c r="P40" t="s">
        <v>374</v>
      </c>
      <c r="Q40">
        <v>1</v>
      </c>
      <c r="W40">
        <v>0</v>
      </c>
      <c r="X40">
        <v>784619160</v>
      </c>
      <c r="Y40">
        <f>(AT40*1.15)</f>
        <v>39.674999999999997</v>
      </c>
      <c r="AA40">
        <v>0</v>
      </c>
      <c r="AB40">
        <v>0</v>
      </c>
      <c r="AC40">
        <v>0</v>
      </c>
      <c r="AD40">
        <v>256.33999999999997</v>
      </c>
      <c r="AE40">
        <v>0</v>
      </c>
      <c r="AF40">
        <v>0</v>
      </c>
      <c r="AG40">
        <v>0</v>
      </c>
      <c r="AH40">
        <v>8.74</v>
      </c>
      <c r="AI40">
        <v>1</v>
      </c>
      <c r="AJ40">
        <v>1</v>
      </c>
      <c r="AK40">
        <v>1</v>
      </c>
      <c r="AL40">
        <v>29.33</v>
      </c>
      <c r="AM40">
        <v>4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34.5</v>
      </c>
      <c r="AU40" t="s">
        <v>149</v>
      </c>
      <c r="AV40">
        <v>1</v>
      </c>
      <c r="AW40">
        <v>2</v>
      </c>
      <c r="AX40">
        <v>145263120</v>
      </c>
      <c r="AY40">
        <v>1</v>
      </c>
      <c r="AZ40">
        <v>0</v>
      </c>
      <c r="BA40">
        <v>45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ROUND(Y40*Source!I73,9)</f>
        <v>1822.2727500000001</v>
      </c>
      <c r="CY40">
        <f>AD40</f>
        <v>256.33999999999997</v>
      </c>
      <c r="CZ40">
        <f>AH40</f>
        <v>8.74</v>
      </c>
      <c r="DA40">
        <f>AL40</f>
        <v>29.33</v>
      </c>
      <c r="DB40">
        <f>ROUND((ROUND(AT40*CZ40,2)*1.15),2)</f>
        <v>346.76</v>
      </c>
      <c r="DC40">
        <f>ROUND((ROUND(AT40*AG40,2)*1.15),2)</f>
        <v>0</v>
      </c>
      <c r="DD40" t="s">
        <v>3</v>
      </c>
      <c r="DE40" t="s">
        <v>3</v>
      </c>
      <c r="DF40">
        <f t="shared" ref="DF40:DF48" si="29">ROUND(ROUND(AE40,2)*CX40,2)</f>
        <v>0</v>
      </c>
      <c r="DG40">
        <f>ROUND(ROUND(AF40,2)*CX40,2)</f>
        <v>0</v>
      </c>
      <c r="DH40">
        <f>ROUND(ROUND(AG40,2)*CX40,2)</f>
        <v>0</v>
      </c>
      <c r="DI40">
        <f>ROUND(ROUND(AH40*AL40,2)*CX40,2)</f>
        <v>467121.4</v>
      </c>
      <c r="DJ40">
        <f>DI40</f>
        <v>467121.4</v>
      </c>
      <c r="DK40">
        <v>0</v>
      </c>
      <c r="DL40" t="s">
        <v>3</v>
      </c>
      <c r="DM40">
        <v>0</v>
      </c>
      <c r="DN40" t="s">
        <v>3</v>
      </c>
      <c r="DO40">
        <v>0</v>
      </c>
    </row>
    <row r="41" spans="1:119" x14ac:dyDescent="0.2">
      <c r="A41">
        <f>ROW(Source!A73)</f>
        <v>73</v>
      </c>
      <c r="B41">
        <v>145262827</v>
      </c>
      <c r="C41">
        <v>145263098</v>
      </c>
      <c r="D41">
        <v>140760225</v>
      </c>
      <c r="E41">
        <v>70</v>
      </c>
      <c r="F41">
        <v>1</v>
      </c>
      <c r="G41">
        <v>1</v>
      </c>
      <c r="H41">
        <v>1</v>
      </c>
      <c r="I41" t="s">
        <v>381</v>
      </c>
      <c r="J41" t="s">
        <v>3</v>
      </c>
      <c r="K41" t="s">
        <v>382</v>
      </c>
      <c r="L41">
        <v>1191</v>
      </c>
      <c r="N41">
        <v>1013</v>
      </c>
      <c r="O41" t="s">
        <v>374</v>
      </c>
      <c r="P41" t="s">
        <v>374</v>
      </c>
      <c r="Q41">
        <v>1</v>
      </c>
      <c r="W41">
        <v>0</v>
      </c>
      <c r="X41">
        <v>-1417349443</v>
      </c>
      <c r="Y41">
        <f t="shared" ref="Y41:Y48" si="30">(AT41*1.25)</f>
        <v>4.6500000000000004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1</v>
      </c>
      <c r="AJ41">
        <v>1</v>
      </c>
      <c r="AK41">
        <v>29.33</v>
      </c>
      <c r="AL41">
        <v>1</v>
      </c>
      <c r="AM41">
        <v>4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3.72</v>
      </c>
      <c r="AU41" t="s">
        <v>148</v>
      </c>
      <c r="AV41">
        <v>2</v>
      </c>
      <c r="AW41">
        <v>2</v>
      </c>
      <c r="AX41">
        <v>145263121</v>
      </c>
      <c r="AY41">
        <v>1</v>
      </c>
      <c r="AZ41">
        <v>0</v>
      </c>
      <c r="BA41">
        <v>46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ROUND(Y41*Source!I73,9)</f>
        <v>213.5745</v>
      </c>
      <c r="CY41">
        <f>AD41</f>
        <v>0</v>
      </c>
      <c r="CZ41">
        <f>AH41</f>
        <v>0</v>
      </c>
      <c r="DA41">
        <f>AL41</f>
        <v>1</v>
      </c>
      <c r="DB41">
        <f t="shared" ref="DB41:DB48" si="31">ROUND((ROUND(AT41*CZ41,2)*1.25),2)</f>
        <v>0</v>
      </c>
      <c r="DC41">
        <f t="shared" ref="DC41:DC48" si="32">ROUND((ROUND(AT41*AG41,2)*1.25),2)</f>
        <v>0</v>
      </c>
      <c r="DD41" t="s">
        <v>3</v>
      </c>
      <c r="DE41" t="s">
        <v>3</v>
      </c>
      <c r="DF41">
        <f t="shared" si="29"/>
        <v>0</v>
      </c>
      <c r="DG41">
        <f>ROUND(ROUND(AF41,2)*CX41,2)</f>
        <v>0</v>
      </c>
      <c r="DH41">
        <f t="shared" ref="DH41:DH48" si="33">ROUND(ROUND(AG41*AK41,2)*CX41,2)</f>
        <v>0</v>
      </c>
      <c r="DI41">
        <f t="shared" ref="DI41:DI60" si="34">ROUND(ROUND(AH41,2)*CX41,2)</f>
        <v>0</v>
      </c>
      <c r="DJ41">
        <f>DI41</f>
        <v>0</v>
      </c>
      <c r="DK41">
        <v>0</v>
      </c>
      <c r="DL41" t="s">
        <v>3</v>
      </c>
      <c r="DM41">
        <v>0</v>
      </c>
      <c r="DN41" t="s">
        <v>3</v>
      </c>
      <c r="DO41">
        <v>0</v>
      </c>
    </row>
    <row r="42" spans="1:119" x14ac:dyDescent="0.2">
      <c r="A42">
        <f>ROW(Source!A73)</f>
        <v>73</v>
      </c>
      <c r="B42">
        <v>145262827</v>
      </c>
      <c r="C42">
        <v>145263098</v>
      </c>
      <c r="D42">
        <v>140922906</v>
      </c>
      <c r="E42">
        <v>1</v>
      </c>
      <c r="F42">
        <v>1</v>
      </c>
      <c r="G42">
        <v>1</v>
      </c>
      <c r="H42">
        <v>2</v>
      </c>
      <c r="I42" t="s">
        <v>433</v>
      </c>
      <c r="J42" t="s">
        <v>434</v>
      </c>
      <c r="K42" t="s">
        <v>435</v>
      </c>
      <c r="L42">
        <v>1367</v>
      </c>
      <c r="N42">
        <v>1011</v>
      </c>
      <c r="O42" t="s">
        <v>378</v>
      </c>
      <c r="P42" t="s">
        <v>378</v>
      </c>
      <c r="Q42">
        <v>1</v>
      </c>
      <c r="W42">
        <v>0</v>
      </c>
      <c r="X42">
        <v>-163180553</v>
      </c>
      <c r="Y42">
        <f t="shared" si="30"/>
        <v>0.05</v>
      </c>
      <c r="AA42">
        <v>0</v>
      </c>
      <c r="AB42">
        <v>1385.16</v>
      </c>
      <c r="AC42">
        <v>452.27</v>
      </c>
      <c r="AD42">
        <v>0</v>
      </c>
      <c r="AE42">
        <v>0</v>
      </c>
      <c r="AF42">
        <v>120.24</v>
      </c>
      <c r="AG42">
        <v>15.42</v>
      </c>
      <c r="AH42">
        <v>0</v>
      </c>
      <c r="AI42">
        <v>1</v>
      </c>
      <c r="AJ42">
        <v>11.52</v>
      </c>
      <c r="AK42">
        <v>29.33</v>
      </c>
      <c r="AL42">
        <v>1</v>
      </c>
      <c r="AM42">
        <v>4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3</v>
      </c>
      <c r="AT42">
        <v>0.04</v>
      </c>
      <c r="AU42" t="s">
        <v>148</v>
      </c>
      <c r="AV42">
        <v>0</v>
      </c>
      <c r="AW42">
        <v>2</v>
      </c>
      <c r="AX42">
        <v>145263122</v>
      </c>
      <c r="AY42">
        <v>1</v>
      </c>
      <c r="AZ42">
        <v>0</v>
      </c>
      <c r="BA42">
        <v>47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ROUND(Y42*Source!I73,9)</f>
        <v>2.2965</v>
      </c>
      <c r="CY42">
        <f t="shared" ref="CY42:CY48" si="35">AB42</f>
        <v>1385.16</v>
      </c>
      <c r="CZ42">
        <f t="shared" ref="CZ42:CZ48" si="36">AF42</f>
        <v>120.24</v>
      </c>
      <c r="DA42">
        <f t="shared" ref="DA42:DA48" si="37">AJ42</f>
        <v>11.52</v>
      </c>
      <c r="DB42">
        <f t="shared" si="31"/>
        <v>6.01</v>
      </c>
      <c r="DC42">
        <f t="shared" si="32"/>
        <v>0.78</v>
      </c>
      <c r="DD42" t="s">
        <v>3</v>
      </c>
      <c r="DE42" t="s">
        <v>3</v>
      </c>
      <c r="DF42">
        <f t="shared" si="29"/>
        <v>0</v>
      </c>
      <c r="DG42">
        <f t="shared" ref="DG42:DG48" si="38">ROUND(ROUND(AF42*AJ42,2)*CX42,2)</f>
        <v>3181.02</v>
      </c>
      <c r="DH42">
        <f t="shared" si="33"/>
        <v>1038.6400000000001</v>
      </c>
      <c r="DI42">
        <f t="shared" si="34"/>
        <v>0</v>
      </c>
      <c r="DJ42">
        <f t="shared" ref="DJ42:DJ48" si="39">DG42</f>
        <v>3181.02</v>
      </c>
      <c r="DK42">
        <v>0</v>
      </c>
      <c r="DL42" t="s">
        <v>3</v>
      </c>
      <c r="DM42">
        <v>0</v>
      </c>
      <c r="DN42" t="s">
        <v>3</v>
      </c>
      <c r="DO42">
        <v>0</v>
      </c>
    </row>
    <row r="43" spans="1:119" x14ac:dyDescent="0.2">
      <c r="A43">
        <f>ROW(Source!A73)</f>
        <v>73</v>
      </c>
      <c r="B43">
        <v>145262827</v>
      </c>
      <c r="C43">
        <v>145263098</v>
      </c>
      <c r="D43">
        <v>140922951</v>
      </c>
      <c r="E43">
        <v>1</v>
      </c>
      <c r="F43">
        <v>1</v>
      </c>
      <c r="G43">
        <v>1</v>
      </c>
      <c r="H43">
        <v>2</v>
      </c>
      <c r="I43" t="s">
        <v>436</v>
      </c>
      <c r="J43" t="s">
        <v>437</v>
      </c>
      <c r="K43" t="s">
        <v>438</v>
      </c>
      <c r="L43">
        <v>1367</v>
      </c>
      <c r="N43">
        <v>1011</v>
      </c>
      <c r="O43" t="s">
        <v>378</v>
      </c>
      <c r="P43" t="s">
        <v>378</v>
      </c>
      <c r="Q43">
        <v>1</v>
      </c>
      <c r="W43">
        <v>0</v>
      </c>
      <c r="X43">
        <v>-430484415</v>
      </c>
      <c r="Y43">
        <f t="shared" si="30"/>
        <v>0.28750000000000003</v>
      </c>
      <c r="AA43">
        <v>0</v>
      </c>
      <c r="AB43">
        <v>1329.41</v>
      </c>
      <c r="AC43">
        <v>395.96</v>
      </c>
      <c r="AD43">
        <v>0</v>
      </c>
      <c r="AE43">
        <v>0</v>
      </c>
      <c r="AF43">
        <v>115.4</v>
      </c>
      <c r="AG43">
        <v>13.5</v>
      </c>
      <c r="AH43">
        <v>0</v>
      </c>
      <c r="AI43">
        <v>1</v>
      </c>
      <c r="AJ43">
        <v>11.52</v>
      </c>
      <c r="AK43">
        <v>29.33</v>
      </c>
      <c r="AL43">
        <v>1</v>
      </c>
      <c r="AM43">
        <v>4</v>
      </c>
      <c r="AN43">
        <v>0</v>
      </c>
      <c r="AO43">
        <v>1</v>
      </c>
      <c r="AP43">
        <v>1</v>
      </c>
      <c r="AQ43">
        <v>0</v>
      </c>
      <c r="AR43">
        <v>0</v>
      </c>
      <c r="AS43" t="s">
        <v>3</v>
      </c>
      <c r="AT43">
        <v>0.23</v>
      </c>
      <c r="AU43" t="s">
        <v>148</v>
      </c>
      <c r="AV43">
        <v>0</v>
      </c>
      <c r="AW43">
        <v>2</v>
      </c>
      <c r="AX43">
        <v>145263123</v>
      </c>
      <c r="AY43">
        <v>1</v>
      </c>
      <c r="AZ43">
        <v>0</v>
      </c>
      <c r="BA43">
        <v>48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ROUND(Y43*Source!I73,9)</f>
        <v>13.204874999999999</v>
      </c>
      <c r="CY43">
        <f t="shared" si="35"/>
        <v>1329.41</v>
      </c>
      <c r="CZ43">
        <f t="shared" si="36"/>
        <v>115.4</v>
      </c>
      <c r="DA43">
        <f t="shared" si="37"/>
        <v>11.52</v>
      </c>
      <c r="DB43">
        <f t="shared" si="31"/>
        <v>33.18</v>
      </c>
      <c r="DC43">
        <f t="shared" si="32"/>
        <v>3.89</v>
      </c>
      <c r="DD43" t="s">
        <v>3</v>
      </c>
      <c r="DE43" t="s">
        <v>3</v>
      </c>
      <c r="DF43">
        <f t="shared" si="29"/>
        <v>0</v>
      </c>
      <c r="DG43">
        <f t="shared" si="38"/>
        <v>17554.689999999999</v>
      </c>
      <c r="DH43">
        <f t="shared" si="33"/>
        <v>5228.6000000000004</v>
      </c>
      <c r="DI43">
        <f t="shared" si="34"/>
        <v>0</v>
      </c>
      <c r="DJ43">
        <f t="shared" si="39"/>
        <v>17554.689999999999</v>
      </c>
      <c r="DK43">
        <v>0</v>
      </c>
      <c r="DL43" t="s">
        <v>3</v>
      </c>
      <c r="DM43">
        <v>0</v>
      </c>
      <c r="DN43" t="s">
        <v>3</v>
      </c>
      <c r="DO43">
        <v>0</v>
      </c>
    </row>
    <row r="44" spans="1:119" x14ac:dyDescent="0.2">
      <c r="A44">
        <f>ROW(Source!A73)</f>
        <v>73</v>
      </c>
      <c r="B44">
        <v>145262827</v>
      </c>
      <c r="C44">
        <v>145263098</v>
      </c>
      <c r="D44">
        <v>140922958</v>
      </c>
      <c r="E44">
        <v>1</v>
      </c>
      <c r="F44">
        <v>1</v>
      </c>
      <c r="G44">
        <v>1</v>
      </c>
      <c r="H44">
        <v>2</v>
      </c>
      <c r="I44" t="s">
        <v>439</v>
      </c>
      <c r="J44" t="s">
        <v>440</v>
      </c>
      <c r="K44" t="s">
        <v>441</v>
      </c>
      <c r="L44">
        <v>1367</v>
      </c>
      <c r="N44">
        <v>1011</v>
      </c>
      <c r="O44" t="s">
        <v>378</v>
      </c>
      <c r="P44" t="s">
        <v>378</v>
      </c>
      <c r="Q44">
        <v>1</v>
      </c>
      <c r="W44">
        <v>0</v>
      </c>
      <c r="X44">
        <v>-1731906086</v>
      </c>
      <c r="Y44">
        <f t="shared" si="30"/>
        <v>3.875</v>
      </c>
      <c r="AA44">
        <v>0</v>
      </c>
      <c r="AB44">
        <v>2022.45</v>
      </c>
      <c r="AC44">
        <v>422.35</v>
      </c>
      <c r="AD44">
        <v>0</v>
      </c>
      <c r="AE44">
        <v>0</v>
      </c>
      <c r="AF44">
        <v>175.56</v>
      </c>
      <c r="AG44">
        <v>14.4</v>
      </c>
      <c r="AH44">
        <v>0</v>
      </c>
      <c r="AI44">
        <v>1</v>
      </c>
      <c r="AJ44">
        <v>11.52</v>
      </c>
      <c r="AK44">
        <v>29.33</v>
      </c>
      <c r="AL44">
        <v>1</v>
      </c>
      <c r="AM44">
        <v>4</v>
      </c>
      <c r="AN44">
        <v>0</v>
      </c>
      <c r="AO44">
        <v>1</v>
      </c>
      <c r="AP44">
        <v>1</v>
      </c>
      <c r="AQ44">
        <v>0</v>
      </c>
      <c r="AR44">
        <v>0</v>
      </c>
      <c r="AS44" t="s">
        <v>3</v>
      </c>
      <c r="AT44">
        <v>3.1</v>
      </c>
      <c r="AU44" t="s">
        <v>148</v>
      </c>
      <c r="AV44">
        <v>0</v>
      </c>
      <c r="AW44">
        <v>2</v>
      </c>
      <c r="AX44">
        <v>145263124</v>
      </c>
      <c r="AY44">
        <v>1</v>
      </c>
      <c r="AZ44">
        <v>0</v>
      </c>
      <c r="BA44">
        <v>49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ROUND(Y44*Source!I73,9)</f>
        <v>177.97874999999999</v>
      </c>
      <c r="CY44">
        <f t="shared" si="35"/>
        <v>2022.45</v>
      </c>
      <c r="CZ44">
        <f t="shared" si="36"/>
        <v>175.56</v>
      </c>
      <c r="DA44">
        <f t="shared" si="37"/>
        <v>11.52</v>
      </c>
      <c r="DB44">
        <f t="shared" si="31"/>
        <v>680.3</v>
      </c>
      <c r="DC44">
        <f t="shared" si="32"/>
        <v>55.8</v>
      </c>
      <c r="DD44" t="s">
        <v>3</v>
      </c>
      <c r="DE44" t="s">
        <v>3</v>
      </c>
      <c r="DF44">
        <f t="shared" si="29"/>
        <v>0</v>
      </c>
      <c r="DG44">
        <f t="shared" si="38"/>
        <v>359953.12</v>
      </c>
      <c r="DH44">
        <f t="shared" si="33"/>
        <v>75169.33</v>
      </c>
      <c r="DI44">
        <f t="shared" si="34"/>
        <v>0</v>
      </c>
      <c r="DJ44">
        <f t="shared" si="39"/>
        <v>359953.12</v>
      </c>
      <c r="DK44">
        <v>0</v>
      </c>
      <c r="DL44" t="s">
        <v>3</v>
      </c>
      <c r="DM44">
        <v>0</v>
      </c>
      <c r="DN44" t="s">
        <v>3</v>
      </c>
      <c r="DO44">
        <v>0</v>
      </c>
    </row>
    <row r="45" spans="1:119" x14ac:dyDescent="0.2">
      <c r="A45">
        <f>ROW(Source!A73)</f>
        <v>73</v>
      </c>
      <c r="B45">
        <v>145262827</v>
      </c>
      <c r="C45">
        <v>145263098</v>
      </c>
      <c r="D45">
        <v>140923032</v>
      </c>
      <c r="E45">
        <v>1</v>
      </c>
      <c r="F45">
        <v>1</v>
      </c>
      <c r="G45">
        <v>1</v>
      </c>
      <c r="H45">
        <v>2</v>
      </c>
      <c r="I45" t="s">
        <v>442</v>
      </c>
      <c r="J45" t="s">
        <v>443</v>
      </c>
      <c r="K45" t="s">
        <v>444</v>
      </c>
      <c r="L45">
        <v>1367</v>
      </c>
      <c r="N45">
        <v>1011</v>
      </c>
      <c r="O45" t="s">
        <v>378</v>
      </c>
      <c r="P45" t="s">
        <v>378</v>
      </c>
      <c r="Q45">
        <v>1</v>
      </c>
      <c r="W45">
        <v>0</v>
      </c>
      <c r="X45">
        <v>321316643</v>
      </c>
      <c r="Y45">
        <f t="shared" si="30"/>
        <v>1.1000000000000001</v>
      </c>
      <c r="AA45">
        <v>0</v>
      </c>
      <c r="AB45">
        <v>10.37</v>
      </c>
      <c r="AC45">
        <v>0</v>
      </c>
      <c r="AD45">
        <v>0</v>
      </c>
      <c r="AE45">
        <v>0</v>
      </c>
      <c r="AF45">
        <v>0.9</v>
      </c>
      <c r="AG45">
        <v>0</v>
      </c>
      <c r="AH45">
        <v>0</v>
      </c>
      <c r="AI45">
        <v>1</v>
      </c>
      <c r="AJ45">
        <v>11.52</v>
      </c>
      <c r="AK45">
        <v>29.33</v>
      </c>
      <c r="AL45">
        <v>1</v>
      </c>
      <c r="AM45">
        <v>4</v>
      </c>
      <c r="AN45">
        <v>0</v>
      </c>
      <c r="AO45">
        <v>1</v>
      </c>
      <c r="AP45">
        <v>1</v>
      </c>
      <c r="AQ45">
        <v>0</v>
      </c>
      <c r="AR45">
        <v>0</v>
      </c>
      <c r="AS45" t="s">
        <v>3</v>
      </c>
      <c r="AT45">
        <v>0.88</v>
      </c>
      <c r="AU45" t="s">
        <v>148</v>
      </c>
      <c r="AV45">
        <v>0</v>
      </c>
      <c r="AW45">
        <v>2</v>
      </c>
      <c r="AX45">
        <v>145263125</v>
      </c>
      <c r="AY45">
        <v>1</v>
      </c>
      <c r="AZ45">
        <v>0</v>
      </c>
      <c r="BA45">
        <v>50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ROUND(Y45*Source!I73,9)</f>
        <v>50.523000000000003</v>
      </c>
      <c r="CY45">
        <f t="shared" si="35"/>
        <v>10.37</v>
      </c>
      <c r="CZ45">
        <f t="shared" si="36"/>
        <v>0.9</v>
      </c>
      <c r="DA45">
        <f t="shared" si="37"/>
        <v>11.52</v>
      </c>
      <c r="DB45">
        <f t="shared" si="31"/>
        <v>0.99</v>
      </c>
      <c r="DC45">
        <f t="shared" si="32"/>
        <v>0</v>
      </c>
      <c r="DD45" t="s">
        <v>3</v>
      </c>
      <c r="DE45" t="s">
        <v>3</v>
      </c>
      <c r="DF45">
        <f t="shared" si="29"/>
        <v>0</v>
      </c>
      <c r="DG45">
        <f t="shared" si="38"/>
        <v>523.91999999999996</v>
      </c>
      <c r="DH45">
        <f t="shared" si="33"/>
        <v>0</v>
      </c>
      <c r="DI45">
        <f t="shared" si="34"/>
        <v>0</v>
      </c>
      <c r="DJ45">
        <f t="shared" si="39"/>
        <v>523.91999999999996</v>
      </c>
      <c r="DK45">
        <v>0</v>
      </c>
      <c r="DL45" t="s">
        <v>3</v>
      </c>
      <c r="DM45">
        <v>0</v>
      </c>
      <c r="DN45" t="s">
        <v>3</v>
      </c>
      <c r="DO45">
        <v>0</v>
      </c>
    </row>
    <row r="46" spans="1:119" x14ac:dyDescent="0.2">
      <c r="A46">
        <f>ROW(Source!A73)</f>
        <v>73</v>
      </c>
      <c r="B46">
        <v>145262827</v>
      </c>
      <c r="C46">
        <v>145263098</v>
      </c>
      <c r="D46">
        <v>140923885</v>
      </c>
      <c r="E46">
        <v>1</v>
      </c>
      <c r="F46">
        <v>1</v>
      </c>
      <c r="G46">
        <v>1</v>
      </c>
      <c r="H46">
        <v>2</v>
      </c>
      <c r="I46" t="s">
        <v>386</v>
      </c>
      <c r="J46" t="s">
        <v>387</v>
      </c>
      <c r="K46" t="s">
        <v>388</v>
      </c>
      <c r="L46">
        <v>1367</v>
      </c>
      <c r="N46">
        <v>1011</v>
      </c>
      <c r="O46" t="s">
        <v>378</v>
      </c>
      <c r="P46" t="s">
        <v>378</v>
      </c>
      <c r="Q46">
        <v>1</v>
      </c>
      <c r="W46">
        <v>0</v>
      </c>
      <c r="X46">
        <v>509054691</v>
      </c>
      <c r="Y46">
        <f t="shared" si="30"/>
        <v>0.4375</v>
      </c>
      <c r="AA46">
        <v>0</v>
      </c>
      <c r="AB46">
        <v>756.98</v>
      </c>
      <c r="AC46">
        <v>340.23</v>
      </c>
      <c r="AD46">
        <v>0</v>
      </c>
      <c r="AE46">
        <v>0</v>
      </c>
      <c r="AF46">
        <v>65.709999999999994</v>
      </c>
      <c r="AG46">
        <v>11.6</v>
      </c>
      <c r="AH46">
        <v>0</v>
      </c>
      <c r="AI46">
        <v>1</v>
      </c>
      <c r="AJ46">
        <v>11.52</v>
      </c>
      <c r="AK46">
        <v>29.33</v>
      </c>
      <c r="AL46">
        <v>1</v>
      </c>
      <c r="AM46">
        <v>4</v>
      </c>
      <c r="AN46">
        <v>0</v>
      </c>
      <c r="AO46">
        <v>1</v>
      </c>
      <c r="AP46">
        <v>1</v>
      </c>
      <c r="AQ46">
        <v>0</v>
      </c>
      <c r="AR46">
        <v>0</v>
      </c>
      <c r="AS46" t="s">
        <v>3</v>
      </c>
      <c r="AT46">
        <v>0.35</v>
      </c>
      <c r="AU46" t="s">
        <v>148</v>
      </c>
      <c r="AV46">
        <v>0</v>
      </c>
      <c r="AW46">
        <v>2</v>
      </c>
      <c r="AX46">
        <v>145263126</v>
      </c>
      <c r="AY46">
        <v>1</v>
      </c>
      <c r="AZ46">
        <v>0</v>
      </c>
      <c r="BA46">
        <v>51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ROUND(Y46*Source!I73,9)</f>
        <v>20.094374999999999</v>
      </c>
      <c r="CY46">
        <f t="shared" si="35"/>
        <v>756.98</v>
      </c>
      <c r="CZ46">
        <f t="shared" si="36"/>
        <v>65.709999999999994</v>
      </c>
      <c r="DA46">
        <f t="shared" si="37"/>
        <v>11.52</v>
      </c>
      <c r="DB46">
        <f t="shared" si="31"/>
        <v>28.75</v>
      </c>
      <c r="DC46">
        <f t="shared" si="32"/>
        <v>5.08</v>
      </c>
      <c r="DD46" t="s">
        <v>3</v>
      </c>
      <c r="DE46" t="s">
        <v>3</v>
      </c>
      <c r="DF46">
        <f t="shared" si="29"/>
        <v>0</v>
      </c>
      <c r="DG46">
        <f t="shared" si="38"/>
        <v>15211.04</v>
      </c>
      <c r="DH46">
        <f t="shared" si="33"/>
        <v>6836.71</v>
      </c>
      <c r="DI46">
        <f t="shared" si="34"/>
        <v>0</v>
      </c>
      <c r="DJ46">
        <f t="shared" si="39"/>
        <v>15211.04</v>
      </c>
      <c r="DK46">
        <v>0</v>
      </c>
      <c r="DL46" t="s">
        <v>3</v>
      </c>
      <c r="DM46">
        <v>0</v>
      </c>
      <c r="DN46" t="s">
        <v>3</v>
      </c>
      <c r="DO46">
        <v>0</v>
      </c>
    </row>
    <row r="47" spans="1:119" x14ac:dyDescent="0.2">
      <c r="A47">
        <f>ROW(Source!A73)</f>
        <v>73</v>
      </c>
      <c r="B47">
        <v>145262827</v>
      </c>
      <c r="C47">
        <v>145263098</v>
      </c>
      <c r="D47">
        <v>140924041</v>
      </c>
      <c r="E47">
        <v>1</v>
      </c>
      <c r="F47">
        <v>1</v>
      </c>
      <c r="G47">
        <v>1</v>
      </c>
      <c r="H47">
        <v>2</v>
      </c>
      <c r="I47" t="s">
        <v>445</v>
      </c>
      <c r="J47" t="s">
        <v>446</v>
      </c>
      <c r="K47" t="s">
        <v>447</v>
      </c>
      <c r="L47">
        <v>1367</v>
      </c>
      <c r="N47">
        <v>1011</v>
      </c>
      <c r="O47" t="s">
        <v>378</v>
      </c>
      <c r="P47" t="s">
        <v>378</v>
      </c>
      <c r="Q47">
        <v>1</v>
      </c>
      <c r="W47">
        <v>0</v>
      </c>
      <c r="X47">
        <v>2077867240</v>
      </c>
      <c r="Y47">
        <f t="shared" si="30"/>
        <v>2.2374999999999998</v>
      </c>
      <c r="AA47">
        <v>0</v>
      </c>
      <c r="AB47">
        <v>13.82</v>
      </c>
      <c r="AC47">
        <v>0</v>
      </c>
      <c r="AD47">
        <v>0</v>
      </c>
      <c r="AE47">
        <v>0</v>
      </c>
      <c r="AF47">
        <v>1.2</v>
      </c>
      <c r="AG47">
        <v>0</v>
      </c>
      <c r="AH47">
        <v>0</v>
      </c>
      <c r="AI47">
        <v>1</v>
      </c>
      <c r="AJ47">
        <v>11.52</v>
      </c>
      <c r="AK47">
        <v>29.33</v>
      </c>
      <c r="AL47">
        <v>1</v>
      </c>
      <c r="AM47">
        <v>4</v>
      </c>
      <c r="AN47">
        <v>0</v>
      </c>
      <c r="AO47">
        <v>1</v>
      </c>
      <c r="AP47">
        <v>1</v>
      </c>
      <c r="AQ47">
        <v>0</v>
      </c>
      <c r="AR47">
        <v>0</v>
      </c>
      <c r="AS47" t="s">
        <v>3</v>
      </c>
      <c r="AT47">
        <v>1.79</v>
      </c>
      <c r="AU47" t="s">
        <v>148</v>
      </c>
      <c r="AV47">
        <v>0</v>
      </c>
      <c r="AW47">
        <v>2</v>
      </c>
      <c r="AX47">
        <v>145263127</v>
      </c>
      <c r="AY47">
        <v>1</v>
      </c>
      <c r="AZ47">
        <v>0</v>
      </c>
      <c r="BA47">
        <v>52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ROUND(Y47*Source!I73,9)</f>
        <v>102.76837500000001</v>
      </c>
      <c r="CY47">
        <f t="shared" si="35"/>
        <v>13.82</v>
      </c>
      <c r="CZ47">
        <f t="shared" si="36"/>
        <v>1.2</v>
      </c>
      <c r="DA47">
        <f t="shared" si="37"/>
        <v>11.52</v>
      </c>
      <c r="DB47">
        <f t="shared" si="31"/>
        <v>2.69</v>
      </c>
      <c r="DC47">
        <f t="shared" si="32"/>
        <v>0</v>
      </c>
      <c r="DD47" t="s">
        <v>3</v>
      </c>
      <c r="DE47" t="s">
        <v>3</v>
      </c>
      <c r="DF47">
        <f t="shared" si="29"/>
        <v>0</v>
      </c>
      <c r="DG47">
        <f t="shared" si="38"/>
        <v>1420.26</v>
      </c>
      <c r="DH47">
        <f t="shared" si="33"/>
        <v>0</v>
      </c>
      <c r="DI47">
        <f t="shared" si="34"/>
        <v>0</v>
      </c>
      <c r="DJ47">
        <f t="shared" si="39"/>
        <v>1420.26</v>
      </c>
      <c r="DK47">
        <v>0</v>
      </c>
      <c r="DL47" t="s">
        <v>3</v>
      </c>
      <c r="DM47">
        <v>0</v>
      </c>
      <c r="DN47" t="s">
        <v>3</v>
      </c>
      <c r="DO47">
        <v>0</v>
      </c>
    </row>
    <row r="48" spans="1:119" x14ac:dyDescent="0.2">
      <c r="A48">
        <f>ROW(Source!A73)</f>
        <v>73</v>
      </c>
      <c r="B48">
        <v>145262827</v>
      </c>
      <c r="C48">
        <v>145263098</v>
      </c>
      <c r="D48">
        <v>140924084</v>
      </c>
      <c r="E48">
        <v>1</v>
      </c>
      <c r="F48">
        <v>1</v>
      </c>
      <c r="G48">
        <v>1</v>
      </c>
      <c r="H48">
        <v>2</v>
      </c>
      <c r="I48" t="s">
        <v>448</v>
      </c>
      <c r="J48" t="s">
        <v>449</v>
      </c>
      <c r="K48" t="s">
        <v>450</v>
      </c>
      <c r="L48">
        <v>1367</v>
      </c>
      <c r="N48">
        <v>1011</v>
      </c>
      <c r="O48" t="s">
        <v>378</v>
      </c>
      <c r="P48" t="s">
        <v>378</v>
      </c>
      <c r="Q48">
        <v>1</v>
      </c>
      <c r="W48">
        <v>0</v>
      </c>
      <c r="X48">
        <v>-1866313122</v>
      </c>
      <c r="Y48">
        <f t="shared" si="30"/>
        <v>0.52500000000000002</v>
      </c>
      <c r="AA48">
        <v>0</v>
      </c>
      <c r="AB48">
        <v>141.81</v>
      </c>
      <c r="AC48">
        <v>0</v>
      </c>
      <c r="AD48">
        <v>0</v>
      </c>
      <c r="AE48">
        <v>0</v>
      </c>
      <c r="AF48">
        <v>12.31</v>
      </c>
      <c r="AG48">
        <v>0</v>
      </c>
      <c r="AH48">
        <v>0</v>
      </c>
      <c r="AI48">
        <v>1</v>
      </c>
      <c r="AJ48">
        <v>11.52</v>
      </c>
      <c r="AK48">
        <v>29.33</v>
      </c>
      <c r="AL48">
        <v>1</v>
      </c>
      <c r="AM48">
        <v>4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3</v>
      </c>
      <c r="AT48">
        <v>0.42</v>
      </c>
      <c r="AU48" t="s">
        <v>148</v>
      </c>
      <c r="AV48">
        <v>0</v>
      </c>
      <c r="AW48">
        <v>2</v>
      </c>
      <c r="AX48">
        <v>145263128</v>
      </c>
      <c r="AY48">
        <v>1</v>
      </c>
      <c r="AZ48">
        <v>0</v>
      </c>
      <c r="BA48">
        <v>53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ROUND(Y48*Source!I73,9)</f>
        <v>24.113250000000001</v>
      </c>
      <c r="CY48">
        <f t="shared" si="35"/>
        <v>141.81</v>
      </c>
      <c r="CZ48">
        <f t="shared" si="36"/>
        <v>12.31</v>
      </c>
      <c r="DA48">
        <f t="shared" si="37"/>
        <v>11.52</v>
      </c>
      <c r="DB48">
        <f t="shared" si="31"/>
        <v>6.46</v>
      </c>
      <c r="DC48">
        <f t="shared" si="32"/>
        <v>0</v>
      </c>
      <c r="DD48" t="s">
        <v>3</v>
      </c>
      <c r="DE48" t="s">
        <v>3</v>
      </c>
      <c r="DF48">
        <f t="shared" si="29"/>
        <v>0</v>
      </c>
      <c r="DG48">
        <f t="shared" si="38"/>
        <v>3419.5</v>
      </c>
      <c r="DH48">
        <f t="shared" si="33"/>
        <v>0</v>
      </c>
      <c r="DI48">
        <f t="shared" si="34"/>
        <v>0</v>
      </c>
      <c r="DJ48">
        <f t="shared" si="39"/>
        <v>3419.5</v>
      </c>
      <c r="DK48">
        <v>0</v>
      </c>
      <c r="DL48" t="s">
        <v>3</v>
      </c>
      <c r="DM48">
        <v>0</v>
      </c>
      <c r="DN48" t="s">
        <v>3</v>
      </c>
      <c r="DO48">
        <v>0</v>
      </c>
    </row>
    <row r="49" spans="1:119" x14ac:dyDescent="0.2">
      <c r="A49">
        <f>ROW(Source!A73)</f>
        <v>73</v>
      </c>
      <c r="B49">
        <v>145262827</v>
      </c>
      <c r="C49">
        <v>145263098</v>
      </c>
      <c r="D49">
        <v>140771005</v>
      </c>
      <c r="E49">
        <v>1</v>
      </c>
      <c r="F49">
        <v>1</v>
      </c>
      <c r="G49">
        <v>1</v>
      </c>
      <c r="H49">
        <v>3</v>
      </c>
      <c r="I49" t="s">
        <v>451</v>
      </c>
      <c r="J49" t="s">
        <v>452</v>
      </c>
      <c r="K49" t="s">
        <v>453</v>
      </c>
      <c r="L49">
        <v>1339</v>
      </c>
      <c r="N49">
        <v>1007</v>
      </c>
      <c r="O49" t="s">
        <v>404</v>
      </c>
      <c r="P49" t="s">
        <v>404</v>
      </c>
      <c r="Q49">
        <v>1</v>
      </c>
      <c r="W49">
        <v>0</v>
      </c>
      <c r="X49">
        <v>-1761807714</v>
      </c>
      <c r="Y49">
        <f t="shared" ref="Y49:Y60" si="40">AT49</f>
        <v>1.5</v>
      </c>
      <c r="AA49">
        <v>52.75</v>
      </c>
      <c r="AB49">
        <v>0</v>
      </c>
      <c r="AC49">
        <v>0</v>
      </c>
      <c r="AD49">
        <v>0</v>
      </c>
      <c r="AE49">
        <v>6.22</v>
      </c>
      <c r="AF49">
        <v>0</v>
      </c>
      <c r="AG49">
        <v>0</v>
      </c>
      <c r="AH49">
        <v>0</v>
      </c>
      <c r="AI49">
        <v>8.48</v>
      </c>
      <c r="AJ49">
        <v>1</v>
      </c>
      <c r="AK49">
        <v>1</v>
      </c>
      <c r="AL49">
        <v>1</v>
      </c>
      <c r="AM49">
        <v>4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1.5</v>
      </c>
      <c r="AU49" t="s">
        <v>3</v>
      </c>
      <c r="AV49">
        <v>0</v>
      </c>
      <c r="AW49">
        <v>2</v>
      </c>
      <c r="AX49">
        <v>145263129</v>
      </c>
      <c r="AY49">
        <v>1</v>
      </c>
      <c r="AZ49">
        <v>0</v>
      </c>
      <c r="BA49">
        <v>54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ROUND(Y49*Source!I73,9)</f>
        <v>68.894999999999996</v>
      </c>
      <c r="CY49">
        <f t="shared" ref="CY49:CY60" si="41">AA49</f>
        <v>52.75</v>
      </c>
      <c r="CZ49">
        <f t="shared" ref="CZ49:CZ60" si="42">AE49</f>
        <v>6.22</v>
      </c>
      <c r="DA49">
        <f t="shared" ref="DA49:DA60" si="43">AI49</f>
        <v>8.48</v>
      </c>
      <c r="DB49">
        <f t="shared" ref="DB49:DB60" si="44">ROUND(ROUND(AT49*CZ49,2),2)</f>
        <v>9.33</v>
      </c>
      <c r="DC49">
        <f t="shared" ref="DC49:DC60" si="45">ROUND(ROUND(AT49*AG49,2),2)</f>
        <v>0</v>
      </c>
      <c r="DD49" t="s">
        <v>3</v>
      </c>
      <c r="DE49" t="s">
        <v>3</v>
      </c>
      <c r="DF49">
        <f t="shared" ref="DF49:DF60" si="46">ROUND(ROUND(AE49*AI49,2)*CX49,2)</f>
        <v>3634.21</v>
      </c>
      <c r="DG49">
        <f t="shared" ref="DG49:DG62" si="47">ROUND(ROUND(AF49,2)*CX49,2)</f>
        <v>0</v>
      </c>
      <c r="DH49">
        <f t="shared" ref="DH49:DH61" si="48">ROUND(ROUND(AG49,2)*CX49,2)</f>
        <v>0</v>
      </c>
      <c r="DI49">
        <f t="shared" si="34"/>
        <v>0</v>
      </c>
      <c r="DJ49">
        <f t="shared" ref="DJ49:DJ60" si="49">DF49</f>
        <v>3634.21</v>
      </c>
      <c r="DK49">
        <v>0</v>
      </c>
      <c r="DL49" t="s">
        <v>3</v>
      </c>
      <c r="DM49">
        <v>0</v>
      </c>
      <c r="DN49" t="s">
        <v>3</v>
      </c>
      <c r="DO49">
        <v>0</v>
      </c>
    </row>
    <row r="50" spans="1:119" x14ac:dyDescent="0.2">
      <c r="A50">
        <f>ROW(Source!A73)</f>
        <v>73</v>
      </c>
      <c r="B50">
        <v>145262827</v>
      </c>
      <c r="C50">
        <v>145263098</v>
      </c>
      <c r="D50">
        <v>140771011</v>
      </c>
      <c r="E50">
        <v>1</v>
      </c>
      <c r="F50">
        <v>1</v>
      </c>
      <c r="G50">
        <v>1</v>
      </c>
      <c r="H50">
        <v>3</v>
      </c>
      <c r="I50" t="s">
        <v>454</v>
      </c>
      <c r="J50" t="s">
        <v>455</v>
      </c>
      <c r="K50" t="s">
        <v>456</v>
      </c>
      <c r="L50">
        <v>1346</v>
      </c>
      <c r="N50">
        <v>1009</v>
      </c>
      <c r="O50" t="s">
        <v>457</v>
      </c>
      <c r="P50" t="s">
        <v>457</v>
      </c>
      <c r="Q50">
        <v>1</v>
      </c>
      <c r="W50">
        <v>0</v>
      </c>
      <c r="X50">
        <v>-2118006079</v>
      </c>
      <c r="Y50">
        <f t="shared" si="40"/>
        <v>0.45</v>
      </c>
      <c r="AA50">
        <v>51.64</v>
      </c>
      <c r="AB50">
        <v>0</v>
      </c>
      <c r="AC50">
        <v>0</v>
      </c>
      <c r="AD50">
        <v>0</v>
      </c>
      <c r="AE50">
        <v>6.09</v>
      </c>
      <c r="AF50">
        <v>0</v>
      </c>
      <c r="AG50">
        <v>0</v>
      </c>
      <c r="AH50">
        <v>0</v>
      </c>
      <c r="AI50">
        <v>8.48</v>
      </c>
      <c r="AJ50">
        <v>1</v>
      </c>
      <c r="AK50">
        <v>1</v>
      </c>
      <c r="AL50">
        <v>1</v>
      </c>
      <c r="AM50">
        <v>4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0.45</v>
      </c>
      <c r="AU50" t="s">
        <v>3</v>
      </c>
      <c r="AV50">
        <v>0</v>
      </c>
      <c r="AW50">
        <v>2</v>
      </c>
      <c r="AX50">
        <v>145263130</v>
      </c>
      <c r="AY50">
        <v>1</v>
      </c>
      <c r="AZ50">
        <v>0</v>
      </c>
      <c r="BA50">
        <v>55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ROUND(Y50*Source!I73,9)</f>
        <v>20.668500000000002</v>
      </c>
      <c r="CY50">
        <f t="shared" si="41"/>
        <v>51.64</v>
      </c>
      <c r="CZ50">
        <f t="shared" si="42"/>
        <v>6.09</v>
      </c>
      <c r="DA50">
        <f t="shared" si="43"/>
        <v>8.48</v>
      </c>
      <c r="DB50">
        <f t="shared" si="44"/>
        <v>2.74</v>
      </c>
      <c r="DC50">
        <f t="shared" si="45"/>
        <v>0</v>
      </c>
      <c r="DD50" t="s">
        <v>3</v>
      </c>
      <c r="DE50" t="s">
        <v>3</v>
      </c>
      <c r="DF50">
        <f t="shared" si="46"/>
        <v>1067.32</v>
      </c>
      <c r="DG50">
        <f t="shared" si="47"/>
        <v>0</v>
      </c>
      <c r="DH50">
        <f t="shared" si="48"/>
        <v>0</v>
      </c>
      <c r="DI50">
        <f t="shared" si="34"/>
        <v>0</v>
      </c>
      <c r="DJ50">
        <f t="shared" si="49"/>
        <v>1067.32</v>
      </c>
      <c r="DK50">
        <v>0</v>
      </c>
      <c r="DL50" t="s">
        <v>3</v>
      </c>
      <c r="DM50">
        <v>0</v>
      </c>
      <c r="DN50" t="s">
        <v>3</v>
      </c>
      <c r="DO50">
        <v>0</v>
      </c>
    </row>
    <row r="51" spans="1:119" x14ac:dyDescent="0.2">
      <c r="A51">
        <f>ROW(Source!A73)</f>
        <v>73</v>
      </c>
      <c r="B51">
        <v>145262827</v>
      </c>
      <c r="C51">
        <v>145263098</v>
      </c>
      <c r="D51">
        <v>140773776</v>
      </c>
      <c r="E51">
        <v>1</v>
      </c>
      <c r="F51">
        <v>1</v>
      </c>
      <c r="G51">
        <v>1</v>
      </c>
      <c r="H51">
        <v>3</v>
      </c>
      <c r="I51" t="s">
        <v>458</v>
      </c>
      <c r="J51" t="s">
        <v>459</v>
      </c>
      <c r="K51" t="s">
        <v>460</v>
      </c>
      <c r="L51">
        <v>1348</v>
      </c>
      <c r="N51">
        <v>1009</v>
      </c>
      <c r="O51" t="s">
        <v>206</v>
      </c>
      <c r="P51" t="s">
        <v>206</v>
      </c>
      <c r="Q51">
        <v>1000</v>
      </c>
      <c r="W51">
        <v>0</v>
      </c>
      <c r="X51">
        <v>1163323608</v>
      </c>
      <c r="Y51">
        <f t="shared" si="40"/>
        <v>6.0999999999999997E-4</v>
      </c>
      <c r="AA51">
        <v>87471.28</v>
      </c>
      <c r="AB51">
        <v>0</v>
      </c>
      <c r="AC51">
        <v>0</v>
      </c>
      <c r="AD51">
        <v>0</v>
      </c>
      <c r="AE51">
        <v>10315.01</v>
      </c>
      <c r="AF51">
        <v>0</v>
      </c>
      <c r="AG51">
        <v>0</v>
      </c>
      <c r="AH51">
        <v>0</v>
      </c>
      <c r="AI51">
        <v>8.48</v>
      </c>
      <c r="AJ51">
        <v>1</v>
      </c>
      <c r="AK51">
        <v>1</v>
      </c>
      <c r="AL51">
        <v>1</v>
      </c>
      <c r="AM51">
        <v>4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6.0999999999999997E-4</v>
      </c>
      <c r="AU51" t="s">
        <v>3</v>
      </c>
      <c r="AV51">
        <v>0</v>
      </c>
      <c r="AW51">
        <v>2</v>
      </c>
      <c r="AX51">
        <v>145263131</v>
      </c>
      <c r="AY51">
        <v>1</v>
      </c>
      <c r="AZ51">
        <v>0</v>
      </c>
      <c r="BA51">
        <v>56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ROUND(Y51*Source!I73,9)</f>
        <v>2.8017299999999998E-2</v>
      </c>
      <c r="CY51">
        <f t="shared" si="41"/>
        <v>87471.28</v>
      </c>
      <c r="CZ51">
        <f t="shared" si="42"/>
        <v>10315.01</v>
      </c>
      <c r="DA51">
        <f t="shared" si="43"/>
        <v>8.48</v>
      </c>
      <c r="DB51">
        <f t="shared" si="44"/>
        <v>6.29</v>
      </c>
      <c r="DC51">
        <f t="shared" si="45"/>
        <v>0</v>
      </c>
      <c r="DD51" t="s">
        <v>3</v>
      </c>
      <c r="DE51" t="s">
        <v>3</v>
      </c>
      <c r="DF51">
        <f t="shared" si="46"/>
        <v>2450.71</v>
      </c>
      <c r="DG51">
        <f t="shared" si="47"/>
        <v>0</v>
      </c>
      <c r="DH51">
        <f t="shared" si="48"/>
        <v>0</v>
      </c>
      <c r="DI51">
        <f t="shared" si="34"/>
        <v>0</v>
      </c>
      <c r="DJ51">
        <f t="shared" si="49"/>
        <v>2450.71</v>
      </c>
      <c r="DK51">
        <v>0</v>
      </c>
      <c r="DL51" t="s">
        <v>3</v>
      </c>
      <c r="DM51">
        <v>0</v>
      </c>
      <c r="DN51" t="s">
        <v>3</v>
      </c>
      <c r="DO51">
        <v>0</v>
      </c>
    </row>
    <row r="52" spans="1:119" x14ac:dyDescent="0.2">
      <c r="A52">
        <f>ROW(Source!A73)</f>
        <v>73</v>
      </c>
      <c r="B52">
        <v>145262827</v>
      </c>
      <c r="C52">
        <v>145263098</v>
      </c>
      <c r="D52">
        <v>140775017</v>
      </c>
      <c r="E52">
        <v>1</v>
      </c>
      <c r="F52">
        <v>1</v>
      </c>
      <c r="G52">
        <v>1</v>
      </c>
      <c r="H52">
        <v>3</v>
      </c>
      <c r="I52" t="s">
        <v>461</v>
      </c>
      <c r="J52" t="s">
        <v>462</v>
      </c>
      <c r="K52" t="s">
        <v>463</v>
      </c>
      <c r="L52">
        <v>1346</v>
      </c>
      <c r="N52">
        <v>1009</v>
      </c>
      <c r="O52" t="s">
        <v>457</v>
      </c>
      <c r="P52" t="s">
        <v>457</v>
      </c>
      <c r="Q52">
        <v>1</v>
      </c>
      <c r="W52">
        <v>0</v>
      </c>
      <c r="X52">
        <v>-1864341761</v>
      </c>
      <c r="Y52">
        <f t="shared" si="40"/>
        <v>2.2999999999999998</v>
      </c>
      <c r="AA52">
        <v>76.66</v>
      </c>
      <c r="AB52">
        <v>0</v>
      </c>
      <c r="AC52">
        <v>0</v>
      </c>
      <c r="AD52">
        <v>0</v>
      </c>
      <c r="AE52">
        <v>9.0399999999999991</v>
      </c>
      <c r="AF52">
        <v>0</v>
      </c>
      <c r="AG52">
        <v>0</v>
      </c>
      <c r="AH52">
        <v>0</v>
      </c>
      <c r="AI52">
        <v>8.48</v>
      </c>
      <c r="AJ52">
        <v>1</v>
      </c>
      <c r="AK52">
        <v>1</v>
      </c>
      <c r="AL52">
        <v>1</v>
      </c>
      <c r="AM52">
        <v>4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2.2999999999999998</v>
      </c>
      <c r="AU52" t="s">
        <v>3</v>
      </c>
      <c r="AV52">
        <v>0</v>
      </c>
      <c r="AW52">
        <v>2</v>
      </c>
      <c r="AX52">
        <v>145263132</v>
      </c>
      <c r="AY52">
        <v>1</v>
      </c>
      <c r="AZ52">
        <v>0</v>
      </c>
      <c r="BA52">
        <v>57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ROUND(Y52*Source!I73,9)</f>
        <v>105.639</v>
      </c>
      <c r="CY52">
        <f t="shared" si="41"/>
        <v>76.66</v>
      </c>
      <c r="CZ52">
        <f t="shared" si="42"/>
        <v>9.0399999999999991</v>
      </c>
      <c r="DA52">
        <f t="shared" si="43"/>
        <v>8.48</v>
      </c>
      <c r="DB52">
        <f t="shared" si="44"/>
        <v>20.79</v>
      </c>
      <c r="DC52">
        <f t="shared" si="45"/>
        <v>0</v>
      </c>
      <c r="DD52" t="s">
        <v>3</v>
      </c>
      <c r="DE52" t="s">
        <v>3</v>
      </c>
      <c r="DF52">
        <f t="shared" si="46"/>
        <v>8098.29</v>
      </c>
      <c r="DG52">
        <f t="shared" si="47"/>
        <v>0</v>
      </c>
      <c r="DH52">
        <f t="shared" si="48"/>
        <v>0</v>
      </c>
      <c r="DI52">
        <f t="shared" si="34"/>
        <v>0</v>
      </c>
      <c r="DJ52">
        <f t="shared" si="49"/>
        <v>8098.29</v>
      </c>
      <c r="DK52">
        <v>0</v>
      </c>
      <c r="DL52" t="s">
        <v>3</v>
      </c>
      <c r="DM52">
        <v>0</v>
      </c>
      <c r="DN52" t="s">
        <v>3</v>
      </c>
      <c r="DO52">
        <v>0</v>
      </c>
    </row>
    <row r="53" spans="1:119" x14ac:dyDescent="0.2">
      <c r="A53">
        <f>ROW(Source!A73)</f>
        <v>73</v>
      </c>
      <c r="B53">
        <v>145262827</v>
      </c>
      <c r="C53">
        <v>145263098</v>
      </c>
      <c r="D53">
        <v>140776229</v>
      </c>
      <c r="E53">
        <v>1</v>
      </c>
      <c r="F53">
        <v>1</v>
      </c>
      <c r="G53">
        <v>1</v>
      </c>
      <c r="H53">
        <v>3</v>
      </c>
      <c r="I53" t="s">
        <v>464</v>
      </c>
      <c r="J53" t="s">
        <v>465</v>
      </c>
      <c r="K53" t="s">
        <v>466</v>
      </c>
      <c r="L53">
        <v>1348</v>
      </c>
      <c r="N53">
        <v>1009</v>
      </c>
      <c r="O53" t="s">
        <v>206</v>
      </c>
      <c r="P53" t="s">
        <v>206</v>
      </c>
      <c r="Q53">
        <v>1000</v>
      </c>
      <c r="W53">
        <v>0</v>
      </c>
      <c r="X53">
        <v>-1671348935</v>
      </c>
      <c r="Y53">
        <f t="shared" si="40"/>
        <v>1.4999999999999999E-4</v>
      </c>
      <c r="AA53">
        <v>321392</v>
      </c>
      <c r="AB53">
        <v>0</v>
      </c>
      <c r="AC53">
        <v>0</v>
      </c>
      <c r="AD53">
        <v>0</v>
      </c>
      <c r="AE53">
        <v>37900</v>
      </c>
      <c r="AF53">
        <v>0</v>
      </c>
      <c r="AG53">
        <v>0</v>
      </c>
      <c r="AH53">
        <v>0</v>
      </c>
      <c r="AI53">
        <v>8.48</v>
      </c>
      <c r="AJ53">
        <v>1</v>
      </c>
      <c r="AK53">
        <v>1</v>
      </c>
      <c r="AL53">
        <v>1</v>
      </c>
      <c r="AM53">
        <v>4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1.4999999999999999E-4</v>
      </c>
      <c r="AU53" t="s">
        <v>3</v>
      </c>
      <c r="AV53">
        <v>0</v>
      </c>
      <c r="AW53">
        <v>2</v>
      </c>
      <c r="AX53">
        <v>145263133</v>
      </c>
      <c r="AY53">
        <v>1</v>
      </c>
      <c r="AZ53">
        <v>0</v>
      </c>
      <c r="BA53">
        <v>58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ROUND(Y53*Source!I73,9)</f>
        <v>6.8894999999999998E-3</v>
      </c>
      <c r="CY53">
        <f t="shared" si="41"/>
        <v>321392</v>
      </c>
      <c r="CZ53">
        <f t="shared" si="42"/>
        <v>37900</v>
      </c>
      <c r="DA53">
        <f t="shared" si="43"/>
        <v>8.48</v>
      </c>
      <c r="DB53">
        <f t="shared" si="44"/>
        <v>5.69</v>
      </c>
      <c r="DC53">
        <f t="shared" si="45"/>
        <v>0</v>
      </c>
      <c r="DD53" t="s">
        <v>3</v>
      </c>
      <c r="DE53" t="s">
        <v>3</v>
      </c>
      <c r="DF53">
        <f t="shared" si="46"/>
        <v>2214.23</v>
      </c>
      <c r="DG53">
        <f t="shared" si="47"/>
        <v>0</v>
      </c>
      <c r="DH53">
        <f t="shared" si="48"/>
        <v>0</v>
      </c>
      <c r="DI53">
        <f t="shared" si="34"/>
        <v>0</v>
      </c>
      <c r="DJ53">
        <f t="shared" si="49"/>
        <v>2214.23</v>
      </c>
      <c r="DK53">
        <v>0</v>
      </c>
      <c r="DL53" t="s">
        <v>3</v>
      </c>
      <c r="DM53">
        <v>0</v>
      </c>
      <c r="DN53" t="s">
        <v>3</v>
      </c>
      <c r="DO53">
        <v>0</v>
      </c>
    </row>
    <row r="54" spans="1:119" x14ac:dyDescent="0.2">
      <c r="A54">
        <f>ROW(Source!A73)</f>
        <v>73</v>
      </c>
      <c r="B54">
        <v>145262827</v>
      </c>
      <c r="C54">
        <v>145263098</v>
      </c>
      <c r="D54">
        <v>140789856</v>
      </c>
      <c r="E54">
        <v>1</v>
      </c>
      <c r="F54">
        <v>1</v>
      </c>
      <c r="G54">
        <v>1</v>
      </c>
      <c r="H54">
        <v>3</v>
      </c>
      <c r="I54" t="s">
        <v>467</v>
      </c>
      <c r="J54" t="s">
        <v>468</v>
      </c>
      <c r="K54" t="s">
        <v>469</v>
      </c>
      <c r="L54">
        <v>1348</v>
      </c>
      <c r="N54">
        <v>1009</v>
      </c>
      <c r="O54" t="s">
        <v>206</v>
      </c>
      <c r="P54" t="s">
        <v>206</v>
      </c>
      <c r="Q54">
        <v>1000</v>
      </c>
      <c r="W54">
        <v>0</v>
      </c>
      <c r="X54">
        <v>-1915778085</v>
      </c>
      <c r="Y54">
        <f t="shared" si="40"/>
        <v>1.0999999999999999E-2</v>
      </c>
      <c r="AA54">
        <v>65397.760000000002</v>
      </c>
      <c r="AB54">
        <v>0</v>
      </c>
      <c r="AC54">
        <v>0</v>
      </c>
      <c r="AD54">
        <v>0</v>
      </c>
      <c r="AE54">
        <v>7712</v>
      </c>
      <c r="AF54">
        <v>0</v>
      </c>
      <c r="AG54">
        <v>0</v>
      </c>
      <c r="AH54">
        <v>0</v>
      </c>
      <c r="AI54">
        <v>8.48</v>
      </c>
      <c r="AJ54">
        <v>1</v>
      </c>
      <c r="AK54">
        <v>1</v>
      </c>
      <c r="AL54">
        <v>1</v>
      </c>
      <c r="AM54">
        <v>4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</v>
      </c>
      <c r="AT54">
        <v>1.0999999999999999E-2</v>
      </c>
      <c r="AU54" t="s">
        <v>3</v>
      </c>
      <c r="AV54">
        <v>0</v>
      </c>
      <c r="AW54">
        <v>2</v>
      </c>
      <c r="AX54">
        <v>145263134</v>
      </c>
      <c r="AY54">
        <v>1</v>
      </c>
      <c r="AZ54">
        <v>0</v>
      </c>
      <c r="BA54">
        <v>59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ROUND(Y54*Source!I73,9)</f>
        <v>0.50522999999999996</v>
      </c>
      <c r="CY54">
        <f t="shared" si="41"/>
        <v>65397.760000000002</v>
      </c>
      <c r="CZ54">
        <f t="shared" si="42"/>
        <v>7712</v>
      </c>
      <c r="DA54">
        <f t="shared" si="43"/>
        <v>8.48</v>
      </c>
      <c r="DB54">
        <f t="shared" si="44"/>
        <v>84.83</v>
      </c>
      <c r="DC54">
        <f t="shared" si="45"/>
        <v>0</v>
      </c>
      <c r="DD54" t="s">
        <v>3</v>
      </c>
      <c r="DE54" t="s">
        <v>3</v>
      </c>
      <c r="DF54">
        <f t="shared" si="46"/>
        <v>33040.910000000003</v>
      </c>
      <c r="DG54">
        <f t="shared" si="47"/>
        <v>0</v>
      </c>
      <c r="DH54">
        <f t="shared" si="48"/>
        <v>0</v>
      </c>
      <c r="DI54">
        <f t="shared" si="34"/>
        <v>0</v>
      </c>
      <c r="DJ54">
        <f t="shared" si="49"/>
        <v>33040.910000000003</v>
      </c>
      <c r="DK54">
        <v>0</v>
      </c>
      <c r="DL54" t="s">
        <v>3</v>
      </c>
      <c r="DM54">
        <v>0</v>
      </c>
      <c r="DN54" t="s">
        <v>3</v>
      </c>
      <c r="DO54">
        <v>0</v>
      </c>
    </row>
    <row r="55" spans="1:119" x14ac:dyDescent="0.2">
      <c r="A55">
        <f>ROW(Source!A73)</f>
        <v>73</v>
      </c>
      <c r="B55">
        <v>145262827</v>
      </c>
      <c r="C55">
        <v>145263098</v>
      </c>
      <c r="D55">
        <v>140791984</v>
      </c>
      <c r="E55">
        <v>1</v>
      </c>
      <c r="F55">
        <v>1</v>
      </c>
      <c r="G55">
        <v>1</v>
      </c>
      <c r="H55">
        <v>3</v>
      </c>
      <c r="I55" t="s">
        <v>470</v>
      </c>
      <c r="J55" t="s">
        <v>471</v>
      </c>
      <c r="K55" t="s">
        <v>472</v>
      </c>
      <c r="L55">
        <v>1302</v>
      </c>
      <c r="N55">
        <v>1003</v>
      </c>
      <c r="O55" t="s">
        <v>473</v>
      </c>
      <c r="P55" t="s">
        <v>473</v>
      </c>
      <c r="Q55">
        <v>10</v>
      </c>
      <c r="W55">
        <v>0</v>
      </c>
      <c r="X55">
        <v>581091037</v>
      </c>
      <c r="Y55">
        <f t="shared" si="40"/>
        <v>1.4999999999999999E-2</v>
      </c>
      <c r="AA55">
        <v>426.04</v>
      </c>
      <c r="AB55">
        <v>0</v>
      </c>
      <c r="AC55">
        <v>0</v>
      </c>
      <c r="AD55">
        <v>0</v>
      </c>
      <c r="AE55">
        <v>50.24</v>
      </c>
      <c r="AF55">
        <v>0</v>
      </c>
      <c r="AG55">
        <v>0</v>
      </c>
      <c r="AH55">
        <v>0</v>
      </c>
      <c r="AI55">
        <v>8.48</v>
      </c>
      <c r="AJ55">
        <v>1</v>
      </c>
      <c r="AK55">
        <v>1</v>
      </c>
      <c r="AL55">
        <v>1</v>
      </c>
      <c r="AM55">
        <v>4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1.4999999999999999E-2</v>
      </c>
      <c r="AU55" t="s">
        <v>3</v>
      </c>
      <c r="AV55">
        <v>0</v>
      </c>
      <c r="AW55">
        <v>2</v>
      </c>
      <c r="AX55">
        <v>145263136</v>
      </c>
      <c r="AY55">
        <v>1</v>
      </c>
      <c r="AZ55">
        <v>0</v>
      </c>
      <c r="BA55">
        <v>61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ROUND(Y55*Source!I73,9)</f>
        <v>0.68894999999999995</v>
      </c>
      <c r="CY55">
        <f t="shared" si="41"/>
        <v>426.04</v>
      </c>
      <c r="CZ55">
        <f t="shared" si="42"/>
        <v>50.24</v>
      </c>
      <c r="DA55">
        <f t="shared" si="43"/>
        <v>8.48</v>
      </c>
      <c r="DB55">
        <f t="shared" si="44"/>
        <v>0.75</v>
      </c>
      <c r="DC55">
        <f t="shared" si="45"/>
        <v>0</v>
      </c>
      <c r="DD55" t="s">
        <v>3</v>
      </c>
      <c r="DE55" t="s">
        <v>3</v>
      </c>
      <c r="DF55">
        <f t="shared" si="46"/>
        <v>293.52</v>
      </c>
      <c r="DG55">
        <f t="shared" si="47"/>
        <v>0</v>
      </c>
      <c r="DH55">
        <f t="shared" si="48"/>
        <v>0</v>
      </c>
      <c r="DI55">
        <f t="shared" si="34"/>
        <v>0</v>
      </c>
      <c r="DJ55">
        <f t="shared" si="49"/>
        <v>293.52</v>
      </c>
      <c r="DK55">
        <v>0</v>
      </c>
      <c r="DL55" t="s">
        <v>3</v>
      </c>
      <c r="DM55">
        <v>0</v>
      </c>
      <c r="DN55" t="s">
        <v>3</v>
      </c>
      <c r="DO55">
        <v>0</v>
      </c>
    </row>
    <row r="56" spans="1:119" x14ac:dyDescent="0.2">
      <c r="A56">
        <f>ROW(Source!A73)</f>
        <v>73</v>
      </c>
      <c r="B56">
        <v>145262827</v>
      </c>
      <c r="C56">
        <v>145263098</v>
      </c>
      <c r="D56">
        <v>140792339</v>
      </c>
      <c r="E56">
        <v>1</v>
      </c>
      <c r="F56">
        <v>1</v>
      </c>
      <c r="G56">
        <v>1</v>
      </c>
      <c r="H56">
        <v>3</v>
      </c>
      <c r="I56" t="s">
        <v>408</v>
      </c>
      <c r="J56" t="s">
        <v>409</v>
      </c>
      <c r="K56" t="s">
        <v>410</v>
      </c>
      <c r="L56">
        <v>1348</v>
      </c>
      <c r="N56">
        <v>1009</v>
      </c>
      <c r="O56" t="s">
        <v>206</v>
      </c>
      <c r="P56" t="s">
        <v>206</v>
      </c>
      <c r="Q56">
        <v>1000</v>
      </c>
      <c r="W56">
        <v>0</v>
      </c>
      <c r="X56">
        <v>-120483918</v>
      </c>
      <c r="Y56">
        <f t="shared" si="40"/>
        <v>4.0000000000000003E-5</v>
      </c>
      <c r="AA56">
        <v>37780.1</v>
      </c>
      <c r="AB56">
        <v>0</v>
      </c>
      <c r="AC56">
        <v>0</v>
      </c>
      <c r="AD56">
        <v>0</v>
      </c>
      <c r="AE56">
        <v>4455.2</v>
      </c>
      <c r="AF56">
        <v>0</v>
      </c>
      <c r="AG56">
        <v>0</v>
      </c>
      <c r="AH56">
        <v>0</v>
      </c>
      <c r="AI56">
        <v>8.48</v>
      </c>
      <c r="AJ56">
        <v>1</v>
      </c>
      <c r="AK56">
        <v>1</v>
      </c>
      <c r="AL56">
        <v>1</v>
      </c>
      <c r="AM56">
        <v>4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4.0000000000000003E-5</v>
      </c>
      <c r="AU56" t="s">
        <v>3</v>
      </c>
      <c r="AV56">
        <v>0</v>
      </c>
      <c r="AW56">
        <v>2</v>
      </c>
      <c r="AX56">
        <v>145263137</v>
      </c>
      <c r="AY56">
        <v>1</v>
      </c>
      <c r="AZ56">
        <v>0</v>
      </c>
      <c r="BA56">
        <v>62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ROUND(Y56*Source!I73,9)</f>
        <v>1.8372E-3</v>
      </c>
      <c r="CY56">
        <f t="shared" si="41"/>
        <v>37780.1</v>
      </c>
      <c r="CZ56">
        <f t="shared" si="42"/>
        <v>4455.2</v>
      </c>
      <c r="DA56">
        <f t="shared" si="43"/>
        <v>8.48</v>
      </c>
      <c r="DB56">
        <f t="shared" si="44"/>
        <v>0.18</v>
      </c>
      <c r="DC56">
        <f t="shared" si="45"/>
        <v>0</v>
      </c>
      <c r="DD56" t="s">
        <v>3</v>
      </c>
      <c r="DE56" t="s">
        <v>3</v>
      </c>
      <c r="DF56">
        <f t="shared" si="46"/>
        <v>69.41</v>
      </c>
      <c r="DG56">
        <f t="shared" si="47"/>
        <v>0</v>
      </c>
      <c r="DH56">
        <f t="shared" si="48"/>
        <v>0</v>
      </c>
      <c r="DI56">
        <f t="shared" si="34"/>
        <v>0</v>
      </c>
      <c r="DJ56">
        <f t="shared" si="49"/>
        <v>69.41</v>
      </c>
      <c r="DK56">
        <v>0</v>
      </c>
      <c r="DL56" t="s">
        <v>3</v>
      </c>
      <c r="DM56">
        <v>0</v>
      </c>
      <c r="DN56" t="s">
        <v>3</v>
      </c>
      <c r="DO56">
        <v>0</v>
      </c>
    </row>
    <row r="57" spans="1:119" x14ac:dyDescent="0.2">
      <c r="A57">
        <f>ROW(Source!A73)</f>
        <v>73</v>
      </c>
      <c r="B57">
        <v>145262827</v>
      </c>
      <c r="C57">
        <v>145263098</v>
      </c>
      <c r="D57">
        <v>140793072</v>
      </c>
      <c r="E57">
        <v>1</v>
      </c>
      <c r="F57">
        <v>1</v>
      </c>
      <c r="G57">
        <v>1</v>
      </c>
      <c r="H57">
        <v>3</v>
      </c>
      <c r="I57" t="s">
        <v>474</v>
      </c>
      <c r="J57" t="s">
        <v>475</v>
      </c>
      <c r="K57" t="s">
        <v>476</v>
      </c>
      <c r="L57">
        <v>1348</v>
      </c>
      <c r="N57">
        <v>1009</v>
      </c>
      <c r="O57" t="s">
        <v>206</v>
      </c>
      <c r="P57" t="s">
        <v>206</v>
      </c>
      <c r="Q57">
        <v>1000</v>
      </c>
      <c r="W57">
        <v>0</v>
      </c>
      <c r="X57">
        <v>834877976</v>
      </c>
      <c r="Y57">
        <f t="shared" si="40"/>
        <v>2.97E-3</v>
      </c>
      <c r="AA57">
        <v>41721.599999999999</v>
      </c>
      <c r="AB57">
        <v>0</v>
      </c>
      <c r="AC57">
        <v>0</v>
      </c>
      <c r="AD57">
        <v>0</v>
      </c>
      <c r="AE57">
        <v>4920</v>
      </c>
      <c r="AF57">
        <v>0</v>
      </c>
      <c r="AG57">
        <v>0</v>
      </c>
      <c r="AH57">
        <v>0</v>
      </c>
      <c r="AI57">
        <v>8.48</v>
      </c>
      <c r="AJ57">
        <v>1</v>
      </c>
      <c r="AK57">
        <v>1</v>
      </c>
      <c r="AL57">
        <v>1</v>
      </c>
      <c r="AM57">
        <v>4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</v>
      </c>
      <c r="AT57">
        <v>2.97E-3</v>
      </c>
      <c r="AU57" t="s">
        <v>3</v>
      </c>
      <c r="AV57">
        <v>0</v>
      </c>
      <c r="AW57">
        <v>2</v>
      </c>
      <c r="AX57">
        <v>145263139</v>
      </c>
      <c r="AY57">
        <v>1</v>
      </c>
      <c r="AZ57">
        <v>0</v>
      </c>
      <c r="BA57">
        <v>64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ROUND(Y57*Source!I73,9)</f>
        <v>0.13641210000000001</v>
      </c>
      <c r="CY57">
        <f t="shared" si="41"/>
        <v>41721.599999999999</v>
      </c>
      <c r="CZ57">
        <f t="shared" si="42"/>
        <v>4920</v>
      </c>
      <c r="DA57">
        <f t="shared" si="43"/>
        <v>8.48</v>
      </c>
      <c r="DB57">
        <f t="shared" si="44"/>
        <v>14.61</v>
      </c>
      <c r="DC57">
        <f t="shared" si="45"/>
        <v>0</v>
      </c>
      <c r="DD57" t="s">
        <v>3</v>
      </c>
      <c r="DE57" t="s">
        <v>3</v>
      </c>
      <c r="DF57">
        <f t="shared" si="46"/>
        <v>5691.33</v>
      </c>
      <c r="DG57">
        <f t="shared" si="47"/>
        <v>0</v>
      </c>
      <c r="DH57">
        <f t="shared" si="48"/>
        <v>0</v>
      </c>
      <c r="DI57">
        <f t="shared" si="34"/>
        <v>0</v>
      </c>
      <c r="DJ57">
        <f t="shared" si="49"/>
        <v>5691.33</v>
      </c>
      <c r="DK57">
        <v>0</v>
      </c>
      <c r="DL57" t="s">
        <v>3</v>
      </c>
      <c r="DM57">
        <v>0</v>
      </c>
      <c r="DN57" t="s">
        <v>3</v>
      </c>
      <c r="DO57">
        <v>0</v>
      </c>
    </row>
    <row r="58" spans="1:119" x14ac:dyDescent="0.2">
      <c r="A58">
        <f>ROW(Source!A73)</f>
        <v>73</v>
      </c>
      <c r="B58">
        <v>145262827</v>
      </c>
      <c r="C58">
        <v>145263098</v>
      </c>
      <c r="D58">
        <v>140796351</v>
      </c>
      <c r="E58">
        <v>1</v>
      </c>
      <c r="F58">
        <v>1</v>
      </c>
      <c r="G58">
        <v>1</v>
      </c>
      <c r="H58">
        <v>3</v>
      </c>
      <c r="I58" t="s">
        <v>477</v>
      </c>
      <c r="J58" t="s">
        <v>478</v>
      </c>
      <c r="K58" t="s">
        <v>479</v>
      </c>
      <c r="L58">
        <v>1339</v>
      </c>
      <c r="N58">
        <v>1007</v>
      </c>
      <c r="O58" t="s">
        <v>404</v>
      </c>
      <c r="P58" t="s">
        <v>404</v>
      </c>
      <c r="Q58">
        <v>1</v>
      </c>
      <c r="W58">
        <v>0</v>
      </c>
      <c r="X58">
        <v>1758287014</v>
      </c>
      <c r="Y58">
        <f t="shared" si="40"/>
        <v>1.2999999999999999E-3</v>
      </c>
      <c r="AA58">
        <v>14416</v>
      </c>
      <c r="AB58">
        <v>0</v>
      </c>
      <c r="AC58">
        <v>0</v>
      </c>
      <c r="AD58">
        <v>0</v>
      </c>
      <c r="AE58">
        <v>1700</v>
      </c>
      <c r="AF58">
        <v>0</v>
      </c>
      <c r="AG58">
        <v>0</v>
      </c>
      <c r="AH58">
        <v>0</v>
      </c>
      <c r="AI58">
        <v>8.48</v>
      </c>
      <c r="AJ58">
        <v>1</v>
      </c>
      <c r="AK58">
        <v>1</v>
      </c>
      <c r="AL58">
        <v>1</v>
      </c>
      <c r="AM58">
        <v>4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1.2999999999999999E-3</v>
      </c>
      <c r="AU58" t="s">
        <v>3</v>
      </c>
      <c r="AV58">
        <v>0</v>
      </c>
      <c r="AW58">
        <v>2</v>
      </c>
      <c r="AX58">
        <v>145263140</v>
      </c>
      <c r="AY58">
        <v>1</v>
      </c>
      <c r="AZ58">
        <v>0</v>
      </c>
      <c r="BA58">
        <v>65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ROUND(Y58*Source!I73,9)</f>
        <v>5.9708999999999998E-2</v>
      </c>
      <c r="CY58">
        <f t="shared" si="41"/>
        <v>14416</v>
      </c>
      <c r="CZ58">
        <f t="shared" si="42"/>
        <v>1700</v>
      </c>
      <c r="DA58">
        <f t="shared" si="43"/>
        <v>8.48</v>
      </c>
      <c r="DB58">
        <f t="shared" si="44"/>
        <v>2.21</v>
      </c>
      <c r="DC58">
        <f t="shared" si="45"/>
        <v>0</v>
      </c>
      <c r="DD58" t="s">
        <v>3</v>
      </c>
      <c r="DE58" t="s">
        <v>3</v>
      </c>
      <c r="DF58">
        <f t="shared" si="46"/>
        <v>860.76</v>
      </c>
      <c r="DG58">
        <f t="shared" si="47"/>
        <v>0</v>
      </c>
      <c r="DH58">
        <f t="shared" si="48"/>
        <v>0</v>
      </c>
      <c r="DI58">
        <f t="shared" si="34"/>
        <v>0</v>
      </c>
      <c r="DJ58">
        <f t="shared" si="49"/>
        <v>860.76</v>
      </c>
      <c r="DK58">
        <v>0</v>
      </c>
      <c r="DL58" t="s">
        <v>3</v>
      </c>
      <c r="DM58">
        <v>0</v>
      </c>
      <c r="DN58" t="s">
        <v>3</v>
      </c>
      <c r="DO58">
        <v>0</v>
      </c>
    </row>
    <row r="59" spans="1:119" x14ac:dyDescent="0.2">
      <c r="A59">
        <f>ROW(Source!A73)</f>
        <v>73</v>
      </c>
      <c r="B59">
        <v>145262827</v>
      </c>
      <c r="C59">
        <v>145263098</v>
      </c>
      <c r="D59">
        <v>140804058</v>
      </c>
      <c r="E59">
        <v>1</v>
      </c>
      <c r="F59">
        <v>1</v>
      </c>
      <c r="G59">
        <v>1</v>
      </c>
      <c r="H59">
        <v>3</v>
      </c>
      <c r="I59" t="s">
        <v>480</v>
      </c>
      <c r="J59" t="s">
        <v>481</v>
      </c>
      <c r="K59" t="s">
        <v>482</v>
      </c>
      <c r="L59">
        <v>1348</v>
      </c>
      <c r="N59">
        <v>1009</v>
      </c>
      <c r="O59" t="s">
        <v>206</v>
      </c>
      <c r="P59" t="s">
        <v>206</v>
      </c>
      <c r="Q59">
        <v>1000</v>
      </c>
      <c r="W59">
        <v>0</v>
      </c>
      <c r="X59">
        <v>264248573</v>
      </c>
      <c r="Y59">
        <f t="shared" si="40"/>
        <v>4.6999999999999999E-4</v>
      </c>
      <c r="AA59">
        <v>132457.60000000001</v>
      </c>
      <c r="AB59">
        <v>0</v>
      </c>
      <c r="AC59">
        <v>0</v>
      </c>
      <c r="AD59">
        <v>0</v>
      </c>
      <c r="AE59">
        <v>15620</v>
      </c>
      <c r="AF59">
        <v>0</v>
      </c>
      <c r="AG59">
        <v>0</v>
      </c>
      <c r="AH59">
        <v>0</v>
      </c>
      <c r="AI59">
        <v>8.48</v>
      </c>
      <c r="AJ59">
        <v>1</v>
      </c>
      <c r="AK59">
        <v>1</v>
      </c>
      <c r="AL59">
        <v>1</v>
      </c>
      <c r="AM59">
        <v>4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</v>
      </c>
      <c r="AT59">
        <v>4.6999999999999999E-4</v>
      </c>
      <c r="AU59" t="s">
        <v>3</v>
      </c>
      <c r="AV59">
        <v>0</v>
      </c>
      <c r="AW59">
        <v>2</v>
      </c>
      <c r="AX59">
        <v>145263141</v>
      </c>
      <c r="AY59">
        <v>1</v>
      </c>
      <c r="AZ59">
        <v>0</v>
      </c>
      <c r="BA59">
        <v>66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ROUND(Y59*Source!I73,9)</f>
        <v>2.1587100000000001E-2</v>
      </c>
      <c r="CY59">
        <f t="shared" si="41"/>
        <v>132457.60000000001</v>
      </c>
      <c r="CZ59">
        <f t="shared" si="42"/>
        <v>15620</v>
      </c>
      <c r="DA59">
        <f t="shared" si="43"/>
        <v>8.48</v>
      </c>
      <c r="DB59">
        <f t="shared" si="44"/>
        <v>7.34</v>
      </c>
      <c r="DC59">
        <f t="shared" si="45"/>
        <v>0</v>
      </c>
      <c r="DD59" t="s">
        <v>3</v>
      </c>
      <c r="DE59" t="s">
        <v>3</v>
      </c>
      <c r="DF59">
        <f t="shared" si="46"/>
        <v>2859.38</v>
      </c>
      <c r="DG59">
        <f t="shared" si="47"/>
        <v>0</v>
      </c>
      <c r="DH59">
        <f t="shared" si="48"/>
        <v>0</v>
      </c>
      <c r="DI59">
        <f t="shared" si="34"/>
        <v>0</v>
      </c>
      <c r="DJ59">
        <f t="shared" si="49"/>
        <v>2859.38</v>
      </c>
      <c r="DK59">
        <v>0</v>
      </c>
      <c r="DL59" t="s">
        <v>3</v>
      </c>
      <c r="DM59">
        <v>0</v>
      </c>
      <c r="DN59" t="s">
        <v>3</v>
      </c>
      <c r="DO59">
        <v>0</v>
      </c>
    </row>
    <row r="60" spans="1:119" x14ac:dyDescent="0.2">
      <c r="A60">
        <f>ROW(Source!A73)</f>
        <v>73</v>
      </c>
      <c r="B60">
        <v>145262827</v>
      </c>
      <c r="C60">
        <v>145263098</v>
      </c>
      <c r="D60">
        <v>140805182</v>
      </c>
      <c r="E60">
        <v>1</v>
      </c>
      <c r="F60">
        <v>1</v>
      </c>
      <c r="G60">
        <v>1</v>
      </c>
      <c r="H60">
        <v>3</v>
      </c>
      <c r="I60" t="s">
        <v>483</v>
      </c>
      <c r="J60" t="s">
        <v>484</v>
      </c>
      <c r="K60" t="s">
        <v>485</v>
      </c>
      <c r="L60">
        <v>1346</v>
      </c>
      <c r="N60">
        <v>1009</v>
      </c>
      <c r="O60" t="s">
        <v>457</v>
      </c>
      <c r="P60" t="s">
        <v>457</v>
      </c>
      <c r="Q60">
        <v>1</v>
      </c>
      <c r="W60">
        <v>0</v>
      </c>
      <c r="X60">
        <v>-1449230318</v>
      </c>
      <c r="Y60">
        <f t="shared" si="40"/>
        <v>0.09</v>
      </c>
      <c r="AA60">
        <v>79.88</v>
      </c>
      <c r="AB60">
        <v>0</v>
      </c>
      <c r="AC60">
        <v>0</v>
      </c>
      <c r="AD60">
        <v>0</v>
      </c>
      <c r="AE60">
        <v>9.42</v>
      </c>
      <c r="AF60">
        <v>0</v>
      </c>
      <c r="AG60">
        <v>0</v>
      </c>
      <c r="AH60">
        <v>0</v>
      </c>
      <c r="AI60">
        <v>8.48</v>
      </c>
      <c r="AJ60">
        <v>1</v>
      </c>
      <c r="AK60">
        <v>1</v>
      </c>
      <c r="AL60">
        <v>1</v>
      </c>
      <c r="AM60">
        <v>4</v>
      </c>
      <c r="AN60">
        <v>0</v>
      </c>
      <c r="AO60">
        <v>1</v>
      </c>
      <c r="AP60">
        <v>1</v>
      </c>
      <c r="AQ60">
        <v>0</v>
      </c>
      <c r="AR60">
        <v>0</v>
      </c>
      <c r="AS60" t="s">
        <v>3</v>
      </c>
      <c r="AT60">
        <v>0.09</v>
      </c>
      <c r="AU60" t="s">
        <v>3</v>
      </c>
      <c r="AV60">
        <v>0</v>
      </c>
      <c r="AW60">
        <v>2</v>
      </c>
      <c r="AX60">
        <v>145263142</v>
      </c>
      <c r="AY60">
        <v>1</v>
      </c>
      <c r="AZ60">
        <v>0</v>
      </c>
      <c r="BA60">
        <v>67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ROUND(Y60*Source!I73,9)</f>
        <v>4.1337000000000002</v>
      </c>
      <c r="CY60">
        <f t="shared" si="41"/>
        <v>79.88</v>
      </c>
      <c r="CZ60">
        <f t="shared" si="42"/>
        <v>9.42</v>
      </c>
      <c r="DA60">
        <f t="shared" si="43"/>
        <v>8.48</v>
      </c>
      <c r="DB60">
        <f t="shared" si="44"/>
        <v>0.85</v>
      </c>
      <c r="DC60">
        <f t="shared" si="45"/>
        <v>0</v>
      </c>
      <c r="DD60" t="s">
        <v>3</v>
      </c>
      <c r="DE60" t="s">
        <v>3</v>
      </c>
      <c r="DF60">
        <f t="shared" si="46"/>
        <v>330.2</v>
      </c>
      <c r="DG60">
        <f t="shared" si="47"/>
        <v>0</v>
      </c>
      <c r="DH60">
        <f t="shared" si="48"/>
        <v>0</v>
      </c>
      <c r="DI60">
        <f t="shared" si="34"/>
        <v>0</v>
      </c>
      <c r="DJ60">
        <f t="shared" si="49"/>
        <v>330.2</v>
      </c>
      <c r="DK60">
        <v>0</v>
      </c>
      <c r="DL60" t="s">
        <v>3</v>
      </c>
      <c r="DM60">
        <v>0</v>
      </c>
      <c r="DN60" t="s">
        <v>3</v>
      </c>
      <c r="DO60">
        <v>0</v>
      </c>
    </row>
    <row r="61" spans="1:119" x14ac:dyDescent="0.2">
      <c r="A61">
        <f>ROW(Source!A77)</f>
        <v>77</v>
      </c>
      <c r="B61">
        <v>145262827</v>
      </c>
      <c r="C61">
        <v>145263146</v>
      </c>
      <c r="D61">
        <v>140760001</v>
      </c>
      <c r="E61">
        <v>70</v>
      </c>
      <c r="F61">
        <v>1</v>
      </c>
      <c r="G61">
        <v>1</v>
      </c>
      <c r="H61">
        <v>1</v>
      </c>
      <c r="I61" t="s">
        <v>379</v>
      </c>
      <c r="J61" t="s">
        <v>3</v>
      </c>
      <c r="K61" t="s">
        <v>380</v>
      </c>
      <c r="L61">
        <v>1191</v>
      </c>
      <c r="N61">
        <v>1013</v>
      </c>
      <c r="O61" t="s">
        <v>374</v>
      </c>
      <c r="P61" t="s">
        <v>374</v>
      </c>
      <c r="Q61">
        <v>1</v>
      </c>
      <c r="W61">
        <v>0</v>
      </c>
      <c r="X61">
        <v>1893946532</v>
      </c>
      <c r="Y61">
        <f>((AT61*(1+(0.005*(30-15))))*1.15)</f>
        <v>177.94582499999999</v>
      </c>
      <c r="AA61">
        <v>0</v>
      </c>
      <c r="AB61">
        <v>0</v>
      </c>
      <c r="AC61">
        <v>0</v>
      </c>
      <c r="AD61">
        <v>266.02</v>
      </c>
      <c r="AE61">
        <v>0</v>
      </c>
      <c r="AF61">
        <v>0</v>
      </c>
      <c r="AG61">
        <v>0</v>
      </c>
      <c r="AH61">
        <v>9.07</v>
      </c>
      <c r="AI61">
        <v>1</v>
      </c>
      <c r="AJ61">
        <v>1</v>
      </c>
      <c r="AK61">
        <v>1</v>
      </c>
      <c r="AL61">
        <v>29.33</v>
      </c>
      <c r="AM61">
        <v>4</v>
      </c>
      <c r="AN61">
        <v>0</v>
      </c>
      <c r="AO61">
        <v>1</v>
      </c>
      <c r="AP61">
        <v>1</v>
      </c>
      <c r="AQ61">
        <v>0</v>
      </c>
      <c r="AR61">
        <v>0</v>
      </c>
      <c r="AS61" t="s">
        <v>3</v>
      </c>
      <c r="AT61">
        <v>143.94</v>
      </c>
      <c r="AU61" t="s">
        <v>172</v>
      </c>
      <c r="AV61">
        <v>1</v>
      </c>
      <c r="AW61">
        <v>2</v>
      </c>
      <c r="AX61">
        <v>145263156</v>
      </c>
      <c r="AY61">
        <v>1</v>
      </c>
      <c r="AZ61">
        <v>0</v>
      </c>
      <c r="BA61">
        <v>68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ROUND(Y61*Source!I77,9)</f>
        <v>322.08194324999999</v>
      </c>
      <c r="CY61">
        <f>AD61</f>
        <v>266.02</v>
      </c>
      <c r="CZ61">
        <f>AH61</f>
        <v>9.07</v>
      </c>
      <c r="DA61">
        <f>AL61</f>
        <v>29.33</v>
      </c>
      <c r="DB61">
        <f>ROUND(((ROUND(AT61*CZ61,2)*(1+(0.005*(30-15))))*1.15),2)</f>
        <v>1613.97</v>
      </c>
      <c r="DC61">
        <f>ROUND(((ROUND(AT61*AG61,2)*(1+(0.005*(30-15))))*1.15),2)</f>
        <v>0</v>
      </c>
      <c r="DD61" t="s">
        <v>3</v>
      </c>
      <c r="DE61" t="s">
        <v>3</v>
      </c>
      <c r="DF61">
        <f>ROUND(ROUND(AE61,2)*CX61,2)</f>
        <v>0</v>
      </c>
      <c r="DG61">
        <f t="shared" si="47"/>
        <v>0</v>
      </c>
      <c r="DH61">
        <f t="shared" si="48"/>
        <v>0</v>
      </c>
      <c r="DI61">
        <f>ROUND(ROUND(AH61*AL61,2)*CX61,2)</f>
        <v>85680.24</v>
      </c>
      <c r="DJ61">
        <f>DI61</f>
        <v>85680.24</v>
      </c>
      <c r="DK61">
        <v>0</v>
      </c>
      <c r="DL61" t="s">
        <v>3</v>
      </c>
      <c r="DM61">
        <v>0</v>
      </c>
      <c r="DN61" t="s">
        <v>3</v>
      </c>
      <c r="DO61">
        <v>0</v>
      </c>
    </row>
    <row r="62" spans="1:119" x14ac:dyDescent="0.2">
      <c r="A62">
        <f>ROW(Source!A77)</f>
        <v>77</v>
      </c>
      <c r="B62">
        <v>145262827</v>
      </c>
      <c r="C62">
        <v>145263146</v>
      </c>
      <c r="D62">
        <v>140760225</v>
      </c>
      <c r="E62">
        <v>70</v>
      </c>
      <c r="F62">
        <v>1</v>
      </c>
      <c r="G62">
        <v>1</v>
      </c>
      <c r="H62">
        <v>1</v>
      </c>
      <c r="I62" t="s">
        <v>381</v>
      </c>
      <c r="J62" t="s">
        <v>3</v>
      </c>
      <c r="K62" t="s">
        <v>382</v>
      </c>
      <c r="L62">
        <v>1191</v>
      </c>
      <c r="N62">
        <v>1013</v>
      </c>
      <c r="O62" t="s">
        <v>374</v>
      </c>
      <c r="P62" t="s">
        <v>374</v>
      </c>
      <c r="Q62">
        <v>1</v>
      </c>
      <c r="W62">
        <v>0</v>
      </c>
      <c r="X62">
        <v>-1417349443</v>
      </c>
      <c r="Y62">
        <f>(AT62*1.25)</f>
        <v>0.23749999999999999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1</v>
      </c>
      <c r="AJ62">
        <v>1</v>
      </c>
      <c r="AK62">
        <v>29.33</v>
      </c>
      <c r="AL62">
        <v>1</v>
      </c>
      <c r="AM62">
        <v>4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3</v>
      </c>
      <c r="AT62">
        <v>0.19</v>
      </c>
      <c r="AU62" t="s">
        <v>148</v>
      </c>
      <c r="AV62">
        <v>2</v>
      </c>
      <c r="AW62">
        <v>2</v>
      </c>
      <c r="AX62">
        <v>145263157</v>
      </c>
      <c r="AY62">
        <v>1</v>
      </c>
      <c r="AZ62">
        <v>0</v>
      </c>
      <c r="BA62">
        <v>69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ROUND(Y62*Source!I77,9)</f>
        <v>0.42987500000000001</v>
      </c>
      <c r="CY62">
        <f>AD62</f>
        <v>0</v>
      </c>
      <c r="CZ62">
        <f>AH62</f>
        <v>0</v>
      </c>
      <c r="DA62">
        <f>AL62</f>
        <v>1</v>
      </c>
      <c r="DB62">
        <f>ROUND((ROUND(AT62*CZ62,2)*1.25),2)</f>
        <v>0</v>
      </c>
      <c r="DC62">
        <f>ROUND((ROUND(AT62*AG62,2)*1.25),2)</f>
        <v>0</v>
      </c>
      <c r="DD62" t="s">
        <v>3</v>
      </c>
      <c r="DE62" t="s">
        <v>3</v>
      </c>
      <c r="DF62">
        <f>ROUND(ROUND(AE62,2)*CX62,2)</f>
        <v>0</v>
      </c>
      <c r="DG62">
        <f t="shared" si="47"/>
        <v>0</v>
      </c>
      <c r="DH62">
        <f>ROUND(ROUND(AG62*AK62,2)*CX62,2)</f>
        <v>0</v>
      </c>
      <c r="DI62">
        <f t="shared" ref="DI62:DI69" si="50">ROUND(ROUND(AH62,2)*CX62,2)</f>
        <v>0</v>
      </c>
      <c r="DJ62">
        <f>DI62</f>
        <v>0</v>
      </c>
      <c r="DK62">
        <v>0</v>
      </c>
      <c r="DL62" t="s">
        <v>3</v>
      </c>
      <c r="DM62">
        <v>0</v>
      </c>
      <c r="DN62" t="s">
        <v>3</v>
      </c>
      <c r="DO62">
        <v>0</v>
      </c>
    </row>
    <row r="63" spans="1:119" x14ac:dyDescent="0.2">
      <c r="A63">
        <f>ROW(Source!A77)</f>
        <v>77</v>
      </c>
      <c r="B63">
        <v>145262827</v>
      </c>
      <c r="C63">
        <v>145263146</v>
      </c>
      <c r="D63">
        <v>140922951</v>
      </c>
      <c r="E63">
        <v>1</v>
      </c>
      <c r="F63">
        <v>1</v>
      </c>
      <c r="G63">
        <v>1</v>
      </c>
      <c r="H63">
        <v>2</v>
      </c>
      <c r="I63" t="s">
        <v>436</v>
      </c>
      <c r="J63" t="s">
        <v>437</v>
      </c>
      <c r="K63" t="s">
        <v>438</v>
      </c>
      <c r="L63">
        <v>1367</v>
      </c>
      <c r="N63">
        <v>1011</v>
      </c>
      <c r="O63" t="s">
        <v>378</v>
      </c>
      <c r="P63" t="s">
        <v>378</v>
      </c>
      <c r="Q63">
        <v>1</v>
      </c>
      <c r="W63">
        <v>0</v>
      </c>
      <c r="X63">
        <v>-430484415</v>
      </c>
      <c r="Y63">
        <f>(AT63*1.25)</f>
        <v>9.1249999999999998E-2</v>
      </c>
      <c r="AA63">
        <v>0</v>
      </c>
      <c r="AB63">
        <v>1329.41</v>
      </c>
      <c r="AC63">
        <v>395.96</v>
      </c>
      <c r="AD63">
        <v>0</v>
      </c>
      <c r="AE63">
        <v>0</v>
      </c>
      <c r="AF63">
        <v>115.4</v>
      </c>
      <c r="AG63">
        <v>13.5</v>
      </c>
      <c r="AH63">
        <v>0</v>
      </c>
      <c r="AI63">
        <v>1</v>
      </c>
      <c r="AJ63">
        <v>11.52</v>
      </c>
      <c r="AK63">
        <v>29.33</v>
      </c>
      <c r="AL63">
        <v>1</v>
      </c>
      <c r="AM63">
        <v>4</v>
      </c>
      <c r="AN63">
        <v>0</v>
      </c>
      <c r="AO63">
        <v>1</v>
      </c>
      <c r="AP63">
        <v>1</v>
      </c>
      <c r="AQ63">
        <v>0</v>
      </c>
      <c r="AR63">
        <v>0</v>
      </c>
      <c r="AS63" t="s">
        <v>3</v>
      </c>
      <c r="AT63">
        <v>7.2999999999999995E-2</v>
      </c>
      <c r="AU63" t="s">
        <v>148</v>
      </c>
      <c r="AV63">
        <v>0</v>
      </c>
      <c r="AW63">
        <v>2</v>
      </c>
      <c r="AX63">
        <v>145263158</v>
      </c>
      <c r="AY63">
        <v>1</v>
      </c>
      <c r="AZ63">
        <v>0</v>
      </c>
      <c r="BA63">
        <v>70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ROUND(Y63*Source!I77,9)</f>
        <v>0.16516249999999999</v>
      </c>
      <c r="CY63">
        <f>AB63</f>
        <v>1329.41</v>
      </c>
      <c r="CZ63">
        <f>AF63</f>
        <v>115.4</v>
      </c>
      <c r="DA63">
        <f>AJ63</f>
        <v>11.52</v>
      </c>
      <c r="DB63">
        <f>ROUND((ROUND(AT63*CZ63,2)*1.25),2)</f>
        <v>10.53</v>
      </c>
      <c r="DC63">
        <f>ROUND((ROUND(AT63*AG63,2)*1.25),2)</f>
        <v>1.24</v>
      </c>
      <c r="DD63" t="s">
        <v>3</v>
      </c>
      <c r="DE63" t="s">
        <v>3</v>
      </c>
      <c r="DF63">
        <f>ROUND(ROUND(AE63,2)*CX63,2)</f>
        <v>0</v>
      </c>
      <c r="DG63">
        <f>ROUND(ROUND(AF63*AJ63,2)*CX63,2)</f>
        <v>219.57</v>
      </c>
      <c r="DH63">
        <f>ROUND(ROUND(AG63*AK63,2)*CX63,2)</f>
        <v>65.400000000000006</v>
      </c>
      <c r="DI63">
        <f t="shared" si="50"/>
        <v>0</v>
      </c>
      <c r="DJ63">
        <f>DG63</f>
        <v>219.57</v>
      </c>
      <c r="DK63">
        <v>0</v>
      </c>
      <c r="DL63" t="s">
        <v>3</v>
      </c>
      <c r="DM63">
        <v>0</v>
      </c>
      <c r="DN63" t="s">
        <v>3</v>
      </c>
      <c r="DO63">
        <v>0</v>
      </c>
    </row>
    <row r="64" spans="1:119" x14ac:dyDescent="0.2">
      <c r="A64">
        <f>ROW(Source!A77)</f>
        <v>77</v>
      </c>
      <c r="B64">
        <v>145262827</v>
      </c>
      <c r="C64">
        <v>145263146</v>
      </c>
      <c r="D64">
        <v>140923142</v>
      </c>
      <c r="E64">
        <v>1</v>
      </c>
      <c r="F64">
        <v>1</v>
      </c>
      <c r="G64">
        <v>1</v>
      </c>
      <c r="H64">
        <v>2</v>
      </c>
      <c r="I64" t="s">
        <v>486</v>
      </c>
      <c r="J64" t="s">
        <v>487</v>
      </c>
      <c r="K64" t="s">
        <v>488</v>
      </c>
      <c r="L64">
        <v>1367</v>
      </c>
      <c r="N64">
        <v>1011</v>
      </c>
      <c r="O64" t="s">
        <v>378</v>
      </c>
      <c r="P64" t="s">
        <v>378</v>
      </c>
      <c r="Q64">
        <v>1</v>
      </c>
      <c r="W64">
        <v>0</v>
      </c>
      <c r="X64">
        <v>-777582489</v>
      </c>
      <c r="Y64">
        <f>(AT64*1.25)</f>
        <v>4.4999999999999998E-2</v>
      </c>
      <c r="AA64">
        <v>0</v>
      </c>
      <c r="AB64">
        <v>280.27999999999997</v>
      </c>
      <c r="AC64">
        <v>295.06</v>
      </c>
      <c r="AD64">
        <v>0</v>
      </c>
      <c r="AE64">
        <v>0</v>
      </c>
      <c r="AF64">
        <v>24.33</v>
      </c>
      <c r="AG64">
        <v>10.06</v>
      </c>
      <c r="AH64">
        <v>0</v>
      </c>
      <c r="AI64">
        <v>1</v>
      </c>
      <c r="AJ64">
        <v>11.52</v>
      </c>
      <c r="AK64">
        <v>29.33</v>
      </c>
      <c r="AL64">
        <v>1</v>
      </c>
      <c r="AM64">
        <v>4</v>
      </c>
      <c r="AN64">
        <v>0</v>
      </c>
      <c r="AO64">
        <v>1</v>
      </c>
      <c r="AP64">
        <v>1</v>
      </c>
      <c r="AQ64">
        <v>0</v>
      </c>
      <c r="AR64">
        <v>0</v>
      </c>
      <c r="AS64" t="s">
        <v>3</v>
      </c>
      <c r="AT64">
        <v>3.5999999999999997E-2</v>
      </c>
      <c r="AU64" t="s">
        <v>148</v>
      </c>
      <c r="AV64">
        <v>0</v>
      </c>
      <c r="AW64">
        <v>2</v>
      </c>
      <c r="AX64">
        <v>145263159</v>
      </c>
      <c r="AY64">
        <v>1</v>
      </c>
      <c r="AZ64">
        <v>0</v>
      </c>
      <c r="BA64">
        <v>71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ROUND(Y64*Source!I77,9)</f>
        <v>8.1449999999999995E-2</v>
      </c>
      <c r="CY64">
        <f>AB64</f>
        <v>280.27999999999997</v>
      </c>
      <c r="CZ64">
        <f>AF64</f>
        <v>24.33</v>
      </c>
      <c r="DA64">
        <f>AJ64</f>
        <v>11.52</v>
      </c>
      <c r="DB64">
        <f>ROUND((ROUND(AT64*CZ64,2)*1.25),2)</f>
        <v>1.1000000000000001</v>
      </c>
      <c r="DC64">
        <f>ROUND((ROUND(AT64*AG64,2)*1.25),2)</f>
        <v>0.45</v>
      </c>
      <c r="DD64" t="s">
        <v>3</v>
      </c>
      <c r="DE64" t="s">
        <v>3</v>
      </c>
      <c r="DF64">
        <f>ROUND(ROUND(AE64,2)*CX64,2)</f>
        <v>0</v>
      </c>
      <c r="DG64">
        <f>ROUND(ROUND(AF64*AJ64,2)*CX64,2)</f>
        <v>22.83</v>
      </c>
      <c r="DH64">
        <f>ROUND(ROUND(AG64*AK64,2)*CX64,2)</f>
        <v>24.03</v>
      </c>
      <c r="DI64">
        <f t="shared" si="50"/>
        <v>0</v>
      </c>
      <c r="DJ64">
        <f>DG64</f>
        <v>22.83</v>
      </c>
      <c r="DK64">
        <v>0</v>
      </c>
      <c r="DL64" t="s">
        <v>3</v>
      </c>
      <c r="DM64">
        <v>0</v>
      </c>
      <c r="DN64" t="s">
        <v>3</v>
      </c>
      <c r="DO64">
        <v>0</v>
      </c>
    </row>
    <row r="65" spans="1:119" x14ac:dyDescent="0.2">
      <c r="A65">
        <f>ROW(Source!A77)</f>
        <v>77</v>
      </c>
      <c r="B65">
        <v>145262827</v>
      </c>
      <c r="C65">
        <v>145263146</v>
      </c>
      <c r="D65">
        <v>140923885</v>
      </c>
      <c r="E65">
        <v>1</v>
      </c>
      <c r="F65">
        <v>1</v>
      </c>
      <c r="G65">
        <v>1</v>
      </c>
      <c r="H65">
        <v>2</v>
      </c>
      <c r="I65" t="s">
        <v>386</v>
      </c>
      <c r="J65" t="s">
        <v>387</v>
      </c>
      <c r="K65" t="s">
        <v>388</v>
      </c>
      <c r="L65">
        <v>1367</v>
      </c>
      <c r="N65">
        <v>1011</v>
      </c>
      <c r="O65" t="s">
        <v>378</v>
      </c>
      <c r="P65" t="s">
        <v>378</v>
      </c>
      <c r="Q65">
        <v>1</v>
      </c>
      <c r="W65">
        <v>0</v>
      </c>
      <c r="X65">
        <v>509054691</v>
      </c>
      <c r="Y65">
        <f>(AT65*1.25)</f>
        <v>9.8750000000000004E-2</v>
      </c>
      <c r="AA65">
        <v>0</v>
      </c>
      <c r="AB65">
        <v>756.98</v>
      </c>
      <c r="AC65">
        <v>340.23</v>
      </c>
      <c r="AD65">
        <v>0</v>
      </c>
      <c r="AE65">
        <v>0</v>
      </c>
      <c r="AF65">
        <v>65.709999999999994</v>
      </c>
      <c r="AG65">
        <v>11.6</v>
      </c>
      <c r="AH65">
        <v>0</v>
      </c>
      <c r="AI65">
        <v>1</v>
      </c>
      <c r="AJ65">
        <v>11.52</v>
      </c>
      <c r="AK65">
        <v>29.33</v>
      </c>
      <c r="AL65">
        <v>1</v>
      </c>
      <c r="AM65">
        <v>4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</v>
      </c>
      <c r="AT65">
        <v>7.9000000000000001E-2</v>
      </c>
      <c r="AU65" t="s">
        <v>148</v>
      </c>
      <c r="AV65">
        <v>0</v>
      </c>
      <c r="AW65">
        <v>2</v>
      </c>
      <c r="AX65">
        <v>145263160</v>
      </c>
      <c r="AY65">
        <v>1</v>
      </c>
      <c r="AZ65">
        <v>0</v>
      </c>
      <c r="BA65">
        <v>72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ROUND(Y65*Source!I77,9)</f>
        <v>0.17873749999999999</v>
      </c>
      <c r="CY65">
        <f>AB65</f>
        <v>756.98</v>
      </c>
      <c r="CZ65">
        <f>AF65</f>
        <v>65.709999999999994</v>
      </c>
      <c r="DA65">
        <f>AJ65</f>
        <v>11.52</v>
      </c>
      <c r="DB65">
        <f>ROUND((ROUND(AT65*CZ65,2)*1.25),2)</f>
        <v>6.49</v>
      </c>
      <c r="DC65">
        <f>ROUND((ROUND(AT65*AG65,2)*1.25),2)</f>
        <v>1.1499999999999999</v>
      </c>
      <c r="DD65" t="s">
        <v>3</v>
      </c>
      <c r="DE65" t="s">
        <v>3</v>
      </c>
      <c r="DF65">
        <f>ROUND(ROUND(AE65,2)*CX65,2)</f>
        <v>0</v>
      </c>
      <c r="DG65">
        <f>ROUND(ROUND(AF65*AJ65,2)*CX65,2)</f>
        <v>135.30000000000001</v>
      </c>
      <c r="DH65">
        <f>ROUND(ROUND(AG65*AK65,2)*CX65,2)</f>
        <v>60.81</v>
      </c>
      <c r="DI65">
        <f t="shared" si="50"/>
        <v>0</v>
      </c>
      <c r="DJ65">
        <f>DG65</f>
        <v>135.30000000000001</v>
      </c>
      <c r="DK65">
        <v>0</v>
      </c>
      <c r="DL65" t="s">
        <v>3</v>
      </c>
      <c r="DM65">
        <v>0</v>
      </c>
      <c r="DN65" t="s">
        <v>3</v>
      </c>
      <c r="DO65">
        <v>0</v>
      </c>
    </row>
    <row r="66" spans="1:119" x14ac:dyDescent="0.2">
      <c r="A66">
        <f>ROW(Source!A77)</f>
        <v>77</v>
      </c>
      <c r="B66">
        <v>145262827</v>
      </c>
      <c r="C66">
        <v>145263146</v>
      </c>
      <c r="D66">
        <v>140775493</v>
      </c>
      <c r="E66">
        <v>1</v>
      </c>
      <c r="F66">
        <v>1</v>
      </c>
      <c r="G66">
        <v>1</v>
      </c>
      <c r="H66">
        <v>3</v>
      </c>
      <c r="I66" t="s">
        <v>489</v>
      </c>
      <c r="J66" t="s">
        <v>490</v>
      </c>
      <c r="K66" t="s">
        <v>491</v>
      </c>
      <c r="L66">
        <v>1425</v>
      </c>
      <c r="N66">
        <v>1013</v>
      </c>
      <c r="O66" t="s">
        <v>35</v>
      </c>
      <c r="P66" t="s">
        <v>35</v>
      </c>
      <c r="Q66">
        <v>1</v>
      </c>
      <c r="W66">
        <v>0</v>
      </c>
      <c r="X66">
        <v>-648552701</v>
      </c>
      <c r="Y66">
        <f t="shared" ref="Y66:Y83" si="51">AT66</f>
        <v>4.88</v>
      </c>
      <c r="AA66">
        <v>315.45999999999998</v>
      </c>
      <c r="AB66">
        <v>0</v>
      </c>
      <c r="AC66">
        <v>0</v>
      </c>
      <c r="AD66">
        <v>0</v>
      </c>
      <c r="AE66">
        <v>37.200000000000003</v>
      </c>
      <c r="AF66">
        <v>0</v>
      </c>
      <c r="AG66">
        <v>0</v>
      </c>
      <c r="AH66">
        <v>0</v>
      </c>
      <c r="AI66">
        <v>8.48</v>
      </c>
      <c r="AJ66">
        <v>1</v>
      </c>
      <c r="AK66">
        <v>1</v>
      </c>
      <c r="AL66">
        <v>1</v>
      </c>
      <c r="AM66">
        <v>4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4.88</v>
      </c>
      <c r="AU66" t="s">
        <v>3</v>
      </c>
      <c r="AV66">
        <v>0</v>
      </c>
      <c r="AW66">
        <v>2</v>
      </c>
      <c r="AX66">
        <v>145263161</v>
      </c>
      <c r="AY66">
        <v>1</v>
      </c>
      <c r="AZ66">
        <v>0</v>
      </c>
      <c r="BA66">
        <v>73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ROUND(Y66*Source!I77,9)</f>
        <v>8.8328000000000007</v>
      </c>
      <c r="CY66">
        <f>AA66</f>
        <v>315.45999999999998</v>
      </c>
      <c r="CZ66">
        <f>AE66</f>
        <v>37.200000000000003</v>
      </c>
      <c r="DA66">
        <f>AI66</f>
        <v>8.48</v>
      </c>
      <c r="DB66">
        <f t="shared" ref="DB66:DB83" si="52">ROUND(ROUND(AT66*CZ66,2),2)</f>
        <v>181.54</v>
      </c>
      <c r="DC66">
        <f t="shared" ref="DC66:DC83" si="53">ROUND(ROUND(AT66*AG66,2),2)</f>
        <v>0</v>
      </c>
      <c r="DD66" t="s">
        <v>3</v>
      </c>
      <c r="DE66" t="s">
        <v>3</v>
      </c>
      <c r="DF66">
        <f>ROUND(ROUND(AE66*AI66,2)*CX66,2)</f>
        <v>2786.4</v>
      </c>
      <c r="DG66">
        <f t="shared" ref="DG66:DG71" si="54">ROUND(ROUND(AF66,2)*CX66,2)</f>
        <v>0</v>
      </c>
      <c r="DH66">
        <f>ROUND(ROUND(AG66,2)*CX66,2)</f>
        <v>0</v>
      </c>
      <c r="DI66">
        <f t="shared" si="50"/>
        <v>0</v>
      </c>
      <c r="DJ66">
        <f>DF66</f>
        <v>2786.4</v>
      </c>
      <c r="DK66">
        <v>0</v>
      </c>
      <c r="DL66" t="s">
        <v>3</v>
      </c>
      <c r="DM66">
        <v>0</v>
      </c>
      <c r="DN66" t="s">
        <v>3</v>
      </c>
      <c r="DO66">
        <v>0</v>
      </c>
    </row>
    <row r="67" spans="1:119" x14ac:dyDescent="0.2">
      <c r="A67">
        <f>ROW(Source!A77)</f>
        <v>77</v>
      </c>
      <c r="B67">
        <v>145262827</v>
      </c>
      <c r="C67">
        <v>145263146</v>
      </c>
      <c r="D67">
        <v>140798681</v>
      </c>
      <c r="E67">
        <v>1</v>
      </c>
      <c r="F67">
        <v>1</v>
      </c>
      <c r="G67">
        <v>1</v>
      </c>
      <c r="H67">
        <v>3</v>
      </c>
      <c r="I67" t="s">
        <v>179</v>
      </c>
      <c r="J67" t="s">
        <v>182</v>
      </c>
      <c r="K67" t="s">
        <v>180</v>
      </c>
      <c r="L67">
        <v>1301</v>
      </c>
      <c r="N67">
        <v>1003</v>
      </c>
      <c r="O67" t="s">
        <v>181</v>
      </c>
      <c r="P67" t="s">
        <v>181</v>
      </c>
      <c r="Q67">
        <v>1</v>
      </c>
      <c r="W67">
        <v>1</v>
      </c>
      <c r="X67">
        <v>1864074679</v>
      </c>
      <c r="Y67">
        <f t="shared" si="51"/>
        <v>-89</v>
      </c>
      <c r="AA67">
        <v>136.02000000000001</v>
      </c>
      <c r="AB67">
        <v>0</v>
      </c>
      <c r="AC67">
        <v>0</v>
      </c>
      <c r="AD67">
        <v>0</v>
      </c>
      <c r="AE67">
        <v>16.04</v>
      </c>
      <c r="AF67">
        <v>0</v>
      </c>
      <c r="AG67">
        <v>0</v>
      </c>
      <c r="AH67">
        <v>0</v>
      </c>
      <c r="AI67">
        <v>8.48</v>
      </c>
      <c r="AJ67">
        <v>1</v>
      </c>
      <c r="AK67">
        <v>1</v>
      </c>
      <c r="AL67">
        <v>1</v>
      </c>
      <c r="AM67">
        <v>4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3</v>
      </c>
      <c r="AT67">
        <v>-89</v>
      </c>
      <c r="AU67" t="s">
        <v>3</v>
      </c>
      <c r="AV67">
        <v>0</v>
      </c>
      <c r="AW67">
        <v>2</v>
      </c>
      <c r="AX67">
        <v>145263162</v>
      </c>
      <c r="AY67">
        <v>1</v>
      </c>
      <c r="AZ67">
        <v>6144</v>
      </c>
      <c r="BA67">
        <v>74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ROUND(Y67*Source!I77,9)</f>
        <v>-161.09</v>
      </c>
      <c r="CY67">
        <f>AA67</f>
        <v>136.02000000000001</v>
      </c>
      <c r="CZ67">
        <f>AE67</f>
        <v>16.04</v>
      </c>
      <c r="DA67">
        <f>AI67</f>
        <v>8.48</v>
      </c>
      <c r="DB67">
        <f t="shared" si="52"/>
        <v>-1427.56</v>
      </c>
      <c r="DC67">
        <f t="shared" si="53"/>
        <v>0</v>
      </c>
      <c r="DD67" t="s">
        <v>3</v>
      </c>
      <c r="DE67" t="s">
        <v>3</v>
      </c>
      <c r="DF67">
        <f>ROUND(ROUND(AE67*AI67,2)*CX67,2)</f>
        <v>-21911.46</v>
      </c>
      <c r="DG67">
        <f t="shared" si="54"/>
        <v>0</v>
      </c>
      <c r="DH67">
        <f>ROUND(ROUND(AG67,2)*CX67,2)</f>
        <v>0</v>
      </c>
      <c r="DI67">
        <f t="shared" si="50"/>
        <v>0</v>
      </c>
      <c r="DJ67">
        <f>DF67</f>
        <v>-21911.46</v>
      </c>
      <c r="DK67">
        <v>0</v>
      </c>
      <c r="DL67" t="s">
        <v>3</v>
      </c>
      <c r="DM67">
        <v>0</v>
      </c>
      <c r="DN67" t="s">
        <v>3</v>
      </c>
      <c r="DO67">
        <v>0</v>
      </c>
    </row>
    <row r="68" spans="1:119" x14ac:dyDescent="0.2">
      <c r="A68">
        <f>ROW(Source!A77)</f>
        <v>77</v>
      </c>
      <c r="B68">
        <v>145262827</v>
      </c>
      <c r="C68">
        <v>145263146</v>
      </c>
      <c r="D68">
        <v>140798684</v>
      </c>
      <c r="E68">
        <v>1</v>
      </c>
      <c r="F68">
        <v>1</v>
      </c>
      <c r="G68">
        <v>1</v>
      </c>
      <c r="H68">
        <v>3</v>
      </c>
      <c r="I68" t="s">
        <v>184</v>
      </c>
      <c r="J68" t="s">
        <v>186</v>
      </c>
      <c r="K68" t="s">
        <v>185</v>
      </c>
      <c r="L68">
        <v>1371</v>
      </c>
      <c r="N68">
        <v>1013</v>
      </c>
      <c r="O68" t="s">
        <v>162</v>
      </c>
      <c r="P68" t="s">
        <v>162</v>
      </c>
      <c r="Q68">
        <v>1</v>
      </c>
      <c r="W68">
        <v>1</v>
      </c>
      <c r="X68">
        <v>1783194047</v>
      </c>
      <c r="Y68">
        <f t="shared" si="51"/>
        <v>-13</v>
      </c>
      <c r="AA68">
        <v>268.31</v>
      </c>
      <c r="AB68">
        <v>0</v>
      </c>
      <c r="AC68">
        <v>0</v>
      </c>
      <c r="AD68">
        <v>0</v>
      </c>
      <c r="AE68">
        <v>31.64</v>
      </c>
      <c r="AF68">
        <v>0</v>
      </c>
      <c r="AG68">
        <v>0</v>
      </c>
      <c r="AH68">
        <v>0</v>
      </c>
      <c r="AI68">
        <v>8.48</v>
      </c>
      <c r="AJ68">
        <v>1</v>
      </c>
      <c r="AK68">
        <v>1</v>
      </c>
      <c r="AL68">
        <v>1</v>
      </c>
      <c r="AM68">
        <v>4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</v>
      </c>
      <c r="AT68">
        <v>-13</v>
      </c>
      <c r="AU68" t="s">
        <v>3</v>
      </c>
      <c r="AV68">
        <v>0</v>
      </c>
      <c r="AW68">
        <v>2</v>
      </c>
      <c r="AX68">
        <v>145263164</v>
      </c>
      <c r="AY68">
        <v>1</v>
      </c>
      <c r="AZ68">
        <v>6144</v>
      </c>
      <c r="BA68">
        <v>76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ROUND(Y68*Source!I77,9)</f>
        <v>-23.53</v>
      </c>
      <c r="CY68">
        <f>AA68</f>
        <v>268.31</v>
      </c>
      <c r="CZ68">
        <f>AE68</f>
        <v>31.64</v>
      </c>
      <c r="DA68">
        <f>AI68</f>
        <v>8.48</v>
      </c>
      <c r="DB68">
        <f t="shared" si="52"/>
        <v>-411.32</v>
      </c>
      <c r="DC68">
        <f t="shared" si="53"/>
        <v>0</v>
      </c>
      <c r="DD68" t="s">
        <v>3</v>
      </c>
      <c r="DE68" t="s">
        <v>3</v>
      </c>
      <c r="DF68">
        <f>ROUND(ROUND(AE68*AI68,2)*CX68,2)</f>
        <v>-6313.33</v>
      </c>
      <c r="DG68">
        <f t="shared" si="54"/>
        <v>0</v>
      </c>
      <c r="DH68">
        <f>ROUND(ROUND(AG68,2)*CX68,2)</f>
        <v>0</v>
      </c>
      <c r="DI68">
        <f t="shared" si="50"/>
        <v>0</v>
      </c>
      <c r="DJ68">
        <f>DF68</f>
        <v>-6313.33</v>
      </c>
      <c r="DK68">
        <v>0</v>
      </c>
      <c r="DL68" t="s">
        <v>3</v>
      </c>
      <c r="DM68">
        <v>0</v>
      </c>
      <c r="DN68" t="s">
        <v>3</v>
      </c>
      <c r="DO68">
        <v>0</v>
      </c>
    </row>
    <row r="69" spans="1:119" x14ac:dyDescent="0.2">
      <c r="A69">
        <f>ROW(Source!A77)</f>
        <v>77</v>
      </c>
      <c r="B69">
        <v>145262827</v>
      </c>
      <c r="C69">
        <v>145263146</v>
      </c>
      <c r="D69">
        <v>140798706</v>
      </c>
      <c r="E69">
        <v>1</v>
      </c>
      <c r="F69">
        <v>1</v>
      </c>
      <c r="G69">
        <v>1</v>
      </c>
      <c r="H69">
        <v>3</v>
      </c>
      <c r="I69" t="s">
        <v>188</v>
      </c>
      <c r="J69" t="s">
        <v>190</v>
      </c>
      <c r="K69" t="s">
        <v>189</v>
      </c>
      <c r="L69">
        <v>1371</v>
      </c>
      <c r="N69">
        <v>1013</v>
      </c>
      <c r="O69" t="s">
        <v>162</v>
      </c>
      <c r="P69" t="s">
        <v>162</v>
      </c>
      <c r="Q69">
        <v>1</v>
      </c>
      <c r="W69">
        <v>1</v>
      </c>
      <c r="X69">
        <v>-827027620</v>
      </c>
      <c r="Y69">
        <f t="shared" si="51"/>
        <v>-163</v>
      </c>
      <c r="AA69">
        <v>1092.6500000000001</v>
      </c>
      <c r="AB69">
        <v>0</v>
      </c>
      <c r="AC69">
        <v>0</v>
      </c>
      <c r="AD69">
        <v>0</v>
      </c>
      <c r="AE69">
        <v>128.85</v>
      </c>
      <c r="AF69">
        <v>0</v>
      </c>
      <c r="AG69">
        <v>0</v>
      </c>
      <c r="AH69">
        <v>0</v>
      </c>
      <c r="AI69">
        <v>8.48</v>
      </c>
      <c r="AJ69">
        <v>1</v>
      </c>
      <c r="AK69">
        <v>1</v>
      </c>
      <c r="AL69">
        <v>1</v>
      </c>
      <c r="AM69">
        <v>4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3</v>
      </c>
      <c r="AT69">
        <v>-163</v>
      </c>
      <c r="AU69" t="s">
        <v>3</v>
      </c>
      <c r="AV69">
        <v>0</v>
      </c>
      <c r="AW69">
        <v>2</v>
      </c>
      <c r="AX69">
        <v>145263167</v>
      </c>
      <c r="AY69">
        <v>1</v>
      </c>
      <c r="AZ69">
        <v>6144</v>
      </c>
      <c r="BA69">
        <v>79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ROUND(Y69*Source!I77,9)</f>
        <v>-295.02999999999997</v>
      </c>
      <c r="CY69">
        <f>AA69</f>
        <v>1092.6500000000001</v>
      </c>
      <c r="CZ69">
        <f>AE69</f>
        <v>128.85</v>
      </c>
      <c r="DA69">
        <f>AI69</f>
        <v>8.48</v>
      </c>
      <c r="DB69">
        <f t="shared" si="52"/>
        <v>-21002.55</v>
      </c>
      <c r="DC69">
        <f t="shared" si="53"/>
        <v>0</v>
      </c>
      <c r="DD69" t="s">
        <v>3</v>
      </c>
      <c r="DE69" t="s">
        <v>3</v>
      </c>
      <c r="DF69">
        <f>ROUND(ROUND(AE69*AI69,2)*CX69,2)</f>
        <v>-322364.53000000003</v>
      </c>
      <c r="DG69">
        <f t="shared" si="54"/>
        <v>0</v>
      </c>
      <c r="DH69">
        <f>ROUND(ROUND(AG69,2)*CX69,2)</f>
        <v>0</v>
      </c>
      <c r="DI69">
        <f t="shared" si="50"/>
        <v>0</v>
      </c>
      <c r="DJ69">
        <f>DF69</f>
        <v>-322364.53000000003</v>
      </c>
      <c r="DK69">
        <v>0</v>
      </c>
      <c r="DL69" t="s">
        <v>3</v>
      </c>
      <c r="DM69">
        <v>0</v>
      </c>
      <c r="DN69" t="s">
        <v>3</v>
      </c>
      <c r="DO69">
        <v>0</v>
      </c>
    </row>
    <row r="70" spans="1:119" x14ac:dyDescent="0.2">
      <c r="A70">
        <f>ROW(Source!A85)</f>
        <v>85</v>
      </c>
      <c r="B70">
        <v>145262827</v>
      </c>
      <c r="C70">
        <v>145263175</v>
      </c>
      <c r="D70">
        <v>140760022</v>
      </c>
      <c r="E70">
        <v>70</v>
      </c>
      <c r="F70">
        <v>1</v>
      </c>
      <c r="G70">
        <v>1</v>
      </c>
      <c r="H70">
        <v>1</v>
      </c>
      <c r="I70" t="s">
        <v>492</v>
      </c>
      <c r="J70" t="s">
        <v>3</v>
      </c>
      <c r="K70" t="s">
        <v>493</v>
      </c>
      <c r="L70">
        <v>1191</v>
      </c>
      <c r="N70">
        <v>1013</v>
      </c>
      <c r="O70" t="s">
        <v>374</v>
      </c>
      <c r="P70" t="s">
        <v>374</v>
      </c>
      <c r="Q70">
        <v>1</v>
      </c>
      <c r="W70">
        <v>0</v>
      </c>
      <c r="X70">
        <v>-2012709214</v>
      </c>
      <c r="Y70">
        <f t="shared" si="51"/>
        <v>194</v>
      </c>
      <c r="AA70">
        <v>0</v>
      </c>
      <c r="AB70">
        <v>0</v>
      </c>
      <c r="AC70">
        <v>0</v>
      </c>
      <c r="AD70">
        <v>275.7</v>
      </c>
      <c r="AE70">
        <v>0</v>
      </c>
      <c r="AF70">
        <v>0</v>
      </c>
      <c r="AG70">
        <v>0</v>
      </c>
      <c r="AH70">
        <v>9.4</v>
      </c>
      <c r="AI70">
        <v>1</v>
      </c>
      <c r="AJ70">
        <v>1</v>
      </c>
      <c r="AK70">
        <v>1</v>
      </c>
      <c r="AL70">
        <v>29.33</v>
      </c>
      <c r="AM70">
        <v>4</v>
      </c>
      <c r="AN70">
        <v>0</v>
      </c>
      <c r="AO70">
        <v>1</v>
      </c>
      <c r="AP70">
        <v>0</v>
      </c>
      <c r="AQ70">
        <v>0</v>
      </c>
      <c r="AR70">
        <v>0</v>
      </c>
      <c r="AS70" t="s">
        <v>3</v>
      </c>
      <c r="AT70">
        <v>194</v>
      </c>
      <c r="AU70" t="s">
        <v>3</v>
      </c>
      <c r="AV70">
        <v>1</v>
      </c>
      <c r="AW70">
        <v>2</v>
      </c>
      <c r="AX70">
        <v>145263190</v>
      </c>
      <c r="AY70">
        <v>1</v>
      </c>
      <c r="AZ70">
        <v>0</v>
      </c>
      <c r="BA70">
        <v>80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ROUND(Y70*Source!I85,9)</f>
        <v>17.751000000000001</v>
      </c>
      <c r="CY70">
        <f>AD70</f>
        <v>275.7</v>
      </c>
      <c r="CZ70">
        <f>AH70</f>
        <v>9.4</v>
      </c>
      <c r="DA70">
        <f>AL70</f>
        <v>29.33</v>
      </c>
      <c r="DB70">
        <f t="shared" si="52"/>
        <v>1823.6</v>
      </c>
      <c r="DC70">
        <f t="shared" si="53"/>
        <v>0</v>
      </c>
      <c r="DD70" t="s">
        <v>3</v>
      </c>
      <c r="DE70" t="s">
        <v>3</v>
      </c>
      <c r="DF70">
        <f t="shared" ref="DF70:DF79" si="55">ROUND(ROUND(AE70,2)*CX70,2)</f>
        <v>0</v>
      </c>
      <c r="DG70">
        <f t="shared" si="54"/>
        <v>0</v>
      </c>
      <c r="DH70">
        <f>ROUND(ROUND(AG70,2)*CX70,2)</f>
        <v>0</v>
      </c>
      <c r="DI70">
        <f>ROUND(ROUND(AH70*AL70,2)*CX70,2)</f>
        <v>4893.95</v>
      </c>
      <c r="DJ70">
        <f>DI70</f>
        <v>4893.95</v>
      </c>
      <c r="DK70">
        <v>0</v>
      </c>
      <c r="DL70" t="s">
        <v>3</v>
      </c>
      <c r="DM70">
        <v>0</v>
      </c>
      <c r="DN70" t="s">
        <v>3</v>
      </c>
      <c r="DO70">
        <v>0</v>
      </c>
    </row>
    <row r="71" spans="1:119" x14ac:dyDescent="0.2">
      <c r="A71">
        <f>ROW(Source!A85)</f>
        <v>85</v>
      </c>
      <c r="B71">
        <v>145262827</v>
      </c>
      <c r="C71">
        <v>145263175</v>
      </c>
      <c r="D71">
        <v>140760225</v>
      </c>
      <c r="E71">
        <v>70</v>
      </c>
      <c r="F71">
        <v>1</v>
      </c>
      <c r="G71">
        <v>1</v>
      </c>
      <c r="H71">
        <v>1</v>
      </c>
      <c r="I71" t="s">
        <v>381</v>
      </c>
      <c r="J71" t="s">
        <v>3</v>
      </c>
      <c r="K71" t="s">
        <v>382</v>
      </c>
      <c r="L71">
        <v>1191</v>
      </c>
      <c r="N71">
        <v>1013</v>
      </c>
      <c r="O71" t="s">
        <v>374</v>
      </c>
      <c r="P71" t="s">
        <v>374</v>
      </c>
      <c r="Q71">
        <v>1</v>
      </c>
      <c r="W71">
        <v>0</v>
      </c>
      <c r="X71">
        <v>-1417349443</v>
      </c>
      <c r="Y71">
        <f t="shared" si="51"/>
        <v>4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1</v>
      </c>
      <c r="AJ71">
        <v>1</v>
      </c>
      <c r="AK71">
        <v>29.33</v>
      </c>
      <c r="AL71">
        <v>1</v>
      </c>
      <c r="AM71">
        <v>4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4</v>
      </c>
      <c r="AU71" t="s">
        <v>3</v>
      </c>
      <c r="AV71">
        <v>2</v>
      </c>
      <c r="AW71">
        <v>2</v>
      </c>
      <c r="AX71">
        <v>145263191</v>
      </c>
      <c r="AY71">
        <v>1</v>
      </c>
      <c r="AZ71">
        <v>0</v>
      </c>
      <c r="BA71">
        <v>81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ROUND(Y71*Source!I85,9)</f>
        <v>0.36599999999999999</v>
      </c>
      <c r="CY71">
        <f>AD71</f>
        <v>0</v>
      </c>
      <c r="CZ71">
        <f>AH71</f>
        <v>0</v>
      </c>
      <c r="DA71">
        <f>AL71</f>
        <v>1</v>
      </c>
      <c r="DB71">
        <f t="shared" si="52"/>
        <v>0</v>
      </c>
      <c r="DC71">
        <f t="shared" si="53"/>
        <v>0</v>
      </c>
      <c r="DD71" t="s">
        <v>3</v>
      </c>
      <c r="DE71" t="s">
        <v>3</v>
      </c>
      <c r="DF71">
        <f t="shared" si="55"/>
        <v>0</v>
      </c>
      <c r="DG71">
        <f t="shared" si="54"/>
        <v>0</v>
      </c>
      <c r="DH71">
        <f t="shared" ref="DH71:DH79" si="56">ROUND(ROUND(AG71*AK71,2)*CX71,2)</f>
        <v>0</v>
      </c>
      <c r="DI71">
        <f t="shared" ref="DI71:DI83" si="57">ROUND(ROUND(AH71,2)*CX71,2)</f>
        <v>0</v>
      </c>
      <c r="DJ71">
        <f>DI71</f>
        <v>0</v>
      </c>
      <c r="DK71">
        <v>0</v>
      </c>
      <c r="DL71" t="s">
        <v>3</v>
      </c>
      <c r="DM71">
        <v>0</v>
      </c>
      <c r="DN71" t="s">
        <v>3</v>
      </c>
      <c r="DO71">
        <v>0</v>
      </c>
    </row>
    <row r="72" spans="1:119" x14ac:dyDescent="0.2">
      <c r="A72">
        <f>ROW(Source!A85)</f>
        <v>85</v>
      </c>
      <c r="B72">
        <v>145262827</v>
      </c>
      <c r="C72">
        <v>145263175</v>
      </c>
      <c r="D72">
        <v>140922951</v>
      </c>
      <c r="E72">
        <v>1</v>
      </c>
      <c r="F72">
        <v>1</v>
      </c>
      <c r="G72">
        <v>1</v>
      </c>
      <c r="H72">
        <v>2</v>
      </c>
      <c r="I72" t="s">
        <v>436</v>
      </c>
      <c r="J72" t="s">
        <v>437</v>
      </c>
      <c r="K72" t="s">
        <v>438</v>
      </c>
      <c r="L72">
        <v>1367</v>
      </c>
      <c r="N72">
        <v>1011</v>
      </c>
      <c r="O72" t="s">
        <v>378</v>
      </c>
      <c r="P72" t="s">
        <v>378</v>
      </c>
      <c r="Q72">
        <v>1</v>
      </c>
      <c r="W72">
        <v>0</v>
      </c>
      <c r="X72">
        <v>-430484415</v>
      </c>
      <c r="Y72">
        <f t="shared" si="51"/>
        <v>0.5</v>
      </c>
      <c r="AA72">
        <v>0</v>
      </c>
      <c r="AB72">
        <v>1329.41</v>
      </c>
      <c r="AC72">
        <v>395.96</v>
      </c>
      <c r="AD72">
        <v>0</v>
      </c>
      <c r="AE72">
        <v>0</v>
      </c>
      <c r="AF72">
        <v>115.4</v>
      </c>
      <c r="AG72">
        <v>13.5</v>
      </c>
      <c r="AH72">
        <v>0</v>
      </c>
      <c r="AI72">
        <v>1</v>
      </c>
      <c r="AJ72">
        <v>11.52</v>
      </c>
      <c r="AK72">
        <v>29.33</v>
      </c>
      <c r="AL72">
        <v>1</v>
      </c>
      <c r="AM72">
        <v>4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3</v>
      </c>
      <c r="AT72">
        <v>0.5</v>
      </c>
      <c r="AU72" t="s">
        <v>3</v>
      </c>
      <c r="AV72">
        <v>0</v>
      </c>
      <c r="AW72">
        <v>2</v>
      </c>
      <c r="AX72">
        <v>145263192</v>
      </c>
      <c r="AY72">
        <v>1</v>
      </c>
      <c r="AZ72">
        <v>0</v>
      </c>
      <c r="BA72">
        <v>82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ROUND(Y72*Source!I85,9)</f>
        <v>4.5749999999999999E-2</v>
      </c>
      <c r="CY72">
        <f t="shared" ref="CY72:CY79" si="58">AB72</f>
        <v>1329.41</v>
      </c>
      <c r="CZ72">
        <f t="shared" ref="CZ72:CZ79" si="59">AF72</f>
        <v>115.4</v>
      </c>
      <c r="DA72">
        <f t="shared" ref="DA72:DA79" si="60">AJ72</f>
        <v>11.52</v>
      </c>
      <c r="DB72">
        <f t="shared" si="52"/>
        <v>57.7</v>
      </c>
      <c r="DC72">
        <f t="shared" si="53"/>
        <v>6.75</v>
      </c>
      <c r="DD72" t="s">
        <v>3</v>
      </c>
      <c r="DE72" t="s">
        <v>3</v>
      </c>
      <c r="DF72">
        <f t="shared" si="55"/>
        <v>0</v>
      </c>
      <c r="DG72">
        <f t="shared" ref="DG72:DG79" si="61">ROUND(ROUND(AF72*AJ72,2)*CX72,2)</f>
        <v>60.82</v>
      </c>
      <c r="DH72">
        <f t="shared" si="56"/>
        <v>18.12</v>
      </c>
      <c r="DI72">
        <f t="shared" si="57"/>
        <v>0</v>
      </c>
      <c r="DJ72">
        <f t="shared" ref="DJ72:DJ79" si="62">DG72</f>
        <v>60.82</v>
      </c>
      <c r="DK72">
        <v>0</v>
      </c>
      <c r="DL72" t="s">
        <v>3</v>
      </c>
      <c r="DM72">
        <v>0</v>
      </c>
      <c r="DN72" t="s">
        <v>3</v>
      </c>
      <c r="DO72">
        <v>0</v>
      </c>
    </row>
    <row r="73" spans="1:119" x14ac:dyDescent="0.2">
      <c r="A73">
        <f>ROW(Source!A85)</f>
        <v>85</v>
      </c>
      <c r="B73">
        <v>145262827</v>
      </c>
      <c r="C73">
        <v>145263175</v>
      </c>
      <c r="D73">
        <v>140923088</v>
      </c>
      <c r="E73">
        <v>1</v>
      </c>
      <c r="F73">
        <v>1</v>
      </c>
      <c r="G73">
        <v>1</v>
      </c>
      <c r="H73">
        <v>2</v>
      </c>
      <c r="I73" t="s">
        <v>494</v>
      </c>
      <c r="J73" t="s">
        <v>495</v>
      </c>
      <c r="K73" t="s">
        <v>496</v>
      </c>
      <c r="L73">
        <v>1367</v>
      </c>
      <c r="N73">
        <v>1011</v>
      </c>
      <c r="O73" t="s">
        <v>378</v>
      </c>
      <c r="P73" t="s">
        <v>378</v>
      </c>
      <c r="Q73">
        <v>1</v>
      </c>
      <c r="W73">
        <v>0</v>
      </c>
      <c r="X73">
        <v>-382331097</v>
      </c>
      <c r="Y73">
        <f t="shared" si="51"/>
        <v>1.37</v>
      </c>
      <c r="AA73">
        <v>0</v>
      </c>
      <c r="AB73">
        <v>79.489999999999995</v>
      </c>
      <c r="AC73">
        <v>0</v>
      </c>
      <c r="AD73">
        <v>0</v>
      </c>
      <c r="AE73">
        <v>0</v>
      </c>
      <c r="AF73">
        <v>6.9</v>
      </c>
      <c r="AG73">
        <v>0</v>
      </c>
      <c r="AH73">
        <v>0</v>
      </c>
      <c r="AI73">
        <v>1</v>
      </c>
      <c r="AJ73">
        <v>11.52</v>
      </c>
      <c r="AK73">
        <v>29.33</v>
      </c>
      <c r="AL73">
        <v>1</v>
      </c>
      <c r="AM73">
        <v>4</v>
      </c>
      <c r="AN73">
        <v>0</v>
      </c>
      <c r="AO73">
        <v>1</v>
      </c>
      <c r="AP73">
        <v>0</v>
      </c>
      <c r="AQ73">
        <v>0</v>
      </c>
      <c r="AR73">
        <v>0</v>
      </c>
      <c r="AS73" t="s">
        <v>3</v>
      </c>
      <c r="AT73">
        <v>1.37</v>
      </c>
      <c r="AU73" t="s">
        <v>3</v>
      </c>
      <c r="AV73">
        <v>0</v>
      </c>
      <c r="AW73">
        <v>2</v>
      </c>
      <c r="AX73">
        <v>145263193</v>
      </c>
      <c r="AY73">
        <v>1</v>
      </c>
      <c r="AZ73">
        <v>0</v>
      </c>
      <c r="BA73">
        <v>83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ROUND(Y73*Source!I85,9)</f>
        <v>0.12535499999999999</v>
      </c>
      <c r="CY73">
        <f t="shared" si="58"/>
        <v>79.489999999999995</v>
      </c>
      <c r="CZ73">
        <f t="shared" si="59"/>
        <v>6.9</v>
      </c>
      <c r="DA73">
        <f t="shared" si="60"/>
        <v>11.52</v>
      </c>
      <c r="DB73">
        <f t="shared" si="52"/>
        <v>9.4499999999999993</v>
      </c>
      <c r="DC73">
        <f t="shared" si="53"/>
        <v>0</v>
      </c>
      <c r="DD73" t="s">
        <v>3</v>
      </c>
      <c r="DE73" t="s">
        <v>3</v>
      </c>
      <c r="DF73">
        <f t="shared" si="55"/>
        <v>0</v>
      </c>
      <c r="DG73">
        <f t="shared" si="61"/>
        <v>9.9600000000000009</v>
      </c>
      <c r="DH73">
        <f t="shared" si="56"/>
        <v>0</v>
      </c>
      <c r="DI73">
        <f t="shared" si="57"/>
        <v>0</v>
      </c>
      <c r="DJ73">
        <f t="shared" si="62"/>
        <v>9.9600000000000009</v>
      </c>
      <c r="DK73">
        <v>0</v>
      </c>
      <c r="DL73" t="s">
        <v>3</v>
      </c>
      <c r="DM73">
        <v>0</v>
      </c>
      <c r="DN73" t="s">
        <v>3</v>
      </c>
      <c r="DO73">
        <v>0</v>
      </c>
    </row>
    <row r="74" spans="1:119" x14ac:dyDescent="0.2">
      <c r="A74">
        <f>ROW(Source!A85)</f>
        <v>85</v>
      </c>
      <c r="B74">
        <v>145262827</v>
      </c>
      <c r="C74">
        <v>145263175</v>
      </c>
      <c r="D74">
        <v>140923886</v>
      </c>
      <c r="E74">
        <v>1</v>
      </c>
      <c r="F74">
        <v>1</v>
      </c>
      <c r="G74">
        <v>1</v>
      </c>
      <c r="H74">
        <v>2</v>
      </c>
      <c r="I74" t="s">
        <v>497</v>
      </c>
      <c r="J74" t="s">
        <v>498</v>
      </c>
      <c r="K74" t="s">
        <v>499</v>
      </c>
      <c r="L74">
        <v>1367</v>
      </c>
      <c r="N74">
        <v>1011</v>
      </c>
      <c r="O74" t="s">
        <v>378</v>
      </c>
      <c r="P74" t="s">
        <v>378</v>
      </c>
      <c r="Q74">
        <v>1</v>
      </c>
      <c r="W74">
        <v>0</v>
      </c>
      <c r="X74">
        <v>2006019958</v>
      </c>
      <c r="Y74">
        <f t="shared" si="51"/>
        <v>0.5</v>
      </c>
      <c r="AA74">
        <v>0</v>
      </c>
      <c r="AB74">
        <v>988.88</v>
      </c>
      <c r="AC74">
        <v>340.23</v>
      </c>
      <c r="AD74">
        <v>0</v>
      </c>
      <c r="AE74">
        <v>0</v>
      </c>
      <c r="AF74">
        <v>85.84</v>
      </c>
      <c r="AG74">
        <v>11.6</v>
      </c>
      <c r="AH74">
        <v>0</v>
      </c>
      <c r="AI74">
        <v>1</v>
      </c>
      <c r="AJ74">
        <v>11.52</v>
      </c>
      <c r="AK74">
        <v>29.33</v>
      </c>
      <c r="AL74">
        <v>1</v>
      </c>
      <c r="AM74">
        <v>4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0.5</v>
      </c>
      <c r="AU74" t="s">
        <v>3</v>
      </c>
      <c r="AV74">
        <v>0</v>
      </c>
      <c r="AW74">
        <v>2</v>
      </c>
      <c r="AX74">
        <v>145263194</v>
      </c>
      <c r="AY74">
        <v>1</v>
      </c>
      <c r="AZ74">
        <v>0</v>
      </c>
      <c r="BA74">
        <v>84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ROUND(Y74*Source!I85,9)</f>
        <v>4.5749999999999999E-2</v>
      </c>
      <c r="CY74">
        <f t="shared" si="58"/>
        <v>988.88</v>
      </c>
      <c r="CZ74">
        <f t="shared" si="59"/>
        <v>85.84</v>
      </c>
      <c r="DA74">
        <f t="shared" si="60"/>
        <v>11.52</v>
      </c>
      <c r="DB74">
        <f t="shared" si="52"/>
        <v>42.92</v>
      </c>
      <c r="DC74">
        <f t="shared" si="53"/>
        <v>5.8</v>
      </c>
      <c r="DD74" t="s">
        <v>3</v>
      </c>
      <c r="DE74" t="s">
        <v>3</v>
      </c>
      <c r="DF74">
        <f t="shared" si="55"/>
        <v>0</v>
      </c>
      <c r="DG74">
        <f t="shared" si="61"/>
        <v>45.24</v>
      </c>
      <c r="DH74">
        <f t="shared" si="56"/>
        <v>15.57</v>
      </c>
      <c r="DI74">
        <f t="shared" si="57"/>
        <v>0</v>
      </c>
      <c r="DJ74">
        <f t="shared" si="62"/>
        <v>45.24</v>
      </c>
      <c r="DK74">
        <v>0</v>
      </c>
      <c r="DL74" t="s">
        <v>3</v>
      </c>
      <c r="DM74">
        <v>0</v>
      </c>
      <c r="DN74" t="s">
        <v>3</v>
      </c>
      <c r="DO74">
        <v>0</v>
      </c>
    </row>
    <row r="75" spans="1:119" x14ac:dyDescent="0.2">
      <c r="A75">
        <f>ROW(Source!A85)</f>
        <v>85</v>
      </c>
      <c r="B75">
        <v>145262827</v>
      </c>
      <c r="C75">
        <v>145263175</v>
      </c>
      <c r="D75">
        <v>140924028</v>
      </c>
      <c r="E75">
        <v>1</v>
      </c>
      <c r="F75">
        <v>1</v>
      </c>
      <c r="G75">
        <v>1</v>
      </c>
      <c r="H75">
        <v>2</v>
      </c>
      <c r="I75" t="s">
        <v>500</v>
      </c>
      <c r="J75" t="s">
        <v>501</v>
      </c>
      <c r="K75" t="s">
        <v>502</v>
      </c>
      <c r="L75">
        <v>1367</v>
      </c>
      <c r="N75">
        <v>1011</v>
      </c>
      <c r="O75" t="s">
        <v>378</v>
      </c>
      <c r="P75" t="s">
        <v>378</v>
      </c>
      <c r="Q75">
        <v>1</v>
      </c>
      <c r="W75">
        <v>0</v>
      </c>
      <c r="X75">
        <v>-536365956</v>
      </c>
      <c r="Y75">
        <f t="shared" si="51"/>
        <v>66.3</v>
      </c>
      <c r="AA75">
        <v>0</v>
      </c>
      <c r="AB75">
        <v>454.92</v>
      </c>
      <c r="AC75">
        <v>0</v>
      </c>
      <c r="AD75">
        <v>0</v>
      </c>
      <c r="AE75">
        <v>0</v>
      </c>
      <c r="AF75">
        <v>39.49</v>
      </c>
      <c r="AG75">
        <v>0</v>
      </c>
      <c r="AH75">
        <v>0</v>
      </c>
      <c r="AI75">
        <v>1</v>
      </c>
      <c r="AJ75">
        <v>11.52</v>
      </c>
      <c r="AK75">
        <v>29.33</v>
      </c>
      <c r="AL75">
        <v>1</v>
      </c>
      <c r="AM75">
        <v>4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66.3</v>
      </c>
      <c r="AU75" t="s">
        <v>3</v>
      </c>
      <c r="AV75">
        <v>0</v>
      </c>
      <c r="AW75">
        <v>2</v>
      </c>
      <c r="AX75">
        <v>145263195</v>
      </c>
      <c r="AY75">
        <v>1</v>
      </c>
      <c r="AZ75">
        <v>0</v>
      </c>
      <c r="BA75">
        <v>85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ROUND(Y75*Source!I85,9)</f>
        <v>6.0664499999999997</v>
      </c>
      <c r="CY75">
        <f t="shared" si="58"/>
        <v>454.92</v>
      </c>
      <c r="CZ75">
        <f t="shared" si="59"/>
        <v>39.49</v>
      </c>
      <c r="DA75">
        <f t="shared" si="60"/>
        <v>11.52</v>
      </c>
      <c r="DB75">
        <f t="shared" si="52"/>
        <v>2618.19</v>
      </c>
      <c r="DC75">
        <f t="shared" si="53"/>
        <v>0</v>
      </c>
      <c r="DD75" t="s">
        <v>3</v>
      </c>
      <c r="DE75" t="s">
        <v>3</v>
      </c>
      <c r="DF75">
        <f t="shared" si="55"/>
        <v>0</v>
      </c>
      <c r="DG75">
        <f t="shared" si="61"/>
        <v>2759.75</v>
      </c>
      <c r="DH75">
        <f t="shared" si="56"/>
        <v>0</v>
      </c>
      <c r="DI75">
        <f t="shared" si="57"/>
        <v>0</v>
      </c>
      <c r="DJ75">
        <f t="shared" si="62"/>
        <v>2759.75</v>
      </c>
      <c r="DK75">
        <v>0</v>
      </c>
      <c r="DL75" t="s">
        <v>3</v>
      </c>
      <c r="DM75">
        <v>0</v>
      </c>
      <c r="DN75" t="s">
        <v>3</v>
      </c>
      <c r="DO75">
        <v>0</v>
      </c>
    </row>
    <row r="76" spans="1:119" x14ac:dyDescent="0.2">
      <c r="A76">
        <f>ROW(Source!A85)</f>
        <v>85</v>
      </c>
      <c r="B76">
        <v>145262827</v>
      </c>
      <c r="C76">
        <v>145263175</v>
      </c>
      <c r="D76">
        <v>140924041</v>
      </c>
      <c r="E76">
        <v>1</v>
      </c>
      <c r="F76">
        <v>1</v>
      </c>
      <c r="G76">
        <v>1</v>
      </c>
      <c r="H76">
        <v>2</v>
      </c>
      <c r="I76" t="s">
        <v>445</v>
      </c>
      <c r="J76" t="s">
        <v>446</v>
      </c>
      <c r="K76" t="s">
        <v>447</v>
      </c>
      <c r="L76">
        <v>1367</v>
      </c>
      <c r="N76">
        <v>1011</v>
      </c>
      <c r="O76" t="s">
        <v>378</v>
      </c>
      <c r="P76" t="s">
        <v>378</v>
      </c>
      <c r="Q76">
        <v>1</v>
      </c>
      <c r="W76">
        <v>0</v>
      </c>
      <c r="X76">
        <v>2077867240</v>
      </c>
      <c r="Y76">
        <f t="shared" si="51"/>
        <v>1.8</v>
      </c>
      <c r="AA76">
        <v>0</v>
      </c>
      <c r="AB76">
        <v>13.82</v>
      </c>
      <c r="AC76">
        <v>0</v>
      </c>
      <c r="AD76">
        <v>0</v>
      </c>
      <c r="AE76">
        <v>0</v>
      </c>
      <c r="AF76">
        <v>1.2</v>
      </c>
      <c r="AG76">
        <v>0</v>
      </c>
      <c r="AH76">
        <v>0</v>
      </c>
      <c r="AI76">
        <v>1</v>
      </c>
      <c r="AJ76">
        <v>11.52</v>
      </c>
      <c r="AK76">
        <v>29.33</v>
      </c>
      <c r="AL76">
        <v>1</v>
      </c>
      <c r="AM76">
        <v>4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1.8</v>
      </c>
      <c r="AU76" t="s">
        <v>3</v>
      </c>
      <c r="AV76">
        <v>0</v>
      </c>
      <c r="AW76">
        <v>2</v>
      </c>
      <c r="AX76">
        <v>145263196</v>
      </c>
      <c r="AY76">
        <v>1</v>
      </c>
      <c r="AZ76">
        <v>0</v>
      </c>
      <c r="BA76">
        <v>86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ROUND(Y76*Source!I85,9)</f>
        <v>0.16470000000000001</v>
      </c>
      <c r="CY76">
        <f t="shared" si="58"/>
        <v>13.82</v>
      </c>
      <c r="CZ76">
        <f t="shared" si="59"/>
        <v>1.2</v>
      </c>
      <c r="DA76">
        <f t="shared" si="60"/>
        <v>11.52</v>
      </c>
      <c r="DB76">
        <f t="shared" si="52"/>
        <v>2.16</v>
      </c>
      <c r="DC76">
        <f t="shared" si="53"/>
        <v>0</v>
      </c>
      <c r="DD76" t="s">
        <v>3</v>
      </c>
      <c r="DE76" t="s">
        <v>3</v>
      </c>
      <c r="DF76">
        <f t="shared" si="55"/>
        <v>0</v>
      </c>
      <c r="DG76">
        <f t="shared" si="61"/>
        <v>2.2799999999999998</v>
      </c>
      <c r="DH76">
        <f t="shared" si="56"/>
        <v>0</v>
      </c>
      <c r="DI76">
        <f t="shared" si="57"/>
        <v>0</v>
      </c>
      <c r="DJ76">
        <f t="shared" si="62"/>
        <v>2.2799999999999998</v>
      </c>
      <c r="DK76">
        <v>0</v>
      </c>
      <c r="DL76" t="s">
        <v>3</v>
      </c>
      <c r="DM76">
        <v>0</v>
      </c>
      <c r="DN76" t="s">
        <v>3</v>
      </c>
      <c r="DO76">
        <v>0</v>
      </c>
    </row>
    <row r="77" spans="1:119" x14ac:dyDescent="0.2">
      <c r="A77">
        <f>ROW(Source!A85)</f>
        <v>85</v>
      </c>
      <c r="B77">
        <v>145262827</v>
      </c>
      <c r="C77">
        <v>145263175</v>
      </c>
      <c r="D77">
        <v>140924589</v>
      </c>
      <c r="E77">
        <v>1</v>
      </c>
      <c r="F77">
        <v>1</v>
      </c>
      <c r="G77">
        <v>1</v>
      </c>
      <c r="H77">
        <v>2</v>
      </c>
      <c r="I77" t="s">
        <v>503</v>
      </c>
      <c r="J77" t="s">
        <v>504</v>
      </c>
      <c r="K77" t="s">
        <v>505</v>
      </c>
      <c r="L77">
        <v>1367</v>
      </c>
      <c r="N77">
        <v>1011</v>
      </c>
      <c r="O77" t="s">
        <v>378</v>
      </c>
      <c r="P77" t="s">
        <v>378</v>
      </c>
      <c r="Q77">
        <v>1</v>
      </c>
      <c r="W77">
        <v>0</v>
      </c>
      <c r="X77">
        <v>1110685659</v>
      </c>
      <c r="Y77">
        <f t="shared" si="51"/>
        <v>2.1</v>
      </c>
      <c r="AA77">
        <v>0</v>
      </c>
      <c r="AB77">
        <v>806.4</v>
      </c>
      <c r="AC77">
        <v>0</v>
      </c>
      <c r="AD77">
        <v>0</v>
      </c>
      <c r="AE77">
        <v>0</v>
      </c>
      <c r="AF77">
        <v>70</v>
      </c>
      <c r="AG77">
        <v>0</v>
      </c>
      <c r="AH77">
        <v>0</v>
      </c>
      <c r="AI77">
        <v>1</v>
      </c>
      <c r="AJ77">
        <v>11.52</v>
      </c>
      <c r="AK77">
        <v>29.33</v>
      </c>
      <c r="AL77">
        <v>1</v>
      </c>
      <c r="AM77">
        <v>4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2.1</v>
      </c>
      <c r="AU77" t="s">
        <v>3</v>
      </c>
      <c r="AV77">
        <v>0</v>
      </c>
      <c r="AW77">
        <v>2</v>
      </c>
      <c r="AX77">
        <v>145263197</v>
      </c>
      <c r="AY77">
        <v>1</v>
      </c>
      <c r="AZ77">
        <v>0</v>
      </c>
      <c r="BA77">
        <v>87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ROUND(Y77*Source!I85,9)</f>
        <v>0.19214999999999999</v>
      </c>
      <c r="CY77">
        <f t="shared" si="58"/>
        <v>806.4</v>
      </c>
      <c r="CZ77">
        <f t="shared" si="59"/>
        <v>70</v>
      </c>
      <c r="DA77">
        <f t="shared" si="60"/>
        <v>11.52</v>
      </c>
      <c r="DB77">
        <f t="shared" si="52"/>
        <v>147</v>
      </c>
      <c r="DC77">
        <f t="shared" si="53"/>
        <v>0</v>
      </c>
      <c r="DD77" t="s">
        <v>3</v>
      </c>
      <c r="DE77" t="s">
        <v>3</v>
      </c>
      <c r="DF77">
        <f t="shared" si="55"/>
        <v>0</v>
      </c>
      <c r="DG77">
        <f t="shared" si="61"/>
        <v>154.94999999999999</v>
      </c>
      <c r="DH77">
        <f t="shared" si="56"/>
        <v>0</v>
      </c>
      <c r="DI77">
        <f t="shared" si="57"/>
        <v>0</v>
      </c>
      <c r="DJ77">
        <f t="shared" si="62"/>
        <v>154.94999999999999</v>
      </c>
      <c r="DK77">
        <v>0</v>
      </c>
      <c r="DL77" t="s">
        <v>3</v>
      </c>
      <c r="DM77">
        <v>0</v>
      </c>
      <c r="DN77" t="s">
        <v>3</v>
      </c>
      <c r="DO77">
        <v>0</v>
      </c>
    </row>
    <row r="78" spans="1:119" x14ac:dyDescent="0.2">
      <c r="A78">
        <f>ROW(Source!A85)</f>
        <v>85</v>
      </c>
      <c r="B78">
        <v>145262827</v>
      </c>
      <c r="C78">
        <v>145263175</v>
      </c>
      <c r="D78">
        <v>140924614</v>
      </c>
      <c r="E78">
        <v>1</v>
      </c>
      <c r="F78">
        <v>1</v>
      </c>
      <c r="G78">
        <v>1</v>
      </c>
      <c r="H78">
        <v>2</v>
      </c>
      <c r="I78" t="s">
        <v>506</v>
      </c>
      <c r="J78" t="s">
        <v>507</v>
      </c>
      <c r="K78" t="s">
        <v>508</v>
      </c>
      <c r="L78">
        <v>1367</v>
      </c>
      <c r="N78">
        <v>1011</v>
      </c>
      <c r="O78" t="s">
        <v>378</v>
      </c>
      <c r="P78" t="s">
        <v>378</v>
      </c>
      <c r="Q78">
        <v>1</v>
      </c>
      <c r="W78">
        <v>0</v>
      </c>
      <c r="X78">
        <v>-1729000887</v>
      </c>
      <c r="Y78">
        <f t="shared" si="51"/>
        <v>3</v>
      </c>
      <c r="AA78">
        <v>0</v>
      </c>
      <c r="AB78">
        <v>647.88</v>
      </c>
      <c r="AC78">
        <v>295.06</v>
      </c>
      <c r="AD78">
        <v>0</v>
      </c>
      <c r="AE78">
        <v>0</v>
      </c>
      <c r="AF78">
        <v>56.24</v>
      </c>
      <c r="AG78">
        <v>10.06</v>
      </c>
      <c r="AH78">
        <v>0</v>
      </c>
      <c r="AI78">
        <v>1</v>
      </c>
      <c r="AJ78">
        <v>11.52</v>
      </c>
      <c r="AK78">
        <v>29.33</v>
      </c>
      <c r="AL78">
        <v>1</v>
      </c>
      <c r="AM78">
        <v>4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3</v>
      </c>
      <c r="AU78" t="s">
        <v>3</v>
      </c>
      <c r="AV78">
        <v>0</v>
      </c>
      <c r="AW78">
        <v>2</v>
      </c>
      <c r="AX78">
        <v>145263198</v>
      </c>
      <c r="AY78">
        <v>1</v>
      </c>
      <c r="AZ78">
        <v>0</v>
      </c>
      <c r="BA78">
        <v>88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ROUND(Y78*Source!I85,9)</f>
        <v>0.27450000000000002</v>
      </c>
      <c r="CY78">
        <f t="shared" si="58"/>
        <v>647.88</v>
      </c>
      <c r="CZ78">
        <f t="shared" si="59"/>
        <v>56.24</v>
      </c>
      <c r="DA78">
        <f t="shared" si="60"/>
        <v>11.52</v>
      </c>
      <c r="DB78">
        <f t="shared" si="52"/>
        <v>168.72</v>
      </c>
      <c r="DC78">
        <f t="shared" si="53"/>
        <v>30.18</v>
      </c>
      <c r="DD78" t="s">
        <v>3</v>
      </c>
      <c r="DE78" t="s">
        <v>3</v>
      </c>
      <c r="DF78">
        <f t="shared" si="55"/>
        <v>0</v>
      </c>
      <c r="DG78">
        <f t="shared" si="61"/>
        <v>177.84</v>
      </c>
      <c r="DH78">
        <f t="shared" si="56"/>
        <v>80.989999999999995</v>
      </c>
      <c r="DI78">
        <f t="shared" si="57"/>
        <v>0</v>
      </c>
      <c r="DJ78">
        <f t="shared" si="62"/>
        <v>177.84</v>
      </c>
      <c r="DK78">
        <v>0</v>
      </c>
      <c r="DL78" t="s">
        <v>3</v>
      </c>
      <c r="DM78">
        <v>0</v>
      </c>
      <c r="DN78" t="s">
        <v>3</v>
      </c>
      <c r="DO78">
        <v>0</v>
      </c>
    </row>
    <row r="79" spans="1:119" x14ac:dyDescent="0.2">
      <c r="A79">
        <f>ROW(Source!A85)</f>
        <v>85</v>
      </c>
      <c r="B79">
        <v>145262827</v>
      </c>
      <c r="C79">
        <v>145263175</v>
      </c>
      <c r="D79">
        <v>140924705</v>
      </c>
      <c r="E79">
        <v>1</v>
      </c>
      <c r="F79">
        <v>1</v>
      </c>
      <c r="G79">
        <v>1</v>
      </c>
      <c r="H79">
        <v>2</v>
      </c>
      <c r="I79" t="s">
        <v>509</v>
      </c>
      <c r="J79" t="s">
        <v>510</v>
      </c>
      <c r="K79" t="s">
        <v>511</v>
      </c>
      <c r="L79">
        <v>1367</v>
      </c>
      <c r="N79">
        <v>1011</v>
      </c>
      <c r="O79" t="s">
        <v>378</v>
      </c>
      <c r="P79" t="s">
        <v>378</v>
      </c>
      <c r="Q79">
        <v>1</v>
      </c>
      <c r="W79">
        <v>0</v>
      </c>
      <c r="X79">
        <v>-1865185141</v>
      </c>
      <c r="Y79">
        <f t="shared" si="51"/>
        <v>1.4</v>
      </c>
      <c r="AA79">
        <v>0</v>
      </c>
      <c r="AB79">
        <v>165.66</v>
      </c>
      <c r="AC79">
        <v>0</v>
      </c>
      <c r="AD79">
        <v>0</v>
      </c>
      <c r="AE79">
        <v>0</v>
      </c>
      <c r="AF79">
        <v>14.38</v>
      </c>
      <c r="AG79">
        <v>0</v>
      </c>
      <c r="AH79">
        <v>0</v>
      </c>
      <c r="AI79">
        <v>1</v>
      </c>
      <c r="AJ79">
        <v>11.52</v>
      </c>
      <c r="AK79">
        <v>29.33</v>
      </c>
      <c r="AL79">
        <v>1</v>
      </c>
      <c r="AM79">
        <v>4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1.4</v>
      </c>
      <c r="AU79" t="s">
        <v>3</v>
      </c>
      <c r="AV79">
        <v>0</v>
      </c>
      <c r="AW79">
        <v>2</v>
      </c>
      <c r="AX79">
        <v>145263199</v>
      </c>
      <c r="AY79">
        <v>1</v>
      </c>
      <c r="AZ79">
        <v>0</v>
      </c>
      <c r="BA79">
        <v>89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ROUND(Y79*Source!I85,9)</f>
        <v>0.12809999999999999</v>
      </c>
      <c r="CY79">
        <f t="shared" si="58"/>
        <v>165.66</v>
      </c>
      <c r="CZ79">
        <f t="shared" si="59"/>
        <v>14.38</v>
      </c>
      <c r="DA79">
        <f t="shared" si="60"/>
        <v>11.52</v>
      </c>
      <c r="DB79">
        <f t="shared" si="52"/>
        <v>20.13</v>
      </c>
      <c r="DC79">
        <f t="shared" si="53"/>
        <v>0</v>
      </c>
      <c r="DD79" t="s">
        <v>3</v>
      </c>
      <c r="DE79" t="s">
        <v>3</v>
      </c>
      <c r="DF79">
        <f t="shared" si="55"/>
        <v>0</v>
      </c>
      <c r="DG79">
        <f t="shared" si="61"/>
        <v>21.22</v>
      </c>
      <c r="DH79">
        <f t="shared" si="56"/>
        <v>0</v>
      </c>
      <c r="DI79">
        <f t="shared" si="57"/>
        <v>0</v>
      </c>
      <c r="DJ79">
        <f t="shared" si="62"/>
        <v>21.22</v>
      </c>
      <c r="DK79">
        <v>0</v>
      </c>
      <c r="DL79" t="s">
        <v>3</v>
      </c>
      <c r="DM79">
        <v>0</v>
      </c>
      <c r="DN79" t="s">
        <v>3</v>
      </c>
      <c r="DO79">
        <v>0</v>
      </c>
    </row>
    <row r="80" spans="1:119" x14ac:dyDescent="0.2">
      <c r="A80">
        <f>ROW(Source!A85)</f>
        <v>85</v>
      </c>
      <c r="B80">
        <v>145262827</v>
      </c>
      <c r="C80">
        <v>145263175</v>
      </c>
      <c r="D80">
        <v>140771005</v>
      </c>
      <c r="E80">
        <v>1</v>
      </c>
      <c r="F80">
        <v>1</v>
      </c>
      <c r="G80">
        <v>1</v>
      </c>
      <c r="H80">
        <v>3</v>
      </c>
      <c r="I80" t="s">
        <v>451</v>
      </c>
      <c r="J80" t="s">
        <v>452</v>
      </c>
      <c r="K80" t="s">
        <v>453</v>
      </c>
      <c r="L80">
        <v>1339</v>
      </c>
      <c r="N80">
        <v>1007</v>
      </c>
      <c r="O80" t="s">
        <v>404</v>
      </c>
      <c r="P80" t="s">
        <v>404</v>
      </c>
      <c r="Q80">
        <v>1</v>
      </c>
      <c r="W80">
        <v>0</v>
      </c>
      <c r="X80">
        <v>-1761807714</v>
      </c>
      <c r="Y80">
        <f t="shared" si="51"/>
        <v>1.1000000000000001</v>
      </c>
      <c r="AA80">
        <v>52.75</v>
      </c>
      <c r="AB80">
        <v>0</v>
      </c>
      <c r="AC80">
        <v>0</v>
      </c>
      <c r="AD80">
        <v>0</v>
      </c>
      <c r="AE80">
        <v>6.22</v>
      </c>
      <c r="AF80">
        <v>0</v>
      </c>
      <c r="AG80">
        <v>0</v>
      </c>
      <c r="AH80">
        <v>0</v>
      </c>
      <c r="AI80">
        <v>8.48</v>
      </c>
      <c r="AJ80">
        <v>1</v>
      </c>
      <c r="AK80">
        <v>1</v>
      </c>
      <c r="AL80">
        <v>1</v>
      </c>
      <c r="AM80">
        <v>4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3</v>
      </c>
      <c r="AT80">
        <v>1.1000000000000001</v>
      </c>
      <c r="AU80" t="s">
        <v>3</v>
      </c>
      <c r="AV80">
        <v>0</v>
      </c>
      <c r="AW80">
        <v>2</v>
      </c>
      <c r="AX80">
        <v>145263200</v>
      </c>
      <c r="AY80">
        <v>1</v>
      </c>
      <c r="AZ80">
        <v>0</v>
      </c>
      <c r="BA80">
        <v>90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ROUND(Y80*Source!I85,9)</f>
        <v>0.10065</v>
      </c>
      <c r="CY80">
        <f>AA80</f>
        <v>52.75</v>
      </c>
      <c r="CZ80">
        <f>AE80</f>
        <v>6.22</v>
      </c>
      <c r="DA80">
        <f>AI80</f>
        <v>8.48</v>
      </c>
      <c r="DB80">
        <f t="shared" si="52"/>
        <v>6.84</v>
      </c>
      <c r="DC80">
        <f t="shared" si="53"/>
        <v>0</v>
      </c>
      <c r="DD80" t="s">
        <v>3</v>
      </c>
      <c r="DE80" t="s">
        <v>3</v>
      </c>
      <c r="DF80">
        <f>ROUND(ROUND(AE80*AI80,2)*CX80,2)</f>
        <v>5.31</v>
      </c>
      <c r="DG80">
        <f t="shared" ref="DG80:DG85" si="63">ROUND(ROUND(AF80,2)*CX80,2)</f>
        <v>0</v>
      </c>
      <c r="DH80">
        <f>ROUND(ROUND(AG80,2)*CX80,2)</f>
        <v>0</v>
      </c>
      <c r="DI80">
        <f t="shared" si="57"/>
        <v>0</v>
      </c>
      <c r="DJ80">
        <f>DF80</f>
        <v>5.31</v>
      </c>
      <c r="DK80">
        <v>0</v>
      </c>
      <c r="DL80" t="s">
        <v>3</v>
      </c>
      <c r="DM80">
        <v>0</v>
      </c>
      <c r="DN80" t="s">
        <v>3</v>
      </c>
      <c r="DO80">
        <v>0</v>
      </c>
    </row>
    <row r="81" spans="1:119" x14ac:dyDescent="0.2">
      <c r="A81">
        <f>ROW(Source!A85)</f>
        <v>85</v>
      </c>
      <c r="B81">
        <v>145262827</v>
      </c>
      <c r="C81">
        <v>145263175</v>
      </c>
      <c r="D81">
        <v>140771011</v>
      </c>
      <c r="E81">
        <v>1</v>
      </c>
      <c r="F81">
        <v>1</v>
      </c>
      <c r="G81">
        <v>1</v>
      </c>
      <c r="H81">
        <v>3</v>
      </c>
      <c r="I81" t="s">
        <v>454</v>
      </c>
      <c r="J81" t="s">
        <v>455</v>
      </c>
      <c r="K81" t="s">
        <v>456</v>
      </c>
      <c r="L81">
        <v>1346</v>
      </c>
      <c r="N81">
        <v>1009</v>
      </c>
      <c r="O81" t="s">
        <v>457</v>
      </c>
      <c r="P81" t="s">
        <v>457</v>
      </c>
      <c r="Q81">
        <v>1</v>
      </c>
      <c r="W81">
        <v>0</v>
      </c>
      <c r="X81">
        <v>-2118006079</v>
      </c>
      <c r="Y81">
        <f t="shared" si="51"/>
        <v>0.3</v>
      </c>
      <c r="AA81">
        <v>51.64</v>
      </c>
      <c r="AB81">
        <v>0</v>
      </c>
      <c r="AC81">
        <v>0</v>
      </c>
      <c r="AD81">
        <v>0</v>
      </c>
      <c r="AE81">
        <v>6.09</v>
      </c>
      <c r="AF81">
        <v>0</v>
      </c>
      <c r="AG81">
        <v>0</v>
      </c>
      <c r="AH81">
        <v>0</v>
      </c>
      <c r="AI81">
        <v>8.48</v>
      </c>
      <c r="AJ81">
        <v>1</v>
      </c>
      <c r="AK81">
        <v>1</v>
      </c>
      <c r="AL81">
        <v>1</v>
      </c>
      <c r="AM81">
        <v>4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0.3</v>
      </c>
      <c r="AU81" t="s">
        <v>3</v>
      </c>
      <c r="AV81">
        <v>0</v>
      </c>
      <c r="AW81">
        <v>2</v>
      </c>
      <c r="AX81">
        <v>145263201</v>
      </c>
      <c r="AY81">
        <v>1</v>
      </c>
      <c r="AZ81">
        <v>0</v>
      </c>
      <c r="BA81">
        <v>91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ROUND(Y81*Source!I85,9)</f>
        <v>2.7449999999999999E-2</v>
      </c>
      <c r="CY81">
        <f>AA81</f>
        <v>51.64</v>
      </c>
      <c r="CZ81">
        <f>AE81</f>
        <v>6.09</v>
      </c>
      <c r="DA81">
        <f>AI81</f>
        <v>8.48</v>
      </c>
      <c r="DB81">
        <f t="shared" si="52"/>
        <v>1.83</v>
      </c>
      <c r="DC81">
        <f t="shared" si="53"/>
        <v>0</v>
      </c>
      <c r="DD81" t="s">
        <v>3</v>
      </c>
      <c r="DE81" t="s">
        <v>3</v>
      </c>
      <c r="DF81">
        <f>ROUND(ROUND(AE81*AI81,2)*CX81,2)</f>
        <v>1.42</v>
      </c>
      <c r="DG81">
        <f t="shared" si="63"/>
        <v>0</v>
      </c>
      <c r="DH81">
        <f>ROUND(ROUND(AG81,2)*CX81,2)</f>
        <v>0</v>
      </c>
      <c r="DI81">
        <f t="shared" si="57"/>
        <v>0</v>
      </c>
      <c r="DJ81">
        <f>DF81</f>
        <v>1.42</v>
      </c>
      <c r="DK81">
        <v>0</v>
      </c>
      <c r="DL81" t="s">
        <v>3</v>
      </c>
      <c r="DM81">
        <v>0</v>
      </c>
      <c r="DN81" t="s">
        <v>3</v>
      </c>
      <c r="DO81">
        <v>0</v>
      </c>
    </row>
    <row r="82" spans="1:119" x14ac:dyDescent="0.2">
      <c r="A82">
        <f>ROW(Source!A85)</f>
        <v>85</v>
      </c>
      <c r="B82">
        <v>145262827</v>
      </c>
      <c r="C82">
        <v>145263175</v>
      </c>
      <c r="D82">
        <v>140773788</v>
      </c>
      <c r="E82">
        <v>1</v>
      </c>
      <c r="F82">
        <v>1</v>
      </c>
      <c r="G82">
        <v>1</v>
      </c>
      <c r="H82">
        <v>3</v>
      </c>
      <c r="I82" t="s">
        <v>512</v>
      </c>
      <c r="J82" t="s">
        <v>513</v>
      </c>
      <c r="K82" t="s">
        <v>514</v>
      </c>
      <c r="L82">
        <v>1348</v>
      </c>
      <c r="N82">
        <v>1009</v>
      </c>
      <c r="O82" t="s">
        <v>206</v>
      </c>
      <c r="P82" t="s">
        <v>206</v>
      </c>
      <c r="Q82">
        <v>1000</v>
      </c>
      <c r="W82">
        <v>0</v>
      </c>
      <c r="X82">
        <v>1238940307</v>
      </c>
      <c r="Y82">
        <f t="shared" si="51"/>
        <v>4.7600000000000003E-2</v>
      </c>
      <c r="AA82">
        <v>82807.199999999997</v>
      </c>
      <c r="AB82">
        <v>0</v>
      </c>
      <c r="AC82">
        <v>0</v>
      </c>
      <c r="AD82">
        <v>0</v>
      </c>
      <c r="AE82">
        <v>9765</v>
      </c>
      <c r="AF82">
        <v>0</v>
      </c>
      <c r="AG82">
        <v>0</v>
      </c>
      <c r="AH82">
        <v>0</v>
      </c>
      <c r="AI82">
        <v>8.48</v>
      </c>
      <c r="AJ82">
        <v>1</v>
      </c>
      <c r="AK82">
        <v>1</v>
      </c>
      <c r="AL82">
        <v>1</v>
      </c>
      <c r="AM82">
        <v>4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4.7600000000000003E-2</v>
      </c>
      <c r="AU82" t="s">
        <v>3</v>
      </c>
      <c r="AV82">
        <v>0</v>
      </c>
      <c r="AW82">
        <v>2</v>
      </c>
      <c r="AX82">
        <v>145263202</v>
      </c>
      <c r="AY82">
        <v>1</v>
      </c>
      <c r="AZ82">
        <v>0</v>
      </c>
      <c r="BA82">
        <v>92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ROUND(Y82*Source!I85,9)</f>
        <v>4.3553999999999997E-3</v>
      </c>
      <c r="CY82">
        <f>AA82</f>
        <v>82807.199999999997</v>
      </c>
      <c r="CZ82">
        <f>AE82</f>
        <v>9765</v>
      </c>
      <c r="DA82">
        <f>AI82</f>
        <v>8.48</v>
      </c>
      <c r="DB82">
        <f t="shared" si="52"/>
        <v>464.81</v>
      </c>
      <c r="DC82">
        <f t="shared" si="53"/>
        <v>0</v>
      </c>
      <c r="DD82" t="s">
        <v>3</v>
      </c>
      <c r="DE82" t="s">
        <v>3</v>
      </c>
      <c r="DF82">
        <f>ROUND(ROUND(AE82*AI82,2)*CX82,2)</f>
        <v>360.66</v>
      </c>
      <c r="DG82">
        <f t="shared" si="63"/>
        <v>0</v>
      </c>
      <c r="DH82">
        <f>ROUND(ROUND(AG82,2)*CX82,2)</f>
        <v>0</v>
      </c>
      <c r="DI82">
        <f t="shared" si="57"/>
        <v>0</v>
      </c>
      <c r="DJ82">
        <f>DF82</f>
        <v>360.66</v>
      </c>
      <c r="DK82">
        <v>0</v>
      </c>
      <c r="DL82" t="s">
        <v>3</v>
      </c>
      <c r="DM82">
        <v>0</v>
      </c>
      <c r="DN82" t="s">
        <v>3</v>
      </c>
      <c r="DO82">
        <v>0</v>
      </c>
    </row>
    <row r="83" spans="1:119" x14ac:dyDescent="0.2">
      <c r="A83">
        <f>ROW(Source!A85)</f>
        <v>85</v>
      </c>
      <c r="B83">
        <v>145262827</v>
      </c>
      <c r="C83">
        <v>145263175</v>
      </c>
      <c r="D83">
        <v>140765022</v>
      </c>
      <c r="E83">
        <v>70</v>
      </c>
      <c r="F83">
        <v>1</v>
      </c>
      <c r="G83">
        <v>1</v>
      </c>
      <c r="H83">
        <v>3</v>
      </c>
      <c r="I83" t="s">
        <v>515</v>
      </c>
      <c r="J83" t="s">
        <v>3</v>
      </c>
      <c r="K83" t="s">
        <v>516</v>
      </c>
      <c r="L83">
        <v>1374</v>
      </c>
      <c r="N83">
        <v>1013</v>
      </c>
      <c r="O83" t="s">
        <v>517</v>
      </c>
      <c r="P83" t="s">
        <v>517</v>
      </c>
      <c r="Q83">
        <v>1</v>
      </c>
      <c r="W83">
        <v>0</v>
      </c>
      <c r="X83">
        <v>-1731369543</v>
      </c>
      <c r="Y83">
        <f t="shared" si="51"/>
        <v>36.47</v>
      </c>
      <c r="AA83">
        <v>8.48</v>
      </c>
      <c r="AB83">
        <v>0</v>
      </c>
      <c r="AC83">
        <v>0</v>
      </c>
      <c r="AD83">
        <v>0</v>
      </c>
      <c r="AE83">
        <v>1</v>
      </c>
      <c r="AF83">
        <v>0</v>
      </c>
      <c r="AG83">
        <v>0</v>
      </c>
      <c r="AH83">
        <v>0</v>
      </c>
      <c r="AI83">
        <v>8.48</v>
      </c>
      <c r="AJ83">
        <v>1</v>
      </c>
      <c r="AK83">
        <v>1</v>
      </c>
      <c r="AL83">
        <v>1</v>
      </c>
      <c r="AM83">
        <v>4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</v>
      </c>
      <c r="AT83">
        <v>36.47</v>
      </c>
      <c r="AU83" t="s">
        <v>3</v>
      </c>
      <c r="AV83">
        <v>0</v>
      </c>
      <c r="AW83">
        <v>2</v>
      </c>
      <c r="AX83">
        <v>145263203</v>
      </c>
      <c r="AY83">
        <v>1</v>
      </c>
      <c r="AZ83">
        <v>0</v>
      </c>
      <c r="BA83">
        <v>93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ROUND(Y83*Source!I85,9)</f>
        <v>3.337005</v>
      </c>
      <c r="CY83">
        <f>AA83</f>
        <v>8.48</v>
      </c>
      <c r="CZ83">
        <f>AE83</f>
        <v>1</v>
      </c>
      <c r="DA83">
        <f>AI83</f>
        <v>8.48</v>
      </c>
      <c r="DB83">
        <f t="shared" si="52"/>
        <v>36.47</v>
      </c>
      <c r="DC83">
        <f t="shared" si="53"/>
        <v>0</v>
      </c>
      <c r="DD83" t="s">
        <v>3</v>
      </c>
      <c r="DE83" t="s">
        <v>3</v>
      </c>
      <c r="DF83">
        <f>ROUND(ROUND(AE83*AI83,2)*CX83,2)</f>
        <v>28.3</v>
      </c>
      <c r="DG83">
        <f t="shared" si="63"/>
        <v>0</v>
      </c>
      <c r="DH83">
        <f>ROUND(ROUND(AG83,2)*CX83,2)</f>
        <v>0</v>
      </c>
      <c r="DI83">
        <f t="shared" si="57"/>
        <v>0</v>
      </c>
      <c r="DJ83">
        <f>DF83</f>
        <v>28.3</v>
      </c>
      <c r="DK83">
        <v>0</v>
      </c>
      <c r="DL83" t="s">
        <v>3</v>
      </c>
      <c r="DM83">
        <v>0</v>
      </c>
      <c r="DN83" t="s">
        <v>3</v>
      </c>
      <c r="DO83">
        <v>0</v>
      </c>
    </row>
    <row r="84" spans="1:119" x14ac:dyDescent="0.2">
      <c r="A84">
        <f>ROW(Source!A87)</f>
        <v>87</v>
      </c>
      <c r="B84">
        <v>145262827</v>
      </c>
      <c r="C84">
        <v>145263205</v>
      </c>
      <c r="D84">
        <v>140760001</v>
      </c>
      <c r="E84">
        <v>70</v>
      </c>
      <c r="F84">
        <v>1</v>
      </c>
      <c r="G84">
        <v>1</v>
      </c>
      <c r="H84">
        <v>1</v>
      </c>
      <c r="I84" t="s">
        <v>379</v>
      </c>
      <c r="J84" t="s">
        <v>3</v>
      </c>
      <c r="K84" t="s">
        <v>380</v>
      </c>
      <c r="L84">
        <v>1191</v>
      </c>
      <c r="N84">
        <v>1013</v>
      </c>
      <c r="O84" t="s">
        <v>374</v>
      </c>
      <c r="P84" t="s">
        <v>374</v>
      </c>
      <c r="Q84">
        <v>1</v>
      </c>
      <c r="W84">
        <v>0</v>
      </c>
      <c r="X84">
        <v>1893946532</v>
      </c>
      <c r="Y84">
        <f>((AT84*(1+(0.005*(30-15))))*1.15)</f>
        <v>51.576349999999991</v>
      </c>
      <c r="AA84">
        <v>0</v>
      </c>
      <c r="AB84">
        <v>0</v>
      </c>
      <c r="AC84">
        <v>0</v>
      </c>
      <c r="AD84">
        <v>266.02</v>
      </c>
      <c r="AE84">
        <v>0</v>
      </c>
      <c r="AF84">
        <v>0</v>
      </c>
      <c r="AG84">
        <v>0</v>
      </c>
      <c r="AH84">
        <v>9.07</v>
      </c>
      <c r="AI84">
        <v>1</v>
      </c>
      <c r="AJ84">
        <v>1</v>
      </c>
      <c r="AK84">
        <v>1</v>
      </c>
      <c r="AL84">
        <v>29.33</v>
      </c>
      <c r="AM84">
        <v>4</v>
      </c>
      <c r="AN84">
        <v>0</v>
      </c>
      <c r="AO84">
        <v>1</v>
      </c>
      <c r="AP84">
        <v>1</v>
      </c>
      <c r="AQ84">
        <v>0</v>
      </c>
      <c r="AR84">
        <v>0</v>
      </c>
      <c r="AS84" t="s">
        <v>3</v>
      </c>
      <c r="AT84">
        <v>41.72</v>
      </c>
      <c r="AU84" t="s">
        <v>172</v>
      </c>
      <c r="AV84">
        <v>1</v>
      </c>
      <c r="AW84">
        <v>2</v>
      </c>
      <c r="AX84">
        <v>145263215</v>
      </c>
      <c r="AY84">
        <v>1</v>
      </c>
      <c r="AZ84">
        <v>0</v>
      </c>
      <c r="BA84">
        <v>94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ROUND(Y84*Source!I87,9)</f>
        <v>342.98272750000001</v>
      </c>
      <c r="CY84">
        <f>AD84</f>
        <v>266.02</v>
      </c>
      <c r="CZ84">
        <f>AH84</f>
        <v>9.07</v>
      </c>
      <c r="DA84">
        <f>AL84</f>
        <v>29.33</v>
      </c>
      <c r="DB84">
        <f>ROUND(((ROUND(AT84*CZ84,2)*(1+(0.005*(30-15))))*1.15),2)</f>
        <v>467.8</v>
      </c>
      <c r="DC84">
        <f>ROUND(((ROUND(AT84*AG84,2)*(1+(0.005*(30-15))))*1.15),2)</f>
        <v>0</v>
      </c>
      <c r="DD84" t="s">
        <v>3</v>
      </c>
      <c r="DE84" t="s">
        <v>3</v>
      </c>
      <c r="DF84">
        <f>ROUND(ROUND(AE84,2)*CX84,2)</f>
        <v>0</v>
      </c>
      <c r="DG84">
        <f t="shared" si="63"/>
        <v>0</v>
      </c>
      <c r="DH84">
        <f>ROUND(ROUND(AG84,2)*CX84,2)</f>
        <v>0</v>
      </c>
      <c r="DI84">
        <f>ROUND(ROUND(AH84*AL84,2)*CX84,2)</f>
        <v>91240.27</v>
      </c>
      <c r="DJ84">
        <f>DI84</f>
        <v>91240.27</v>
      </c>
      <c r="DK84">
        <v>0</v>
      </c>
      <c r="DL84" t="s">
        <v>3</v>
      </c>
      <c r="DM84">
        <v>0</v>
      </c>
      <c r="DN84" t="s">
        <v>3</v>
      </c>
      <c r="DO84">
        <v>0</v>
      </c>
    </row>
    <row r="85" spans="1:119" x14ac:dyDescent="0.2">
      <c r="A85">
        <f>ROW(Source!A87)</f>
        <v>87</v>
      </c>
      <c r="B85">
        <v>145262827</v>
      </c>
      <c r="C85">
        <v>145263205</v>
      </c>
      <c r="D85">
        <v>140760225</v>
      </c>
      <c r="E85">
        <v>70</v>
      </c>
      <c r="F85">
        <v>1</v>
      </c>
      <c r="G85">
        <v>1</v>
      </c>
      <c r="H85">
        <v>1</v>
      </c>
      <c r="I85" t="s">
        <v>381</v>
      </c>
      <c r="J85" t="s">
        <v>3</v>
      </c>
      <c r="K85" t="s">
        <v>382</v>
      </c>
      <c r="L85">
        <v>1191</v>
      </c>
      <c r="N85">
        <v>1013</v>
      </c>
      <c r="O85" t="s">
        <v>374</v>
      </c>
      <c r="P85" t="s">
        <v>374</v>
      </c>
      <c r="Q85">
        <v>1</v>
      </c>
      <c r="W85">
        <v>0</v>
      </c>
      <c r="X85">
        <v>-1417349443</v>
      </c>
      <c r="Y85">
        <f>(AT85*1.25)</f>
        <v>0.42500000000000004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1</v>
      </c>
      <c r="AJ85">
        <v>1</v>
      </c>
      <c r="AK85">
        <v>29.33</v>
      </c>
      <c r="AL85">
        <v>1</v>
      </c>
      <c r="AM85">
        <v>4</v>
      </c>
      <c r="AN85">
        <v>0</v>
      </c>
      <c r="AO85">
        <v>1</v>
      </c>
      <c r="AP85">
        <v>1</v>
      </c>
      <c r="AQ85">
        <v>0</v>
      </c>
      <c r="AR85">
        <v>0</v>
      </c>
      <c r="AS85" t="s">
        <v>3</v>
      </c>
      <c r="AT85">
        <v>0.34</v>
      </c>
      <c r="AU85" t="s">
        <v>148</v>
      </c>
      <c r="AV85">
        <v>2</v>
      </c>
      <c r="AW85">
        <v>2</v>
      </c>
      <c r="AX85">
        <v>145263216</v>
      </c>
      <c r="AY85">
        <v>1</v>
      </c>
      <c r="AZ85">
        <v>0</v>
      </c>
      <c r="BA85">
        <v>95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ROUND(Y85*Source!I87,9)</f>
        <v>2.8262499999999999</v>
      </c>
      <c r="CY85">
        <f>AD85</f>
        <v>0</v>
      </c>
      <c r="CZ85">
        <f>AH85</f>
        <v>0</v>
      </c>
      <c r="DA85">
        <f>AL85</f>
        <v>1</v>
      </c>
      <c r="DB85">
        <f>ROUND((ROUND(AT85*CZ85,2)*1.25),2)</f>
        <v>0</v>
      </c>
      <c r="DC85">
        <f>ROUND((ROUND(AT85*AG85,2)*1.25),2)</f>
        <v>0</v>
      </c>
      <c r="DD85" t="s">
        <v>3</v>
      </c>
      <c r="DE85" t="s">
        <v>3</v>
      </c>
      <c r="DF85">
        <f>ROUND(ROUND(AE85,2)*CX85,2)</f>
        <v>0</v>
      </c>
      <c r="DG85">
        <f t="shared" si="63"/>
        <v>0</v>
      </c>
      <c r="DH85">
        <f>ROUND(ROUND(AG85*AK85,2)*CX85,2)</f>
        <v>0</v>
      </c>
      <c r="DI85">
        <f t="shared" ref="DI85:DI92" si="64">ROUND(ROUND(AH85,2)*CX85,2)</f>
        <v>0</v>
      </c>
      <c r="DJ85">
        <f>DI85</f>
        <v>0</v>
      </c>
      <c r="DK85">
        <v>0</v>
      </c>
      <c r="DL85" t="s">
        <v>3</v>
      </c>
      <c r="DM85">
        <v>0</v>
      </c>
      <c r="DN85" t="s">
        <v>3</v>
      </c>
      <c r="DO85">
        <v>0</v>
      </c>
    </row>
    <row r="86" spans="1:119" x14ac:dyDescent="0.2">
      <c r="A86">
        <f>ROW(Source!A87)</f>
        <v>87</v>
      </c>
      <c r="B86">
        <v>145262827</v>
      </c>
      <c r="C86">
        <v>145263205</v>
      </c>
      <c r="D86">
        <v>140922951</v>
      </c>
      <c r="E86">
        <v>1</v>
      </c>
      <c r="F86">
        <v>1</v>
      </c>
      <c r="G86">
        <v>1</v>
      </c>
      <c r="H86">
        <v>2</v>
      </c>
      <c r="I86" t="s">
        <v>436</v>
      </c>
      <c r="J86" t="s">
        <v>437</v>
      </c>
      <c r="K86" t="s">
        <v>438</v>
      </c>
      <c r="L86">
        <v>1367</v>
      </c>
      <c r="N86">
        <v>1011</v>
      </c>
      <c r="O86" t="s">
        <v>378</v>
      </c>
      <c r="P86" t="s">
        <v>378</v>
      </c>
      <c r="Q86">
        <v>1</v>
      </c>
      <c r="W86">
        <v>0</v>
      </c>
      <c r="X86">
        <v>-430484415</v>
      </c>
      <c r="Y86">
        <f>(AT86*1.25)</f>
        <v>0.10375000000000001</v>
      </c>
      <c r="AA86">
        <v>0</v>
      </c>
      <c r="AB86">
        <v>1329.41</v>
      </c>
      <c r="AC86">
        <v>395.96</v>
      </c>
      <c r="AD86">
        <v>0</v>
      </c>
      <c r="AE86">
        <v>0</v>
      </c>
      <c r="AF86">
        <v>115.4</v>
      </c>
      <c r="AG86">
        <v>13.5</v>
      </c>
      <c r="AH86">
        <v>0</v>
      </c>
      <c r="AI86">
        <v>1</v>
      </c>
      <c r="AJ86">
        <v>11.52</v>
      </c>
      <c r="AK86">
        <v>29.33</v>
      </c>
      <c r="AL86">
        <v>1</v>
      </c>
      <c r="AM86">
        <v>4</v>
      </c>
      <c r="AN86">
        <v>0</v>
      </c>
      <c r="AO86">
        <v>1</v>
      </c>
      <c r="AP86">
        <v>1</v>
      </c>
      <c r="AQ86">
        <v>0</v>
      </c>
      <c r="AR86">
        <v>0</v>
      </c>
      <c r="AS86" t="s">
        <v>3</v>
      </c>
      <c r="AT86">
        <v>8.3000000000000004E-2</v>
      </c>
      <c r="AU86" t="s">
        <v>148</v>
      </c>
      <c r="AV86">
        <v>0</v>
      </c>
      <c r="AW86">
        <v>2</v>
      </c>
      <c r="AX86">
        <v>145263217</v>
      </c>
      <c r="AY86">
        <v>1</v>
      </c>
      <c r="AZ86">
        <v>0</v>
      </c>
      <c r="BA86">
        <v>96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ROUND(Y86*Source!I87,9)</f>
        <v>0.68993749999999998</v>
      </c>
      <c r="CY86">
        <f>AB86</f>
        <v>1329.41</v>
      </c>
      <c r="CZ86">
        <f>AF86</f>
        <v>115.4</v>
      </c>
      <c r="DA86">
        <f>AJ86</f>
        <v>11.52</v>
      </c>
      <c r="DB86">
        <f>ROUND((ROUND(AT86*CZ86,2)*1.25),2)</f>
        <v>11.98</v>
      </c>
      <c r="DC86">
        <f>ROUND((ROUND(AT86*AG86,2)*1.25),2)</f>
        <v>1.4</v>
      </c>
      <c r="DD86" t="s">
        <v>3</v>
      </c>
      <c r="DE86" t="s">
        <v>3</v>
      </c>
      <c r="DF86">
        <f>ROUND(ROUND(AE86,2)*CX86,2)</f>
        <v>0</v>
      </c>
      <c r="DG86">
        <f>ROUND(ROUND(AF86*AJ86,2)*CX86,2)</f>
        <v>917.21</v>
      </c>
      <c r="DH86">
        <f>ROUND(ROUND(AG86*AK86,2)*CX86,2)</f>
        <v>273.19</v>
      </c>
      <c r="DI86">
        <f t="shared" si="64"/>
        <v>0</v>
      </c>
      <c r="DJ86">
        <f>DG86</f>
        <v>917.21</v>
      </c>
      <c r="DK86">
        <v>0</v>
      </c>
      <c r="DL86" t="s">
        <v>3</v>
      </c>
      <c r="DM86">
        <v>0</v>
      </c>
      <c r="DN86" t="s">
        <v>3</v>
      </c>
      <c r="DO86">
        <v>0</v>
      </c>
    </row>
    <row r="87" spans="1:119" x14ac:dyDescent="0.2">
      <c r="A87">
        <f>ROW(Source!A87)</f>
        <v>87</v>
      </c>
      <c r="B87">
        <v>145262827</v>
      </c>
      <c r="C87">
        <v>145263205</v>
      </c>
      <c r="D87">
        <v>140923142</v>
      </c>
      <c r="E87">
        <v>1</v>
      </c>
      <c r="F87">
        <v>1</v>
      </c>
      <c r="G87">
        <v>1</v>
      </c>
      <c r="H87">
        <v>2</v>
      </c>
      <c r="I87" t="s">
        <v>486</v>
      </c>
      <c r="J87" t="s">
        <v>487</v>
      </c>
      <c r="K87" t="s">
        <v>488</v>
      </c>
      <c r="L87">
        <v>1367</v>
      </c>
      <c r="N87">
        <v>1011</v>
      </c>
      <c r="O87" t="s">
        <v>378</v>
      </c>
      <c r="P87" t="s">
        <v>378</v>
      </c>
      <c r="Q87">
        <v>1</v>
      </c>
      <c r="W87">
        <v>0</v>
      </c>
      <c r="X87">
        <v>-777582489</v>
      </c>
      <c r="Y87">
        <f>(AT87*1.25)</f>
        <v>0.10375000000000001</v>
      </c>
      <c r="AA87">
        <v>0</v>
      </c>
      <c r="AB87">
        <v>280.27999999999997</v>
      </c>
      <c r="AC87">
        <v>295.06</v>
      </c>
      <c r="AD87">
        <v>0</v>
      </c>
      <c r="AE87">
        <v>0</v>
      </c>
      <c r="AF87">
        <v>24.33</v>
      </c>
      <c r="AG87">
        <v>10.06</v>
      </c>
      <c r="AH87">
        <v>0</v>
      </c>
      <c r="AI87">
        <v>1</v>
      </c>
      <c r="AJ87">
        <v>11.52</v>
      </c>
      <c r="AK87">
        <v>29.33</v>
      </c>
      <c r="AL87">
        <v>1</v>
      </c>
      <c r="AM87">
        <v>4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3</v>
      </c>
      <c r="AT87">
        <v>8.3000000000000004E-2</v>
      </c>
      <c r="AU87" t="s">
        <v>148</v>
      </c>
      <c r="AV87">
        <v>0</v>
      </c>
      <c r="AW87">
        <v>2</v>
      </c>
      <c r="AX87">
        <v>145263218</v>
      </c>
      <c r="AY87">
        <v>1</v>
      </c>
      <c r="AZ87">
        <v>0</v>
      </c>
      <c r="BA87">
        <v>97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ROUND(Y87*Source!I87,9)</f>
        <v>0.68993749999999998</v>
      </c>
      <c r="CY87">
        <f>AB87</f>
        <v>280.27999999999997</v>
      </c>
      <c r="CZ87">
        <f>AF87</f>
        <v>24.33</v>
      </c>
      <c r="DA87">
        <f>AJ87</f>
        <v>11.52</v>
      </c>
      <c r="DB87">
        <f>ROUND((ROUND(AT87*CZ87,2)*1.25),2)</f>
        <v>2.5299999999999998</v>
      </c>
      <c r="DC87">
        <f>ROUND((ROUND(AT87*AG87,2)*1.25),2)</f>
        <v>1.04</v>
      </c>
      <c r="DD87" t="s">
        <v>3</v>
      </c>
      <c r="DE87" t="s">
        <v>3</v>
      </c>
      <c r="DF87">
        <f>ROUND(ROUND(AE87,2)*CX87,2)</f>
        <v>0</v>
      </c>
      <c r="DG87">
        <f>ROUND(ROUND(AF87*AJ87,2)*CX87,2)</f>
        <v>193.38</v>
      </c>
      <c r="DH87">
        <f>ROUND(ROUND(AG87*AK87,2)*CX87,2)</f>
        <v>203.57</v>
      </c>
      <c r="DI87">
        <f t="shared" si="64"/>
        <v>0</v>
      </c>
      <c r="DJ87">
        <f>DG87</f>
        <v>193.38</v>
      </c>
      <c r="DK87">
        <v>0</v>
      </c>
      <c r="DL87" t="s">
        <v>3</v>
      </c>
      <c r="DM87">
        <v>0</v>
      </c>
      <c r="DN87" t="s">
        <v>3</v>
      </c>
      <c r="DO87">
        <v>0</v>
      </c>
    </row>
    <row r="88" spans="1:119" x14ac:dyDescent="0.2">
      <c r="A88">
        <f>ROW(Source!A87)</f>
        <v>87</v>
      </c>
      <c r="B88">
        <v>145262827</v>
      </c>
      <c r="C88">
        <v>145263205</v>
      </c>
      <c r="D88">
        <v>140923885</v>
      </c>
      <c r="E88">
        <v>1</v>
      </c>
      <c r="F88">
        <v>1</v>
      </c>
      <c r="G88">
        <v>1</v>
      </c>
      <c r="H88">
        <v>2</v>
      </c>
      <c r="I88" t="s">
        <v>386</v>
      </c>
      <c r="J88" t="s">
        <v>387</v>
      </c>
      <c r="K88" t="s">
        <v>388</v>
      </c>
      <c r="L88">
        <v>1367</v>
      </c>
      <c r="N88">
        <v>1011</v>
      </c>
      <c r="O88" t="s">
        <v>378</v>
      </c>
      <c r="P88" t="s">
        <v>378</v>
      </c>
      <c r="Q88">
        <v>1</v>
      </c>
      <c r="W88">
        <v>0</v>
      </c>
      <c r="X88">
        <v>509054691</v>
      </c>
      <c r="Y88">
        <f>(AT88*1.25)</f>
        <v>0.21250000000000002</v>
      </c>
      <c r="AA88">
        <v>0</v>
      </c>
      <c r="AB88">
        <v>756.98</v>
      </c>
      <c r="AC88">
        <v>340.23</v>
      </c>
      <c r="AD88">
        <v>0</v>
      </c>
      <c r="AE88">
        <v>0</v>
      </c>
      <c r="AF88">
        <v>65.709999999999994</v>
      </c>
      <c r="AG88">
        <v>11.6</v>
      </c>
      <c r="AH88">
        <v>0</v>
      </c>
      <c r="AI88">
        <v>1</v>
      </c>
      <c r="AJ88">
        <v>11.52</v>
      </c>
      <c r="AK88">
        <v>29.33</v>
      </c>
      <c r="AL88">
        <v>1</v>
      </c>
      <c r="AM88">
        <v>4</v>
      </c>
      <c r="AN88">
        <v>0</v>
      </c>
      <c r="AO88">
        <v>1</v>
      </c>
      <c r="AP88">
        <v>1</v>
      </c>
      <c r="AQ88">
        <v>0</v>
      </c>
      <c r="AR88">
        <v>0</v>
      </c>
      <c r="AS88" t="s">
        <v>3</v>
      </c>
      <c r="AT88">
        <v>0.17</v>
      </c>
      <c r="AU88" t="s">
        <v>148</v>
      </c>
      <c r="AV88">
        <v>0</v>
      </c>
      <c r="AW88">
        <v>2</v>
      </c>
      <c r="AX88">
        <v>145263219</v>
      </c>
      <c r="AY88">
        <v>1</v>
      </c>
      <c r="AZ88">
        <v>0</v>
      </c>
      <c r="BA88">
        <v>98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ROUND(Y88*Source!I87,9)</f>
        <v>1.413125</v>
      </c>
      <c r="CY88">
        <f>AB88</f>
        <v>756.98</v>
      </c>
      <c r="CZ88">
        <f>AF88</f>
        <v>65.709999999999994</v>
      </c>
      <c r="DA88">
        <f>AJ88</f>
        <v>11.52</v>
      </c>
      <c r="DB88">
        <f>ROUND((ROUND(AT88*CZ88,2)*1.25),2)</f>
        <v>13.96</v>
      </c>
      <c r="DC88">
        <f>ROUND((ROUND(AT88*AG88,2)*1.25),2)</f>
        <v>2.46</v>
      </c>
      <c r="DD88" t="s">
        <v>3</v>
      </c>
      <c r="DE88" t="s">
        <v>3</v>
      </c>
      <c r="DF88">
        <f>ROUND(ROUND(AE88,2)*CX88,2)</f>
        <v>0</v>
      </c>
      <c r="DG88">
        <f>ROUND(ROUND(AF88*AJ88,2)*CX88,2)</f>
        <v>1069.71</v>
      </c>
      <c r="DH88">
        <f>ROUND(ROUND(AG88*AK88,2)*CX88,2)</f>
        <v>480.79</v>
      </c>
      <c r="DI88">
        <f t="shared" si="64"/>
        <v>0</v>
      </c>
      <c r="DJ88">
        <f>DG88</f>
        <v>1069.71</v>
      </c>
      <c r="DK88">
        <v>0</v>
      </c>
      <c r="DL88" t="s">
        <v>3</v>
      </c>
      <c r="DM88">
        <v>0</v>
      </c>
      <c r="DN88" t="s">
        <v>3</v>
      </c>
      <c r="DO88">
        <v>0</v>
      </c>
    </row>
    <row r="89" spans="1:119" x14ac:dyDescent="0.2">
      <c r="A89">
        <f>ROW(Source!A87)</f>
        <v>87</v>
      </c>
      <c r="B89">
        <v>145262827</v>
      </c>
      <c r="C89">
        <v>145263205</v>
      </c>
      <c r="D89">
        <v>140775481</v>
      </c>
      <c r="E89">
        <v>1</v>
      </c>
      <c r="F89">
        <v>1</v>
      </c>
      <c r="G89">
        <v>1</v>
      </c>
      <c r="H89">
        <v>3</v>
      </c>
      <c r="I89" t="s">
        <v>518</v>
      </c>
      <c r="J89" t="s">
        <v>519</v>
      </c>
      <c r="K89" t="s">
        <v>520</v>
      </c>
      <c r="L89">
        <v>1425</v>
      </c>
      <c r="N89">
        <v>1013</v>
      </c>
      <c r="O89" t="s">
        <v>35</v>
      </c>
      <c r="P89" t="s">
        <v>35</v>
      </c>
      <c r="Q89">
        <v>1</v>
      </c>
      <c r="W89">
        <v>0</v>
      </c>
      <c r="X89">
        <v>-368230657</v>
      </c>
      <c r="Y89">
        <f>AT89</f>
        <v>1.33</v>
      </c>
      <c r="AA89">
        <v>84.8</v>
      </c>
      <c r="AB89">
        <v>0</v>
      </c>
      <c r="AC89">
        <v>0</v>
      </c>
      <c r="AD89">
        <v>0</v>
      </c>
      <c r="AE89">
        <v>10</v>
      </c>
      <c r="AF89">
        <v>0</v>
      </c>
      <c r="AG89">
        <v>0</v>
      </c>
      <c r="AH89">
        <v>0</v>
      </c>
      <c r="AI89">
        <v>8.48</v>
      </c>
      <c r="AJ89">
        <v>1</v>
      </c>
      <c r="AK89">
        <v>1</v>
      </c>
      <c r="AL89">
        <v>1</v>
      </c>
      <c r="AM89">
        <v>4</v>
      </c>
      <c r="AN89">
        <v>0</v>
      </c>
      <c r="AO89">
        <v>1</v>
      </c>
      <c r="AP89">
        <v>0</v>
      </c>
      <c r="AQ89">
        <v>0</v>
      </c>
      <c r="AR89">
        <v>0</v>
      </c>
      <c r="AS89" t="s">
        <v>3</v>
      </c>
      <c r="AT89">
        <v>1.33</v>
      </c>
      <c r="AU89" t="s">
        <v>3</v>
      </c>
      <c r="AV89">
        <v>0</v>
      </c>
      <c r="AW89">
        <v>2</v>
      </c>
      <c r="AX89">
        <v>145263220</v>
      </c>
      <c r="AY89">
        <v>1</v>
      </c>
      <c r="AZ89">
        <v>0</v>
      </c>
      <c r="BA89">
        <v>99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ROUND(Y89*Source!I87,9)</f>
        <v>8.8445</v>
      </c>
      <c r="CY89">
        <f>AA89</f>
        <v>84.8</v>
      </c>
      <c r="CZ89">
        <f>AE89</f>
        <v>10</v>
      </c>
      <c r="DA89">
        <f>AI89</f>
        <v>8.48</v>
      </c>
      <c r="DB89">
        <f>ROUND(ROUND(AT89*CZ89,2),2)</f>
        <v>13.3</v>
      </c>
      <c r="DC89">
        <f>ROUND(ROUND(AT89*AG89,2),2)</f>
        <v>0</v>
      </c>
      <c r="DD89" t="s">
        <v>3</v>
      </c>
      <c r="DE89" t="s">
        <v>3</v>
      </c>
      <c r="DF89">
        <f>ROUND(ROUND(AE89*AI89,2)*CX89,2)</f>
        <v>750.01</v>
      </c>
      <c r="DG89">
        <f t="shared" ref="DG89:DG94" si="65">ROUND(ROUND(AF89,2)*CX89,2)</f>
        <v>0</v>
      </c>
      <c r="DH89">
        <f>ROUND(ROUND(AG89,2)*CX89,2)</f>
        <v>0</v>
      </c>
      <c r="DI89">
        <f t="shared" si="64"/>
        <v>0</v>
      </c>
      <c r="DJ89">
        <f>DF89</f>
        <v>750.01</v>
      </c>
      <c r="DK89">
        <v>0</v>
      </c>
      <c r="DL89" t="s">
        <v>3</v>
      </c>
      <c r="DM89">
        <v>0</v>
      </c>
      <c r="DN89" t="s">
        <v>3</v>
      </c>
      <c r="DO89">
        <v>0</v>
      </c>
    </row>
    <row r="90" spans="1:119" x14ac:dyDescent="0.2">
      <c r="A90">
        <f>ROW(Source!A87)</f>
        <v>87</v>
      </c>
      <c r="B90">
        <v>145262827</v>
      </c>
      <c r="C90">
        <v>145263205</v>
      </c>
      <c r="D90">
        <v>140775538</v>
      </c>
      <c r="E90">
        <v>1</v>
      </c>
      <c r="F90">
        <v>1</v>
      </c>
      <c r="G90">
        <v>1</v>
      </c>
      <c r="H90">
        <v>3</v>
      </c>
      <c r="I90" t="s">
        <v>521</v>
      </c>
      <c r="J90" t="s">
        <v>522</v>
      </c>
      <c r="K90" t="s">
        <v>523</v>
      </c>
      <c r="L90">
        <v>1348</v>
      </c>
      <c r="N90">
        <v>1009</v>
      </c>
      <c r="O90" t="s">
        <v>206</v>
      </c>
      <c r="P90" t="s">
        <v>206</v>
      </c>
      <c r="Q90">
        <v>1000</v>
      </c>
      <c r="W90">
        <v>0</v>
      </c>
      <c r="X90">
        <v>163273501</v>
      </c>
      <c r="Y90">
        <f>AT90</f>
        <v>5.0000000000000002E-5</v>
      </c>
      <c r="AA90">
        <v>185107.55</v>
      </c>
      <c r="AB90">
        <v>0</v>
      </c>
      <c r="AC90">
        <v>0</v>
      </c>
      <c r="AD90">
        <v>0</v>
      </c>
      <c r="AE90">
        <v>21828.720000000001</v>
      </c>
      <c r="AF90">
        <v>0</v>
      </c>
      <c r="AG90">
        <v>0</v>
      </c>
      <c r="AH90">
        <v>0</v>
      </c>
      <c r="AI90">
        <v>8.48</v>
      </c>
      <c r="AJ90">
        <v>1</v>
      </c>
      <c r="AK90">
        <v>1</v>
      </c>
      <c r="AL90">
        <v>1</v>
      </c>
      <c r="AM90">
        <v>4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</v>
      </c>
      <c r="AT90">
        <v>5.0000000000000002E-5</v>
      </c>
      <c r="AU90" t="s">
        <v>3</v>
      </c>
      <c r="AV90">
        <v>0</v>
      </c>
      <c r="AW90">
        <v>2</v>
      </c>
      <c r="AX90">
        <v>145263221</v>
      </c>
      <c r="AY90">
        <v>1</v>
      </c>
      <c r="AZ90">
        <v>0</v>
      </c>
      <c r="BA90">
        <v>100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ROUND(Y90*Source!I87,9)</f>
        <v>3.325E-4</v>
      </c>
      <c r="CY90">
        <f>AA90</f>
        <v>185107.55</v>
      </c>
      <c r="CZ90">
        <f>AE90</f>
        <v>21828.720000000001</v>
      </c>
      <c r="DA90">
        <f>AI90</f>
        <v>8.48</v>
      </c>
      <c r="DB90">
        <f>ROUND(ROUND(AT90*CZ90,2),2)</f>
        <v>1.0900000000000001</v>
      </c>
      <c r="DC90">
        <f>ROUND(ROUND(AT90*AG90,2),2)</f>
        <v>0</v>
      </c>
      <c r="DD90" t="s">
        <v>3</v>
      </c>
      <c r="DE90" t="s">
        <v>3</v>
      </c>
      <c r="DF90">
        <f>ROUND(ROUND(AE90*AI90,2)*CX90,2)</f>
        <v>61.55</v>
      </c>
      <c r="DG90">
        <f t="shared" si="65"/>
        <v>0</v>
      </c>
      <c r="DH90">
        <f>ROUND(ROUND(AG90,2)*CX90,2)</f>
        <v>0</v>
      </c>
      <c r="DI90">
        <f t="shared" si="64"/>
        <v>0</v>
      </c>
      <c r="DJ90">
        <f>DF90</f>
        <v>61.55</v>
      </c>
      <c r="DK90">
        <v>0</v>
      </c>
      <c r="DL90" t="s">
        <v>3</v>
      </c>
      <c r="DM90">
        <v>0</v>
      </c>
      <c r="DN90" t="s">
        <v>3</v>
      </c>
      <c r="DO90">
        <v>0</v>
      </c>
    </row>
    <row r="91" spans="1:119" x14ac:dyDescent="0.2">
      <c r="A91">
        <f>ROW(Source!A87)</f>
        <v>87</v>
      </c>
      <c r="B91">
        <v>145262827</v>
      </c>
      <c r="C91">
        <v>145263205</v>
      </c>
      <c r="D91">
        <v>140762126</v>
      </c>
      <c r="E91">
        <v>70</v>
      </c>
      <c r="F91">
        <v>1</v>
      </c>
      <c r="G91">
        <v>1</v>
      </c>
      <c r="H91">
        <v>3</v>
      </c>
      <c r="I91" t="s">
        <v>222</v>
      </c>
      <c r="J91" t="s">
        <v>3</v>
      </c>
      <c r="K91" t="s">
        <v>223</v>
      </c>
      <c r="L91">
        <v>1301</v>
      </c>
      <c r="N91">
        <v>1003</v>
      </c>
      <c r="O91" t="s">
        <v>181</v>
      </c>
      <c r="P91" t="s">
        <v>181</v>
      </c>
      <c r="Q91">
        <v>1</v>
      </c>
      <c r="W91">
        <v>0</v>
      </c>
      <c r="X91">
        <v>-563987739</v>
      </c>
      <c r="Y91">
        <f>AT91</f>
        <v>96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8.48</v>
      </c>
      <c r="AJ91">
        <v>1</v>
      </c>
      <c r="AK91">
        <v>1</v>
      </c>
      <c r="AL91">
        <v>1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 t="s">
        <v>3</v>
      </c>
      <c r="AT91">
        <v>96</v>
      </c>
      <c r="AU91" t="s">
        <v>3</v>
      </c>
      <c r="AV91">
        <v>0</v>
      </c>
      <c r="AW91">
        <v>2</v>
      </c>
      <c r="AX91">
        <v>145263222</v>
      </c>
      <c r="AY91">
        <v>1</v>
      </c>
      <c r="AZ91">
        <v>0</v>
      </c>
      <c r="BA91">
        <v>101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ROUND(Y91*Source!I87,9)</f>
        <v>638.4</v>
      </c>
      <c r="CY91">
        <f>AA91</f>
        <v>0</v>
      </c>
      <c r="CZ91">
        <f>AE91</f>
        <v>0</v>
      </c>
      <c r="DA91">
        <f>AI91</f>
        <v>8.48</v>
      </c>
      <c r="DB91">
        <f>ROUND(ROUND(AT91*CZ91,2),2)</f>
        <v>0</v>
      </c>
      <c r="DC91">
        <f>ROUND(ROUND(AT91*AG91,2),2)</f>
        <v>0</v>
      </c>
      <c r="DD91" t="s">
        <v>3</v>
      </c>
      <c r="DE91" t="s">
        <v>3</v>
      </c>
      <c r="DF91">
        <f>ROUND(ROUND(AE91*AI91,2)*CX91,2)</f>
        <v>0</v>
      </c>
      <c r="DG91">
        <f t="shared" si="65"/>
        <v>0</v>
      </c>
      <c r="DH91">
        <f>ROUND(ROUND(AG91,2)*CX91,2)</f>
        <v>0</v>
      </c>
      <c r="DI91">
        <f t="shared" si="64"/>
        <v>0</v>
      </c>
      <c r="DJ91">
        <f>DF91</f>
        <v>0</v>
      </c>
      <c r="DK91">
        <v>0</v>
      </c>
      <c r="DL91" t="s">
        <v>3</v>
      </c>
      <c r="DM91">
        <v>0</v>
      </c>
      <c r="DN91" t="s">
        <v>3</v>
      </c>
      <c r="DO91">
        <v>0</v>
      </c>
    </row>
    <row r="92" spans="1:119" x14ac:dyDescent="0.2">
      <c r="A92">
        <f>ROW(Source!A87)</f>
        <v>87</v>
      </c>
      <c r="B92">
        <v>145262827</v>
      </c>
      <c r="C92">
        <v>145263205</v>
      </c>
      <c r="D92">
        <v>140798715</v>
      </c>
      <c r="E92">
        <v>1</v>
      </c>
      <c r="F92">
        <v>1</v>
      </c>
      <c r="G92">
        <v>1</v>
      </c>
      <c r="H92">
        <v>3</v>
      </c>
      <c r="I92" t="s">
        <v>225</v>
      </c>
      <c r="J92" t="s">
        <v>227</v>
      </c>
      <c r="K92" t="s">
        <v>226</v>
      </c>
      <c r="L92">
        <v>1371</v>
      </c>
      <c r="N92">
        <v>1013</v>
      </c>
      <c r="O92" t="s">
        <v>162</v>
      </c>
      <c r="P92" t="s">
        <v>162</v>
      </c>
      <c r="Q92">
        <v>1</v>
      </c>
      <c r="W92">
        <v>1</v>
      </c>
      <c r="X92">
        <v>1006823780</v>
      </c>
      <c r="Y92">
        <f>AT92</f>
        <v>-67</v>
      </c>
      <c r="AA92">
        <v>1070.26</v>
      </c>
      <c r="AB92">
        <v>0</v>
      </c>
      <c r="AC92">
        <v>0</v>
      </c>
      <c r="AD92">
        <v>0</v>
      </c>
      <c r="AE92">
        <v>126.21</v>
      </c>
      <c r="AF92">
        <v>0</v>
      </c>
      <c r="AG92">
        <v>0</v>
      </c>
      <c r="AH92">
        <v>0</v>
      </c>
      <c r="AI92">
        <v>8.48</v>
      </c>
      <c r="AJ92">
        <v>1</v>
      </c>
      <c r="AK92">
        <v>1</v>
      </c>
      <c r="AL92">
        <v>1</v>
      </c>
      <c r="AM92">
        <v>4</v>
      </c>
      <c r="AN92">
        <v>0</v>
      </c>
      <c r="AO92">
        <v>1</v>
      </c>
      <c r="AP92">
        <v>0</v>
      </c>
      <c r="AQ92">
        <v>0</v>
      </c>
      <c r="AR92">
        <v>0</v>
      </c>
      <c r="AS92" t="s">
        <v>3</v>
      </c>
      <c r="AT92">
        <v>-67</v>
      </c>
      <c r="AU92" t="s">
        <v>3</v>
      </c>
      <c r="AV92">
        <v>0</v>
      </c>
      <c r="AW92">
        <v>2</v>
      </c>
      <c r="AX92">
        <v>145263224</v>
      </c>
      <c r="AY92">
        <v>1</v>
      </c>
      <c r="AZ92">
        <v>6144</v>
      </c>
      <c r="BA92">
        <v>103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ROUND(Y92*Source!I87,9)</f>
        <v>-445.55</v>
      </c>
      <c r="CY92">
        <f>AA92</f>
        <v>1070.26</v>
      </c>
      <c r="CZ92">
        <f>AE92</f>
        <v>126.21</v>
      </c>
      <c r="DA92">
        <f>AI92</f>
        <v>8.48</v>
      </c>
      <c r="DB92">
        <f>ROUND(ROUND(AT92*CZ92,2),2)</f>
        <v>-8456.07</v>
      </c>
      <c r="DC92">
        <f>ROUND(ROUND(AT92*AG92,2),2)</f>
        <v>0</v>
      </c>
      <c r="DD92" t="s">
        <v>3</v>
      </c>
      <c r="DE92" t="s">
        <v>3</v>
      </c>
      <c r="DF92">
        <f>ROUND(ROUND(AE92*AI92,2)*CX92,2)</f>
        <v>-476854.34</v>
      </c>
      <c r="DG92">
        <f t="shared" si="65"/>
        <v>0</v>
      </c>
      <c r="DH92">
        <f>ROUND(ROUND(AG92,2)*CX92,2)</f>
        <v>0</v>
      </c>
      <c r="DI92">
        <f t="shared" si="64"/>
        <v>0</v>
      </c>
      <c r="DJ92">
        <f>DF92</f>
        <v>-476854.34</v>
      </c>
      <c r="DK92">
        <v>0</v>
      </c>
      <c r="DL92" t="s">
        <v>3</v>
      </c>
      <c r="DM92">
        <v>0</v>
      </c>
      <c r="DN92" t="s">
        <v>3</v>
      </c>
      <c r="DO92">
        <v>0</v>
      </c>
    </row>
    <row r="93" spans="1:119" x14ac:dyDescent="0.2">
      <c r="A93">
        <f>ROW(Source!A93)</f>
        <v>93</v>
      </c>
      <c r="B93">
        <v>145262827</v>
      </c>
      <c r="C93">
        <v>145263230</v>
      </c>
      <c r="D93">
        <v>140759979</v>
      </c>
      <c r="E93">
        <v>70</v>
      </c>
      <c r="F93">
        <v>1</v>
      </c>
      <c r="G93">
        <v>1</v>
      </c>
      <c r="H93">
        <v>1</v>
      </c>
      <c r="I93" t="s">
        <v>524</v>
      </c>
      <c r="J93" t="s">
        <v>3</v>
      </c>
      <c r="K93" t="s">
        <v>525</v>
      </c>
      <c r="L93">
        <v>1191</v>
      </c>
      <c r="N93">
        <v>1013</v>
      </c>
      <c r="O93" t="s">
        <v>374</v>
      </c>
      <c r="P93" t="s">
        <v>374</v>
      </c>
      <c r="Q93">
        <v>1</v>
      </c>
      <c r="W93">
        <v>0</v>
      </c>
      <c r="X93">
        <v>1049124552</v>
      </c>
      <c r="Y93">
        <f>((AT93*(1+(0.005*(30-15))))*1.15)</f>
        <v>120.16349999999998</v>
      </c>
      <c r="AA93">
        <v>0</v>
      </c>
      <c r="AB93">
        <v>0</v>
      </c>
      <c r="AC93">
        <v>0</v>
      </c>
      <c r="AD93">
        <v>250.18</v>
      </c>
      <c r="AE93">
        <v>0</v>
      </c>
      <c r="AF93">
        <v>0</v>
      </c>
      <c r="AG93">
        <v>0</v>
      </c>
      <c r="AH93">
        <v>8.5299999999999994</v>
      </c>
      <c r="AI93">
        <v>1</v>
      </c>
      <c r="AJ93">
        <v>1</v>
      </c>
      <c r="AK93">
        <v>1</v>
      </c>
      <c r="AL93">
        <v>29.33</v>
      </c>
      <c r="AM93">
        <v>4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3</v>
      </c>
      <c r="AT93">
        <v>97.2</v>
      </c>
      <c r="AU93" t="s">
        <v>172</v>
      </c>
      <c r="AV93">
        <v>1</v>
      </c>
      <c r="AW93">
        <v>2</v>
      </c>
      <c r="AX93">
        <v>145263238</v>
      </c>
      <c r="AY93">
        <v>1</v>
      </c>
      <c r="AZ93">
        <v>0</v>
      </c>
      <c r="BA93">
        <v>104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ROUND(Y93*Source!I93,9)</f>
        <v>268.76970045000002</v>
      </c>
      <c r="CY93">
        <f>AD93</f>
        <v>250.18</v>
      </c>
      <c r="CZ93">
        <f>AH93</f>
        <v>8.5299999999999994</v>
      </c>
      <c r="DA93">
        <f>AL93</f>
        <v>29.33</v>
      </c>
      <c r="DB93">
        <f>ROUND(((ROUND(AT93*CZ93,2)*(1+(0.005*(30-15))))*1.15),2)</f>
        <v>1025</v>
      </c>
      <c r="DC93">
        <f>ROUND(((ROUND(AT93*AG93,2)*(1+(0.005*(30-15))))*1.15),2)</f>
        <v>0</v>
      </c>
      <c r="DD93" t="s">
        <v>3</v>
      </c>
      <c r="DE93" t="s">
        <v>3</v>
      </c>
      <c r="DF93">
        <f>ROUND(ROUND(AE93,2)*CX93,2)</f>
        <v>0</v>
      </c>
      <c r="DG93">
        <f t="shared" si="65"/>
        <v>0</v>
      </c>
      <c r="DH93">
        <f>ROUND(ROUND(AG93,2)*CX93,2)</f>
        <v>0</v>
      </c>
      <c r="DI93">
        <f>ROUND(ROUND(AH93*AL93,2)*CX93,2)</f>
        <v>67240.800000000003</v>
      </c>
      <c r="DJ93">
        <f>DI93</f>
        <v>67240.800000000003</v>
      </c>
      <c r="DK93">
        <v>0</v>
      </c>
      <c r="DL93" t="s">
        <v>3</v>
      </c>
      <c r="DM93">
        <v>0</v>
      </c>
      <c r="DN93" t="s">
        <v>3</v>
      </c>
      <c r="DO93">
        <v>0</v>
      </c>
    </row>
    <row r="94" spans="1:119" x14ac:dyDescent="0.2">
      <c r="A94">
        <f>ROW(Source!A93)</f>
        <v>93</v>
      </c>
      <c r="B94">
        <v>145262827</v>
      </c>
      <c r="C94">
        <v>145263230</v>
      </c>
      <c r="D94">
        <v>140760225</v>
      </c>
      <c r="E94">
        <v>70</v>
      </c>
      <c r="F94">
        <v>1</v>
      </c>
      <c r="G94">
        <v>1</v>
      </c>
      <c r="H94">
        <v>1</v>
      </c>
      <c r="I94" t="s">
        <v>381</v>
      </c>
      <c r="J94" t="s">
        <v>3</v>
      </c>
      <c r="K94" t="s">
        <v>382</v>
      </c>
      <c r="L94">
        <v>1191</v>
      </c>
      <c r="N94">
        <v>1013</v>
      </c>
      <c r="O94" t="s">
        <v>374</v>
      </c>
      <c r="P94" t="s">
        <v>374</v>
      </c>
      <c r="Q94">
        <v>1</v>
      </c>
      <c r="W94">
        <v>0</v>
      </c>
      <c r="X94">
        <v>-1417349443</v>
      </c>
      <c r="Y94">
        <f>(AT94*1.25)</f>
        <v>0.33750000000000002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1</v>
      </c>
      <c r="AJ94">
        <v>1</v>
      </c>
      <c r="AK94">
        <v>29.33</v>
      </c>
      <c r="AL94">
        <v>1</v>
      </c>
      <c r="AM94">
        <v>4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</v>
      </c>
      <c r="AT94">
        <v>0.27</v>
      </c>
      <c r="AU94" t="s">
        <v>148</v>
      </c>
      <c r="AV94">
        <v>2</v>
      </c>
      <c r="AW94">
        <v>2</v>
      </c>
      <c r="AX94">
        <v>145263239</v>
      </c>
      <c r="AY94">
        <v>1</v>
      </c>
      <c r="AZ94">
        <v>0</v>
      </c>
      <c r="BA94">
        <v>105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ROUND(Y94*Source!I93,9)</f>
        <v>0.75488624999999998</v>
      </c>
      <c r="CY94">
        <f>AD94</f>
        <v>0</v>
      </c>
      <c r="CZ94">
        <f>AH94</f>
        <v>0</v>
      </c>
      <c r="DA94">
        <f>AL94</f>
        <v>1</v>
      </c>
      <c r="DB94">
        <f>ROUND((ROUND(AT94*CZ94,2)*1.25),2)</f>
        <v>0</v>
      </c>
      <c r="DC94">
        <f>ROUND((ROUND(AT94*AG94,2)*1.25),2)</f>
        <v>0</v>
      </c>
      <c r="DD94" t="s">
        <v>3</v>
      </c>
      <c r="DE94" t="s">
        <v>3</v>
      </c>
      <c r="DF94">
        <f>ROUND(ROUND(AE94,2)*CX94,2)</f>
        <v>0</v>
      </c>
      <c r="DG94">
        <f t="shared" si="65"/>
        <v>0</v>
      </c>
      <c r="DH94">
        <f>ROUND(ROUND(AG94*AK94,2)*CX94,2)</f>
        <v>0</v>
      </c>
      <c r="DI94">
        <f t="shared" ref="DI94:DI99" si="66">ROUND(ROUND(AH94,2)*CX94,2)</f>
        <v>0</v>
      </c>
      <c r="DJ94">
        <f>DI94</f>
        <v>0</v>
      </c>
      <c r="DK94">
        <v>0</v>
      </c>
      <c r="DL94" t="s">
        <v>3</v>
      </c>
      <c r="DM94">
        <v>0</v>
      </c>
      <c r="DN94" t="s">
        <v>3</v>
      </c>
      <c r="DO94">
        <v>0</v>
      </c>
    </row>
    <row r="95" spans="1:119" x14ac:dyDescent="0.2">
      <c r="A95">
        <f>ROW(Source!A93)</f>
        <v>93</v>
      </c>
      <c r="B95">
        <v>145262827</v>
      </c>
      <c r="C95">
        <v>145263230</v>
      </c>
      <c r="D95">
        <v>140922893</v>
      </c>
      <c r="E95">
        <v>1</v>
      </c>
      <c r="F95">
        <v>1</v>
      </c>
      <c r="G95">
        <v>1</v>
      </c>
      <c r="H95">
        <v>2</v>
      </c>
      <c r="I95" t="s">
        <v>428</v>
      </c>
      <c r="J95" t="s">
        <v>429</v>
      </c>
      <c r="K95" t="s">
        <v>430</v>
      </c>
      <c r="L95">
        <v>1367</v>
      </c>
      <c r="N95">
        <v>1011</v>
      </c>
      <c r="O95" t="s">
        <v>378</v>
      </c>
      <c r="P95" t="s">
        <v>378</v>
      </c>
      <c r="Q95">
        <v>1</v>
      </c>
      <c r="W95">
        <v>0</v>
      </c>
      <c r="X95">
        <v>-130837057</v>
      </c>
      <c r="Y95">
        <f>(AT95*1.25)</f>
        <v>0.25</v>
      </c>
      <c r="AA95">
        <v>0</v>
      </c>
      <c r="AB95">
        <v>995.33</v>
      </c>
      <c r="AC95">
        <v>395.96</v>
      </c>
      <c r="AD95">
        <v>0</v>
      </c>
      <c r="AE95">
        <v>0</v>
      </c>
      <c r="AF95">
        <v>86.4</v>
      </c>
      <c r="AG95">
        <v>13.5</v>
      </c>
      <c r="AH95">
        <v>0</v>
      </c>
      <c r="AI95">
        <v>1</v>
      </c>
      <c r="AJ95">
        <v>11.52</v>
      </c>
      <c r="AK95">
        <v>29.33</v>
      </c>
      <c r="AL95">
        <v>1</v>
      </c>
      <c r="AM95">
        <v>4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0.2</v>
      </c>
      <c r="AU95" t="s">
        <v>148</v>
      </c>
      <c r="AV95">
        <v>0</v>
      </c>
      <c r="AW95">
        <v>2</v>
      </c>
      <c r="AX95">
        <v>145263240</v>
      </c>
      <c r="AY95">
        <v>1</v>
      </c>
      <c r="AZ95">
        <v>0</v>
      </c>
      <c r="BA95">
        <v>106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ROUND(Y95*Source!I93,9)</f>
        <v>0.55917499999999998</v>
      </c>
      <c r="CY95">
        <f>AB95</f>
        <v>995.33</v>
      </c>
      <c r="CZ95">
        <f>AF95</f>
        <v>86.4</v>
      </c>
      <c r="DA95">
        <f>AJ95</f>
        <v>11.52</v>
      </c>
      <c r="DB95">
        <f>ROUND((ROUND(AT95*CZ95,2)*1.25),2)</f>
        <v>21.6</v>
      </c>
      <c r="DC95">
        <f>ROUND((ROUND(AT95*AG95,2)*1.25),2)</f>
        <v>3.38</v>
      </c>
      <c r="DD95" t="s">
        <v>3</v>
      </c>
      <c r="DE95" t="s">
        <v>3</v>
      </c>
      <c r="DF95">
        <f>ROUND(ROUND(AE95,2)*CX95,2)</f>
        <v>0</v>
      </c>
      <c r="DG95">
        <f>ROUND(ROUND(AF95*AJ95,2)*CX95,2)</f>
        <v>556.55999999999995</v>
      </c>
      <c r="DH95">
        <f>ROUND(ROUND(AG95*AK95,2)*CX95,2)</f>
        <v>221.41</v>
      </c>
      <c r="DI95">
        <f t="shared" si="66"/>
        <v>0</v>
      </c>
      <c r="DJ95">
        <f>DG95</f>
        <v>556.55999999999995</v>
      </c>
      <c r="DK95">
        <v>0</v>
      </c>
      <c r="DL95" t="s">
        <v>3</v>
      </c>
      <c r="DM95">
        <v>0</v>
      </c>
      <c r="DN95" t="s">
        <v>3</v>
      </c>
      <c r="DO95">
        <v>0</v>
      </c>
    </row>
    <row r="96" spans="1:119" x14ac:dyDescent="0.2">
      <c r="A96">
        <f>ROW(Source!A93)</f>
        <v>93</v>
      </c>
      <c r="B96">
        <v>145262827</v>
      </c>
      <c r="C96">
        <v>145263230</v>
      </c>
      <c r="D96">
        <v>140923885</v>
      </c>
      <c r="E96">
        <v>1</v>
      </c>
      <c r="F96">
        <v>1</v>
      </c>
      <c r="G96">
        <v>1</v>
      </c>
      <c r="H96">
        <v>2</v>
      </c>
      <c r="I96" t="s">
        <v>386</v>
      </c>
      <c r="J96" t="s">
        <v>387</v>
      </c>
      <c r="K96" t="s">
        <v>388</v>
      </c>
      <c r="L96">
        <v>1367</v>
      </c>
      <c r="N96">
        <v>1011</v>
      </c>
      <c r="O96" t="s">
        <v>378</v>
      </c>
      <c r="P96" t="s">
        <v>378</v>
      </c>
      <c r="Q96">
        <v>1</v>
      </c>
      <c r="W96">
        <v>0</v>
      </c>
      <c r="X96">
        <v>509054691</v>
      </c>
      <c r="Y96">
        <f>(AT96*1.25)</f>
        <v>8.7500000000000008E-2</v>
      </c>
      <c r="AA96">
        <v>0</v>
      </c>
      <c r="AB96">
        <v>756.98</v>
      </c>
      <c r="AC96">
        <v>340.23</v>
      </c>
      <c r="AD96">
        <v>0</v>
      </c>
      <c r="AE96">
        <v>0</v>
      </c>
      <c r="AF96">
        <v>65.709999999999994</v>
      </c>
      <c r="AG96">
        <v>11.6</v>
      </c>
      <c r="AH96">
        <v>0</v>
      </c>
      <c r="AI96">
        <v>1</v>
      </c>
      <c r="AJ96">
        <v>11.52</v>
      </c>
      <c r="AK96">
        <v>29.33</v>
      </c>
      <c r="AL96">
        <v>1</v>
      </c>
      <c r="AM96">
        <v>4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7.0000000000000007E-2</v>
      </c>
      <c r="AU96" t="s">
        <v>148</v>
      </c>
      <c r="AV96">
        <v>0</v>
      </c>
      <c r="AW96">
        <v>2</v>
      </c>
      <c r="AX96">
        <v>145263241</v>
      </c>
      <c r="AY96">
        <v>1</v>
      </c>
      <c r="AZ96">
        <v>0</v>
      </c>
      <c r="BA96">
        <v>107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ROUND(Y96*Source!I93,9)</f>
        <v>0.19571125</v>
      </c>
      <c r="CY96">
        <f>AB96</f>
        <v>756.98</v>
      </c>
      <c r="CZ96">
        <f>AF96</f>
        <v>65.709999999999994</v>
      </c>
      <c r="DA96">
        <f>AJ96</f>
        <v>11.52</v>
      </c>
      <c r="DB96">
        <f>ROUND((ROUND(AT96*CZ96,2)*1.25),2)</f>
        <v>5.75</v>
      </c>
      <c r="DC96">
        <f>ROUND((ROUND(AT96*AG96,2)*1.25),2)</f>
        <v>1.01</v>
      </c>
      <c r="DD96" t="s">
        <v>3</v>
      </c>
      <c r="DE96" t="s">
        <v>3</v>
      </c>
      <c r="DF96">
        <f>ROUND(ROUND(AE96,2)*CX96,2)</f>
        <v>0</v>
      </c>
      <c r="DG96">
        <f>ROUND(ROUND(AF96*AJ96,2)*CX96,2)</f>
        <v>148.15</v>
      </c>
      <c r="DH96">
        <f>ROUND(ROUND(AG96*AK96,2)*CX96,2)</f>
        <v>66.59</v>
      </c>
      <c r="DI96">
        <f t="shared" si="66"/>
        <v>0</v>
      </c>
      <c r="DJ96">
        <f>DG96</f>
        <v>148.15</v>
      </c>
      <c r="DK96">
        <v>0</v>
      </c>
      <c r="DL96" t="s">
        <v>3</v>
      </c>
      <c r="DM96">
        <v>0</v>
      </c>
      <c r="DN96" t="s">
        <v>3</v>
      </c>
      <c r="DO96">
        <v>0</v>
      </c>
    </row>
    <row r="97" spans="1:119" x14ac:dyDescent="0.2">
      <c r="A97">
        <f>ROW(Source!A93)</f>
        <v>93</v>
      </c>
      <c r="B97">
        <v>145262827</v>
      </c>
      <c r="C97">
        <v>145263230</v>
      </c>
      <c r="D97">
        <v>140775136</v>
      </c>
      <c r="E97">
        <v>1</v>
      </c>
      <c r="F97">
        <v>1</v>
      </c>
      <c r="G97">
        <v>1</v>
      </c>
      <c r="H97">
        <v>3</v>
      </c>
      <c r="I97" t="s">
        <v>526</v>
      </c>
      <c r="J97" t="s">
        <v>527</v>
      </c>
      <c r="K97" t="s">
        <v>528</v>
      </c>
      <c r="L97">
        <v>1348</v>
      </c>
      <c r="N97">
        <v>1009</v>
      </c>
      <c r="O97" t="s">
        <v>206</v>
      </c>
      <c r="P97" t="s">
        <v>206</v>
      </c>
      <c r="Q97">
        <v>1000</v>
      </c>
      <c r="W97">
        <v>0</v>
      </c>
      <c r="X97">
        <v>-384732532</v>
      </c>
      <c r="Y97">
        <f>(AT97*0)</f>
        <v>0</v>
      </c>
      <c r="AA97">
        <v>71868</v>
      </c>
      <c r="AB97">
        <v>0</v>
      </c>
      <c r="AC97">
        <v>0</v>
      </c>
      <c r="AD97">
        <v>0</v>
      </c>
      <c r="AE97">
        <v>8475</v>
      </c>
      <c r="AF97">
        <v>0</v>
      </c>
      <c r="AG97">
        <v>0</v>
      </c>
      <c r="AH97">
        <v>0</v>
      </c>
      <c r="AI97">
        <v>8.48</v>
      </c>
      <c r="AJ97">
        <v>1</v>
      </c>
      <c r="AK97">
        <v>1</v>
      </c>
      <c r="AL97">
        <v>1</v>
      </c>
      <c r="AM97">
        <v>4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3</v>
      </c>
      <c r="AT97">
        <v>4.0000000000000001E-3</v>
      </c>
      <c r="AU97" t="s">
        <v>241</v>
      </c>
      <c r="AV97">
        <v>0</v>
      </c>
      <c r="AW97">
        <v>2</v>
      </c>
      <c r="AX97">
        <v>145263242</v>
      </c>
      <c r="AY97">
        <v>1</v>
      </c>
      <c r="AZ97">
        <v>0</v>
      </c>
      <c r="BA97">
        <v>108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ROUND(Y97*Source!I93,9)</f>
        <v>0</v>
      </c>
      <c r="CY97">
        <f>AA97</f>
        <v>71868</v>
      </c>
      <c r="CZ97">
        <f>AE97</f>
        <v>8475</v>
      </c>
      <c r="DA97">
        <f>AI97</f>
        <v>8.48</v>
      </c>
      <c r="DB97">
        <f>ROUND((ROUND(AT97*CZ97,2)*0),2)</f>
        <v>0</v>
      </c>
      <c r="DC97">
        <f>ROUND((ROUND(AT97*AG97,2)*0),2)</f>
        <v>0</v>
      </c>
      <c r="DD97" t="s">
        <v>3</v>
      </c>
      <c r="DE97" t="s">
        <v>3</v>
      </c>
      <c r="DF97">
        <f>ROUND(ROUND(AE97*AI97,2)*CX97,2)</f>
        <v>0</v>
      </c>
      <c r="DG97">
        <f>ROUND(ROUND(AF97,2)*CX97,2)</f>
        <v>0</v>
      </c>
      <c r="DH97">
        <f>ROUND(ROUND(AG97,2)*CX97,2)</f>
        <v>0</v>
      </c>
      <c r="DI97">
        <f t="shared" si="66"/>
        <v>0</v>
      </c>
      <c r="DJ97">
        <f>DF97</f>
        <v>0</v>
      </c>
      <c r="DK97">
        <v>0</v>
      </c>
      <c r="DL97" t="s">
        <v>3</v>
      </c>
      <c r="DM97">
        <v>0</v>
      </c>
      <c r="DN97" t="s">
        <v>3</v>
      </c>
      <c r="DO97">
        <v>0</v>
      </c>
    </row>
    <row r="98" spans="1:119" x14ac:dyDescent="0.2">
      <c r="A98">
        <f>ROW(Source!A93)</f>
        <v>93</v>
      </c>
      <c r="B98">
        <v>145262827</v>
      </c>
      <c r="C98">
        <v>145263230</v>
      </c>
      <c r="D98">
        <v>140792325</v>
      </c>
      <c r="E98">
        <v>1</v>
      </c>
      <c r="F98">
        <v>1</v>
      </c>
      <c r="G98">
        <v>1</v>
      </c>
      <c r="H98">
        <v>3</v>
      </c>
      <c r="I98" t="s">
        <v>529</v>
      </c>
      <c r="J98" t="s">
        <v>530</v>
      </c>
      <c r="K98" t="s">
        <v>531</v>
      </c>
      <c r="L98">
        <v>1348</v>
      </c>
      <c r="N98">
        <v>1009</v>
      </c>
      <c r="O98" t="s">
        <v>206</v>
      </c>
      <c r="P98" t="s">
        <v>206</v>
      </c>
      <c r="Q98">
        <v>1000</v>
      </c>
      <c r="W98">
        <v>0</v>
      </c>
      <c r="X98">
        <v>-581832824</v>
      </c>
      <c r="Y98">
        <f>(AT98*0)</f>
        <v>0</v>
      </c>
      <c r="AA98">
        <v>69451.199999999997</v>
      </c>
      <c r="AB98">
        <v>0</v>
      </c>
      <c r="AC98">
        <v>0</v>
      </c>
      <c r="AD98">
        <v>0</v>
      </c>
      <c r="AE98">
        <v>8190</v>
      </c>
      <c r="AF98">
        <v>0</v>
      </c>
      <c r="AG98">
        <v>0</v>
      </c>
      <c r="AH98">
        <v>0</v>
      </c>
      <c r="AI98">
        <v>8.48</v>
      </c>
      <c r="AJ98">
        <v>1</v>
      </c>
      <c r="AK98">
        <v>1</v>
      </c>
      <c r="AL98">
        <v>1</v>
      </c>
      <c r="AM98">
        <v>4</v>
      </c>
      <c r="AN98">
        <v>0</v>
      </c>
      <c r="AO98">
        <v>1</v>
      </c>
      <c r="AP98">
        <v>1</v>
      </c>
      <c r="AQ98">
        <v>0</v>
      </c>
      <c r="AR98">
        <v>0</v>
      </c>
      <c r="AS98" t="s">
        <v>3</v>
      </c>
      <c r="AT98">
        <v>1.2E-2</v>
      </c>
      <c r="AU98" t="s">
        <v>241</v>
      </c>
      <c r="AV98">
        <v>0</v>
      </c>
      <c r="AW98">
        <v>2</v>
      </c>
      <c r="AX98">
        <v>145263243</v>
      </c>
      <c r="AY98">
        <v>1</v>
      </c>
      <c r="AZ98">
        <v>0</v>
      </c>
      <c r="BA98">
        <v>109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ROUND(Y98*Source!I93,9)</f>
        <v>0</v>
      </c>
      <c r="CY98">
        <f>AA98</f>
        <v>69451.199999999997</v>
      </c>
      <c r="CZ98">
        <f>AE98</f>
        <v>8190</v>
      </c>
      <c r="DA98">
        <f>AI98</f>
        <v>8.48</v>
      </c>
      <c r="DB98">
        <f>ROUND((ROUND(AT98*CZ98,2)*0),2)</f>
        <v>0</v>
      </c>
      <c r="DC98">
        <f>ROUND((ROUND(AT98*AG98,2)*0),2)</f>
        <v>0</v>
      </c>
      <c r="DD98" t="s">
        <v>3</v>
      </c>
      <c r="DE98" t="s">
        <v>3</v>
      </c>
      <c r="DF98">
        <f>ROUND(ROUND(AE98*AI98,2)*CX98,2)</f>
        <v>0</v>
      </c>
      <c r="DG98">
        <f>ROUND(ROUND(AF98,2)*CX98,2)</f>
        <v>0</v>
      </c>
      <c r="DH98">
        <f>ROUND(ROUND(AG98,2)*CX98,2)</f>
        <v>0</v>
      </c>
      <c r="DI98">
        <f t="shared" si="66"/>
        <v>0</v>
      </c>
      <c r="DJ98">
        <f>DF98</f>
        <v>0</v>
      </c>
      <c r="DK98">
        <v>0</v>
      </c>
      <c r="DL98" t="s">
        <v>3</v>
      </c>
      <c r="DM98">
        <v>0</v>
      </c>
      <c r="DN98" t="s">
        <v>3</v>
      </c>
      <c r="DO98">
        <v>0</v>
      </c>
    </row>
    <row r="99" spans="1:119" x14ac:dyDescent="0.2">
      <c r="A99">
        <f>ROW(Source!A93)</f>
        <v>93</v>
      </c>
      <c r="B99">
        <v>145262827</v>
      </c>
      <c r="C99">
        <v>145263230</v>
      </c>
      <c r="D99">
        <v>140792570</v>
      </c>
      <c r="E99">
        <v>1</v>
      </c>
      <c r="F99">
        <v>1</v>
      </c>
      <c r="G99">
        <v>1</v>
      </c>
      <c r="H99">
        <v>3</v>
      </c>
      <c r="I99" t="s">
        <v>532</v>
      </c>
      <c r="J99" t="s">
        <v>533</v>
      </c>
      <c r="K99" t="s">
        <v>534</v>
      </c>
      <c r="L99">
        <v>1348</v>
      </c>
      <c r="N99">
        <v>1009</v>
      </c>
      <c r="O99" t="s">
        <v>206</v>
      </c>
      <c r="P99" t="s">
        <v>206</v>
      </c>
      <c r="Q99">
        <v>1000</v>
      </c>
      <c r="W99">
        <v>0</v>
      </c>
      <c r="X99">
        <v>-509681559</v>
      </c>
      <c r="Y99">
        <f>(AT99*0)</f>
        <v>0</v>
      </c>
      <c r="AA99">
        <v>94976</v>
      </c>
      <c r="AB99">
        <v>0</v>
      </c>
      <c r="AC99">
        <v>0</v>
      </c>
      <c r="AD99">
        <v>0</v>
      </c>
      <c r="AE99">
        <v>11200</v>
      </c>
      <c r="AF99">
        <v>0</v>
      </c>
      <c r="AG99">
        <v>0</v>
      </c>
      <c r="AH99">
        <v>0</v>
      </c>
      <c r="AI99">
        <v>8.48</v>
      </c>
      <c r="AJ99">
        <v>1</v>
      </c>
      <c r="AK99">
        <v>1</v>
      </c>
      <c r="AL99">
        <v>1</v>
      </c>
      <c r="AM99">
        <v>4</v>
      </c>
      <c r="AN99">
        <v>0</v>
      </c>
      <c r="AO99">
        <v>1</v>
      </c>
      <c r="AP99">
        <v>1</v>
      </c>
      <c r="AQ99">
        <v>0</v>
      </c>
      <c r="AR99">
        <v>0</v>
      </c>
      <c r="AS99" t="s">
        <v>3</v>
      </c>
      <c r="AT99">
        <v>0.56999999999999995</v>
      </c>
      <c r="AU99" t="s">
        <v>241</v>
      </c>
      <c r="AV99">
        <v>0</v>
      </c>
      <c r="AW99">
        <v>2</v>
      </c>
      <c r="AX99">
        <v>145263244</v>
      </c>
      <c r="AY99">
        <v>1</v>
      </c>
      <c r="AZ99">
        <v>0</v>
      </c>
      <c r="BA99">
        <v>110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ROUND(Y99*Source!I93,9)</f>
        <v>0</v>
      </c>
      <c r="CY99">
        <f>AA99</f>
        <v>94976</v>
      </c>
      <c r="CZ99">
        <f>AE99</f>
        <v>11200</v>
      </c>
      <c r="DA99">
        <f>AI99</f>
        <v>8.48</v>
      </c>
      <c r="DB99">
        <f>ROUND((ROUND(AT99*CZ99,2)*0),2)</f>
        <v>0</v>
      </c>
      <c r="DC99">
        <f>ROUND((ROUND(AT99*AG99,2)*0),2)</f>
        <v>0</v>
      </c>
      <c r="DD99" t="s">
        <v>3</v>
      </c>
      <c r="DE99" t="s">
        <v>3</v>
      </c>
      <c r="DF99">
        <f>ROUND(ROUND(AE99*AI99,2)*CX99,2)</f>
        <v>0</v>
      </c>
      <c r="DG99">
        <f>ROUND(ROUND(AF99,2)*CX99,2)</f>
        <v>0</v>
      </c>
      <c r="DH99">
        <f>ROUND(ROUND(AG99,2)*CX99,2)</f>
        <v>0</v>
      </c>
      <c r="DI99">
        <f t="shared" si="66"/>
        <v>0</v>
      </c>
      <c r="DJ99">
        <f>DF99</f>
        <v>0</v>
      </c>
      <c r="DK99">
        <v>0</v>
      </c>
      <c r="DL99" t="s">
        <v>3</v>
      </c>
      <c r="DM99">
        <v>0</v>
      </c>
      <c r="DN99" t="s">
        <v>3</v>
      </c>
      <c r="DO99">
        <v>0</v>
      </c>
    </row>
    <row r="100" spans="1:119" x14ac:dyDescent="0.2">
      <c r="A100">
        <f>ROW(Source!A99)</f>
        <v>99</v>
      </c>
      <c r="B100">
        <v>145262827</v>
      </c>
      <c r="C100">
        <v>145263250</v>
      </c>
      <c r="D100">
        <v>140759985</v>
      </c>
      <c r="E100">
        <v>70</v>
      </c>
      <c r="F100">
        <v>1</v>
      </c>
      <c r="G100">
        <v>1</v>
      </c>
      <c r="H100">
        <v>1</v>
      </c>
      <c r="I100" t="s">
        <v>431</v>
      </c>
      <c r="J100" t="s">
        <v>3</v>
      </c>
      <c r="K100" t="s">
        <v>432</v>
      </c>
      <c r="L100">
        <v>1191</v>
      </c>
      <c r="N100">
        <v>1013</v>
      </c>
      <c r="O100" t="s">
        <v>374</v>
      </c>
      <c r="P100" t="s">
        <v>374</v>
      </c>
      <c r="Q100">
        <v>1</v>
      </c>
      <c r="W100">
        <v>0</v>
      </c>
      <c r="X100">
        <v>784619160</v>
      </c>
      <c r="Y100">
        <f>(AT100*1.15)</f>
        <v>16.215</v>
      </c>
      <c r="AA100">
        <v>0</v>
      </c>
      <c r="AB100">
        <v>0</v>
      </c>
      <c r="AC100">
        <v>0</v>
      </c>
      <c r="AD100">
        <v>256.33999999999997</v>
      </c>
      <c r="AE100">
        <v>0</v>
      </c>
      <c r="AF100">
        <v>0</v>
      </c>
      <c r="AG100">
        <v>0</v>
      </c>
      <c r="AH100">
        <v>8.74</v>
      </c>
      <c r="AI100">
        <v>1</v>
      </c>
      <c r="AJ100">
        <v>1</v>
      </c>
      <c r="AK100">
        <v>1</v>
      </c>
      <c r="AL100">
        <v>29.33</v>
      </c>
      <c r="AM100">
        <v>4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</v>
      </c>
      <c r="AT100">
        <v>14.1</v>
      </c>
      <c r="AU100" t="s">
        <v>149</v>
      </c>
      <c r="AV100">
        <v>1</v>
      </c>
      <c r="AW100">
        <v>2</v>
      </c>
      <c r="AX100">
        <v>145263272</v>
      </c>
      <c r="AY100">
        <v>1</v>
      </c>
      <c r="AZ100">
        <v>0</v>
      </c>
      <c r="BA100">
        <v>111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ROUND(Y100*Source!I99,9)</f>
        <v>975.75383999999997</v>
      </c>
      <c r="CY100">
        <f>AD100</f>
        <v>256.33999999999997</v>
      </c>
      <c r="CZ100">
        <f>AH100</f>
        <v>8.74</v>
      </c>
      <c r="DA100">
        <f>AL100</f>
        <v>29.33</v>
      </c>
      <c r="DB100">
        <f>ROUND((ROUND(AT100*CZ100,2)*1.15),2)</f>
        <v>141.71</v>
      </c>
      <c r="DC100">
        <f>ROUND((ROUND(AT100*AG100,2)*1.15),2)</f>
        <v>0</v>
      </c>
      <c r="DD100" t="s">
        <v>3</v>
      </c>
      <c r="DE100" t="s">
        <v>3</v>
      </c>
      <c r="DF100">
        <f t="shared" ref="DF100:DF107" si="67">ROUND(ROUND(AE100,2)*CX100,2)</f>
        <v>0</v>
      </c>
      <c r="DG100">
        <f>ROUND(ROUND(AF100,2)*CX100,2)</f>
        <v>0</v>
      </c>
      <c r="DH100">
        <f>ROUND(ROUND(AG100,2)*CX100,2)</f>
        <v>0</v>
      </c>
      <c r="DI100">
        <f>ROUND(ROUND(AH100*AL100,2)*CX100,2)</f>
        <v>250124.74</v>
      </c>
      <c r="DJ100">
        <f>DI100</f>
        <v>250124.74</v>
      </c>
      <c r="DK100">
        <v>0</v>
      </c>
      <c r="DL100" t="s">
        <v>3</v>
      </c>
      <c r="DM100">
        <v>0</v>
      </c>
      <c r="DN100" t="s">
        <v>3</v>
      </c>
      <c r="DO100">
        <v>0</v>
      </c>
    </row>
    <row r="101" spans="1:119" x14ac:dyDescent="0.2">
      <c r="A101">
        <f>ROW(Source!A99)</f>
        <v>99</v>
      </c>
      <c r="B101">
        <v>145262827</v>
      </c>
      <c r="C101">
        <v>145263250</v>
      </c>
      <c r="D101">
        <v>140760225</v>
      </c>
      <c r="E101">
        <v>70</v>
      </c>
      <c r="F101">
        <v>1</v>
      </c>
      <c r="G101">
        <v>1</v>
      </c>
      <c r="H101">
        <v>1</v>
      </c>
      <c r="I101" t="s">
        <v>381</v>
      </c>
      <c r="J101" t="s">
        <v>3</v>
      </c>
      <c r="K101" t="s">
        <v>382</v>
      </c>
      <c r="L101">
        <v>1191</v>
      </c>
      <c r="N101">
        <v>1013</v>
      </c>
      <c r="O101" t="s">
        <v>374</v>
      </c>
      <c r="P101" t="s">
        <v>374</v>
      </c>
      <c r="Q101">
        <v>1</v>
      </c>
      <c r="W101">
        <v>0</v>
      </c>
      <c r="X101">
        <v>-1417349443</v>
      </c>
      <c r="Y101">
        <f t="shared" ref="Y101:Y107" si="68">(AT101*1.25)</f>
        <v>2.1875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1</v>
      </c>
      <c r="AJ101">
        <v>1</v>
      </c>
      <c r="AK101">
        <v>29.33</v>
      </c>
      <c r="AL101">
        <v>1</v>
      </c>
      <c r="AM101">
        <v>4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3</v>
      </c>
      <c r="AT101">
        <v>1.75</v>
      </c>
      <c r="AU101" t="s">
        <v>148</v>
      </c>
      <c r="AV101">
        <v>2</v>
      </c>
      <c r="AW101">
        <v>2</v>
      </c>
      <c r="AX101">
        <v>145263273</v>
      </c>
      <c r="AY101">
        <v>1</v>
      </c>
      <c r="AZ101">
        <v>0</v>
      </c>
      <c r="BA101">
        <v>112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ROUND(Y101*Source!I99,9)</f>
        <v>131.63499999999999</v>
      </c>
      <c r="CY101">
        <f>AD101</f>
        <v>0</v>
      </c>
      <c r="CZ101">
        <f>AH101</f>
        <v>0</v>
      </c>
      <c r="DA101">
        <f>AL101</f>
        <v>1</v>
      </c>
      <c r="DB101">
        <f t="shared" ref="DB101:DB107" si="69">ROUND((ROUND(AT101*CZ101,2)*1.25),2)</f>
        <v>0</v>
      </c>
      <c r="DC101">
        <f t="shared" ref="DC101:DC107" si="70">ROUND((ROUND(AT101*AG101,2)*1.25),2)</f>
        <v>0</v>
      </c>
      <c r="DD101" t="s">
        <v>3</v>
      </c>
      <c r="DE101" t="s">
        <v>3</v>
      </c>
      <c r="DF101">
        <f t="shared" si="67"/>
        <v>0</v>
      </c>
      <c r="DG101">
        <f>ROUND(ROUND(AF101,2)*CX101,2)</f>
        <v>0</v>
      </c>
      <c r="DH101">
        <f t="shared" ref="DH101:DH107" si="71">ROUND(ROUND(AG101*AK101,2)*CX101,2)</f>
        <v>0</v>
      </c>
      <c r="DI101">
        <f t="shared" ref="DI101:DI120" si="72">ROUND(ROUND(AH101,2)*CX101,2)</f>
        <v>0</v>
      </c>
      <c r="DJ101">
        <f>DI101</f>
        <v>0</v>
      </c>
      <c r="DK101">
        <v>0</v>
      </c>
      <c r="DL101" t="s">
        <v>3</v>
      </c>
      <c r="DM101">
        <v>0</v>
      </c>
      <c r="DN101" t="s">
        <v>3</v>
      </c>
      <c r="DO101">
        <v>0</v>
      </c>
    </row>
    <row r="102" spans="1:119" x14ac:dyDescent="0.2">
      <c r="A102">
        <f>ROW(Source!A99)</f>
        <v>99</v>
      </c>
      <c r="B102">
        <v>145262827</v>
      </c>
      <c r="C102">
        <v>145263250</v>
      </c>
      <c r="D102">
        <v>140922906</v>
      </c>
      <c r="E102">
        <v>1</v>
      </c>
      <c r="F102">
        <v>1</v>
      </c>
      <c r="G102">
        <v>1</v>
      </c>
      <c r="H102">
        <v>2</v>
      </c>
      <c r="I102" t="s">
        <v>433</v>
      </c>
      <c r="J102" t="s">
        <v>434</v>
      </c>
      <c r="K102" t="s">
        <v>435</v>
      </c>
      <c r="L102">
        <v>1367</v>
      </c>
      <c r="N102">
        <v>1011</v>
      </c>
      <c r="O102" t="s">
        <v>378</v>
      </c>
      <c r="P102" t="s">
        <v>378</v>
      </c>
      <c r="Q102">
        <v>1</v>
      </c>
      <c r="W102">
        <v>0</v>
      </c>
      <c r="X102">
        <v>-163180553</v>
      </c>
      <c r="Y102">
        <f t="shared" si="68"/>
        <v>0.125</v>
      </c>
      <c r="AA102">
        <v>0</v>
      </c>
      <c r="AB102">
        <v>1385.16</v>
      </c>
      <c r="AC102">
        <v>452.27</v>
      </c>
      <c r="AD102">
        <v>0</v>
      </c>
      <c r="AE102">
        <v>0</v>
      </c>
      <c r="AF102">
        <v>120.24</v>
      </c>
      <c r="AG102">
        <v>15.42</v>
      </c>
      <c r="AH102">
        <v>0</v>
      </c>
      <c r="AI102">
        <v>1</v>
      </c>
      <c r="AJ102">
        <v>11.52</v>
      </c>
      <c r="AK102">
        <v>29.33</v>
      </c>
      <c r="AL102">
        <v>1</v>
      </c>
      <c r="AM102">
        <v>4</v>
      </c>
      <c r="AN102">
        <v>0</v>
      </c>
      <c r="AO102">
        <v>1</v>
      </c>
      <c r="AP102">
        <v>1</v>
      </c>
      <c r="AQ102">
        <v>0</v>
      </c>
      <c r="AR102">
        <v>0</v>
      </c>
      <c r="AS102" t="s">
        <v>3</v>
      </c>
      <c r="AT102">
        <v>0.1</v>
      </c>
      <c r="AU102" t="s">
        <v>148</v>
      </c>
      <c r="AV102">
        <v>0</v>
      </c>
      <c r="AW102">
        <v>2</v>
      </c>
      <c r="AX102">
        <v>145263274</v>
      </c>
      <c r="AY102">
        <v>1</v>
      </c>
      <c r="AZ102">
        <v>0</v>
      </c>
      <c r="BA102">
        <v>113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ROUND(Y102*Source!I99,9)</f>
        <v>7.5220000000000002</v>
      </c>
      <c r="CY102">
        <f t="shared" ref="CY102:CY107" si="73">AB102</f>
        <v>1385.16</v>
      </c>
      <c r="CZ102">
        <f t="shared" ref="CZ102:CZ107" si="74">AF102</f>
        <v>120.24</v>
      </c>
      <c r="DA102">
        <f t="shared" ref="DA102:DA107" si="75">AJ102</f>
        <v>11.52</v>
      </c>
      <c r="DB102">
        <f t="shared" si="69"/>
        <v>15.03</v>
      </c>
      <c r="DC102">
        <f t="shared" si="70"/>
        <v>1.93</v>
      </c>
      <c r="DD102" t="s">
        <v>3</v>
      </c>
      <c r="DE102" t="s">
        <v>3</v>
      </c>
      <c r="DF102">
        <f t="shared" si="67"/>
        <v>0</v>
      </c>
      <c r="DG102">
        <f t="shared" ref="DG102:DG107" si="76">ROUND(ROUND(AF102*AJ102,2)*CX102,2)</f>
        <v>10419.17</v>
      </c>
      <c r="DH102">
        <f t="shared" si="71"/>
        <v>3401.97</v>
      </c>
      <c r="DI102">
        <f t="shared" si="72"/>
        <v>0</v>
      </c>
      <c r="DJ102">
        <f t="shared" ref="DJ102:DJ107" si="77">DG102</f>
        <v>10419.17</v>
      </c>
      <c r="DK102">
        <v>0</v>
      </c>
      <c r="DL102" t="s">
        <v>3</v>
      </c>
      <c r="DM102">
        <v>0</v>
      </c>
      <c r="DN102" t="s">
        <v>3</v>
      </c>
      <c r="DO102">
        <v>0</v>
      </c>
    </row>
    <row r="103" spans="1:119" x14ac:dyDescent="0.2">
      <c r="A103">
        <f>ROW(Source!A99)</f>
        <v>99</v>
      </c>
      <c r="B103">
        <v>145262827</v>
      </c>
      <c r="C103">
        <v>145263250</v>
      </c>
      <c r="D103">
        <v>140922951</v>
      </c>
      <c r="E103">
        <v>1</v>
      </c>
      <c r="F103">
        <v>1</v>
      </c>
      <c r="G103">
        <v>1</v>
      </c>
      <c r="H103">
        <v>2</v>
      </c>
      <c r="I103" t="s">
        <v>436</v>
      </c>
      <c r="J103" t="s">
        <v>437</v>
      </c>
      <c r="K103" t="s">
        <v>438</v>
      </c>
      <c r="L103">
        <v>1367</v>
      </c>
      <c r="N103">
        <v>1011</v>
      </c>
      <c r="O103" t="s">
        <v>378</v>
      </c>
      <c r="P103" t="s">
        <v>378</v>
      </c>
      <c r="Q103">
        <v>1</v>
      </c>
      <c r="W103">
        <v>0</v>
      </c>
      <c r="X103">
        <v>-430484415</v>
      </c>
      <c r="Y103">
        <f t="shared" si="68"/>
        <v>0.16250000000000001</v>
      </c>
      <c r="AA103">
        <v>0</v>
      </c>
      <c r="AB103">
        <v>1329.41</v>
      </c>
      <c r="AC103">
        <v>395.96</v>
      </c>
      <c r="AD103">
        <v>0</v>
      </c>
      <c r="AE103">
        <v>0</v>
      </c>
      <c r="AF103">
        <v>115.4</v>
      </c>
      <c r="AG103">
        <v>13.5</v>
      </c>
      <c r="AH103">
        <v>0</v>
      </c>
      <c r="AI103">
        <v>1</v>
      </c>
      <c r="AJ103">
        <v>11.52</v>
      </c>
      <c r="AK103">
        <v>29.33</v>
      </c>
      <c r="AL103">
        <v>1</v>
      </c>
      <c r="AM103">
        <v>4</v>
      </c>
      <c r="AN103">
        <v>0</v>
      </c>
      <c r="AO103">
        <v>1</v>
      </c>
      <c r="AP103">
        <v>1</v>
      </c>
      <c r="AQ103">
        <v>0</v>
      </c>
      <c r="AR103">
        <v>0</v>
      </c>
      <c r="AS103" t="s">
        <v>3</v>
      </c>
      <c r="AT103">
        <v>0.13</v>
      </c>
      <c r="AU103" t="s">
        <v>148</v>
      </c>
      <c r="AV103">
        <v>0</v>
      </c>
      <c r="AW103">
        <v>2</v>
      </c>
      <c r="AX103">
        <v>145263275</v>
      </c>
      <c r="AY103">
        <v>1</v>
      </c>
      <c r="AZ103">
        <v>0</v>
      </c>
      <c r="BA103">
        <v>114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ROUND(Y103*Source!I99,9)</f>
        <v>9.7786000000000008</v>
      </c>
      <c r="CY103">
        <f t="shared" si="73"/>
        <v>1329.41</v>
      </c>
      <c r="CZ103">
        <f t="shared" si="74"/>
        <v>115.4</v>
      </c>
      <c r="DA103">
        <f t="shared" si="75"/>
        <v>11.52</v>
      </c>
      <c r="DB103">
        <f t="shared" si="69"/>
        <v>18.75</v>
      </c>
      <c r="DC103">
        <f t="shared" si="70"/>
        <v>2.2000000000000002</v>
      </c>
      <c r="DD103" t="s">
        <v>3</v>
      </c>
      <c r="DE103" t="s">
        <v>3</v>
      </c>
      <c r="DF103">
        <f t="shared" si="67"/>
        <v>0</v>
      </c>
      <c r="DG103">
        <f t="shared" si="76"/>
        <v>12999.77</v>
      </c>
      <c r="DH103">
        <f t="shared" si="71"/>
        <v>3871.93</v>
      </c>
      <c r="DI103">
        <f t="shared" si="72"/>
        <v>0</v>
      </c>
      <c r="DJ103">
        <f t="shared" si="77"/>
        <v>12999.77</v>
      </c>
      <c r="DK103">
        <v>0</v>
      </c>
      <c r="DL103" t="s">
        <v>3</v>
      </c>
      <c r="DM103">
        <v>0</v>
      </c>
      <c r="DN103" t="s">
        <v>3</v>
      </c>
      <c r="DO103">
        <v>0</v>
      </c>
    </row>
    <row r="104" spans="1:119" x14ac:dyDescent="0.2">
      <c r="A104">
        <f>ROW(Source!A99)</f>
        <v>99</v>
      </c>
      <c r="B104">
        <v>145262827</v>
      </c>
      <c r="C104">
        <v>145263250</v>
      </c>
      <c r="D104">
        <v>140922958</v>
      </c>
      <c r="E104">
        <v>1</v>
      </c>
      <c r="F104">
        <v>1</v>
      </c>
      <c r="G104">
        <v>1</v>
      </c>
      <c r="H104">
        <v>2</v>
      </c>
      <c r="I104" t="s">
        <v>439</v>
      </c>
      <c r="J104" t="s">
        <v>440</v>
      </c>
      <c r="K104" t="s">
        <v>441</v>
      </c>
      <c r="L104">
        <v>1367</v>
      </c>
      <c r="N104">
        <v>1011</v>
      </c>
      <c r="O104" t="s">
        <v>378</v>
      </c>
      <c r="P104" t="s">
        <v>378</v>
      </c>
      <c r="Q104">
        <v>1</v>
      </c>
      <c r="W104">
        <v>0</v>
      </c>
      <c r="X104">
        <v>-1731906086</v>
      </c>
      <c r="Y104">
        <f t="shared" si="68"/>
        <v>1.6625000000000001</v>
      </c>
      <c r="AA104">
        <v>0</v>
      </c>
      <c r="AB104">
        <v>2022.45</v>
      </c>
      <c r="AC104">
        <v>422.35</v>
      </c>
      <c r="AD104">
        <v>0</v>
      </c>
      <c r="AE104">
        <v>0</v>
      </c>
      <c r="AF104">
        <v>175.56</v>
      </c>
      <c r="AG104">
        <v>14.4</v>
      </c>
      <c r="AH104">
        <v>0</v>
      </c>
      <c r="AI104">
        <v>1</v>
      </c>
      <c r="AJ104">
        <v>11.52</v>
      </c>
      <c r="AK104">
        <v>29.33</v>
      </c>
      <c r="AL104">
        <v>1</v>
      </c>
      <c r="AM104">
        <v>4</v>
      </c>
      <c r="AN104">
        <v>0</v>
      </c>
      <c r="AO104">
        <v>1</v>
      </c>
      <c r="AP104">
        <v>1</v>
      </c>
      <c r="AQ104">
        <v>0</v>
      </c>
      <c r="AR104">
        <v>0</v>
      </c>
      <c r="AS104" t="s">
        <v>3</v>
      </c>
      <c r="AT104">
        <v>1.33</v>
      </c>
      <c r="AU104" t="s">
        <v>148</v>
      </c>
      <c r="AV104">
        <v>0</v>
      </c>
      <c r="AW104">
        <v>2</v>
      </c>
      <c r="AX104">
        <v>145263276</v>
      </c>
      <c r="AY104">
        <v>1</v>
      </c>
      <c r="AZ104">
        <v>0</v>
      </c>
      <c r="BA104">
        <v>115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ROUND(Y104*Source!I99,9)</f>
        <v>100.04259999999999</v>
      </c>
      <c r="CY104">
        <f t="shared" si="73"/>
        <v>2022.45</v>
      </c>
      <c r="CZ104">
        <f t="shared" si="74"/>
        <v>175.56</v>
      </c>
      <c r="DA104">
        <f t="shared" si="75"/>
        <v>11.52</v>
      </c>
      <c r="DB104">
        <f t="shared" si="69"/>
        <v>291.86</v>
      </c>
      <c r="DC104">
        <f t="shared" si="70"/>
        <v>23.94</v>
      </c>
      <c r="DD104" t="s">
        <v>3</v>
      </c>
      <c r="DE104" t="s">
        <v>3</v>
      </c>
      <c r="DF104">
        <f t="shared" si="67"/>
        <v>0</v>
      </c>
      <c r="DG104">
        <f t="shared" si="76"/>
        <v>202331.16</v>
      </c>
      <c r="DH104">
        <f t="shared" si="71"/>
        <v>42252.99</v>
      </c>
      <c r="DI104">
        <f t="shared" si="72"/>
        <v>0</v>
      </c>
      <c r="DJ104">
        <f t="shared" si="77"/>
        <v>202331.16</v>
      </c>
      <c r="DK104">
        <v>0</v>
      </c>
      <c r="DL104" t="s">
        <v>3</v>
      </c>
      <c r="DM104">
        <v>0</v>
      </c>
      <c r="DN104" t="s">
        <v>3</v>
      </c>
      <c r="DO104">
        <v>0</v>
      </c>
    </row>
    <row r="105" spans="1:119" x14ac:dyDescent="0.2">
      <c r="A105">
        <f>ROW(Source!A99)</f>
        <v>99</v>
      </c>
      <c r="B105">
        <v>145262827</v>
      </c>
      <c r="C105">
        <v>145263250</v>
      </c>
      <c r="D105">
        <v>140923885</v>
      </c>
      <c r="E105">
        <v>1</v>
      </c>
      <c r="F105">
        <v>1</v>
      </c>
      <c r="G105">
        <v>1</v>
      </c>
      <c r="H105">
        <v>2</v>
      </c>
      <c r="I105" t="s">
        <v>386</v>
      </c>
      <c r="J105" t="s">
        <v>387</v>
      </c>
      <c r="K105" t="s">
        <v>388</v>
      </c>
      <c r="L105">
        <v>1367</v>
      </c>
      <c r="N105">
        <v>1011</v>
      </c>
      <c r="O105" t="s">
        <v>378</v>
      </c>
      <c r="P105" t="s">
        <v>378</v>
      </c>
      <c r="Q105">
        <v>1</v>
      </c>
      <c r="W105">
        <v>0</v>
      </c>
      <c r="X105">
        <v>509054691</v>
      </c>
      <c r="Y105">
        <f t="shared" si="68"/>
        <v>0.23749999999999999</v>
      </c>
      <c r="AA105">
        <v>0</v>
      </c>
      <c r="AB105">
        <v>756.98</v>
      </c>
      <c r="AC105">
        <v>340.23</v>
      </c>
      <c r="AD105">
        <v>0</v>
      </c>
      <c r="AE105">
        <v>0</v>
      </c>
      <c r="AF105">
        <v>65.709999999999994</v>
      </c>
      <c r="AG105">
        <v>11.6</v>
      </c>
      <c r="AH105">
        <v>0</v>
      </c>
      <c r="AI105">
        <v>1</v>
      </c>
      <c r="AJ105">
        <v>11.52</v>
      </c>
      <c r="AK105">
        <v>29.33</v>
      </c>
      <c r="AL105">
        <v>1</v>
      </c>
      <c r="AM105">
        <v>4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</v>
      </c>
      <c r="AT105">
        <v>0.19</v>
      </c>
      <c r="AU105" t="s">
        <v>148</v>
      </c>
      <c r="AV105">
        <v>0</v>
      </c>
      <c r="AW105">
        <v>2</v>
      </c>
      <c r="AX105">
        <v>145263277</v>
      </c>
      <c r="AY105">
        <v>1</v>
      </c>
      <c r="AZ105">
        <v>0</v>
      </c>
      <c r="BA105">
        <v>116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ROUND(Y105*Source!I99,9)</f>
        <v>14.2918</v>
      </c>
      <c r="CY105">
        <f t="shared" si="73"/>
        <v>756.98</v>
      </c>
      <c r="CZ105">
        <f t="shared" si="74"/>
        <v>65.709999999999994</v>
      </c>
      <c r="DA105">
        <f t="shared" si="75"/>
        <v>11.52</v>
      </c>
      <c r="DB105">
        <f t="shared" si="69"/>
        <v>15.6</v>
      </c>
      <c r="DC105">
        <f t="shared" si="70"/>
        <v>2.75</v>
      </c>
      <c r="DD105" t="s">
        <v>3</v>
      </c>
      <c r="DE105" t="s">
        <v>3</v>
      </c>
      <c r="DF105">
        <f t="shared" si="67"/>
        <v>0</v>
      </c>
      <c r="DG105">
        <f t="shared" si="76"/>
        <v>10818.61</v>
      </c>
      <c r="DH105">
        <f t="shared" si="71"/>
        <v>4862.5</v>
      </c>
      <c r="DI105">
        <f t="shared" si="72"/>
        <v>0</v>
      </c>
      <c r="DJ105">
        <f t="shared" si="77"/>
        <v>10818.61</v>
      </c>
      <c r="DK105">
        <v>0</v>
      </c>
      <c r="DL105" t="s">
        <v>3</v>
      </c>
      <c r="DM105">
        <v>0</v>
      </c>
      <c r="DN105" t="s">
        <v>3</v>
      </c>
      <c r="DO105">
        <v>0</v>
      </c>
    </row>
    <row r="106" spans="1:119" x14ac:dyDescent="0.2">
      <c r="A106">
        <f>ROW(Source!A99)</f>
        <v>99</v>
      </c>
      <c r="B106">
        <v>145262827</v>
      </c>
      <c r="C106">
        <v>145263250</v>
      </c>
      <c r="D106">
        <v>140924041</v>
      </c>
      <c r="E106">
        <v>1</v>
      </c>
      <c r="F106">
        <v>1</v>
      </c>
      <c r="G106">
        <v>1</v>
      </c>
      <c r="H106">
        <v>2</v>
      </c>
      <c r="I106" t="s">
        <v>445</v>
      </c>
      <c r="J106" t="s">
        <v>446</v>
      </c>
      <c r="K106" t="s">
        <v>447</v>
      </c>
      <c r="L106">
        <v>1367</v>
      </c>
      <c r="N106">
        <v>1011</v>
      </c>
      <c r="O106" t="s">
        <v>378</v>
      </c>
      <c r="P106" t="s">
        <v>378</v>
      </c>
      <c r="Q106">
        <v>1</v>
      </c>
      <c r="W106">
        <v>0</v>
      </c>
      <c r="X106">
        <v>2077867240</v>
      </c>
      <c r="Y106">
        <f t="shared" si="68"/>
        <v>0.83750000000000002</v>
      </c>
      <c r="AA106">
        <v>0</v>
      </c>
      <c r="AB106">
        <v>13.82</v>
      </c>
      <c r="AC106">
        <v>0</v>
      </c>
      <c r="AD106">
        <v>0</v>
      </c>
      <c r="AE106">
        <v>0</v>
      </c>
      <c r="AF106">
        <v>1.2</v>
      </c>
      <c r="AG106">
        <v>0</v>
      </c>
      <c r="AH106">
        <v>0</v>
      </c>
      <c r="AI106">
        <v>1</v>
      </c>
      <c r="AJ106">
        <v>11.52</v>
      </c>
      <c r="AK106">
        <v>29.33</v>
      </c>
      <c r="AL106">
        <v>1</v>
      </c>
      <c r="AM106">
        <v>4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</v>
      </c>
      <c r="AT106">
        <v>0.67</v>
      </c>
      <c r="AU106" t="s">
        <v>148</v>
      </c>
      <c r="AV106">
        <v>0</v>
      </c>
      <c r="AW106">
        <v>2</v>
      </c>
      <c r="AX106">
        <v>145263278</v>
      </c>
      <c r="AY106">
        <v>1</v>
      </c>
      <c r="AZ106">
        <v>0</v>
      </c>
      <c r="BA106">
        <v>117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ROUND(Y106*Source!I99,9)</f>
        <v>50.397399999999998</v>
      </c>
      <c r="CY106">
        <f t="shared" si="73"/>
        <v>13.82</v>
      </c>
      <c r="CZ106">
        <f t="shared" si="74"/>
        <v>1.2</v>
      </c>
      <c r="DA106">
        <f t="shared" si="75"/>
        <v>11.52</v>
      </c>
      <c r="DB106">
        <f t="shared" si="69"/>
        <v>1</v>
      </c>
      <c r="DC106">
        <f t="shared" si="70"/>
        <v>0</v>
      </c>
      <c r="DD106" t="s">
        <v>3</v>
      </c>
      <c r="DE106" t="s">
        <v>3</v>
      </c>
      <c r="DF106">
        <f t="shared" si="67"/>
        <v>0</v>
      </c>
      <c r="DG106">
        <f t="shared" si="76"/>
        <v>696.49</v>
      </c>
      <c r="DH106">
        <f t="shared" si="71"/>
        <v>0</v>
      </c>
      <c r="DI106">
        <f t="shared" si="72"/>
        <v>0</v>
      </c>
      <c r="DJ106">
        <f t="shared" si="77"/>
        <v>696.49</v>
      </c>
      <c r="DK106">
        <v>0</v>
      </c>
      <c r="DL106" t="s">
        <v>3</v>
      </c>
      <c r="DM106">
        <v>0</v>
      </c>
      <c r="DN106" t="s">
        <v>3</v>
      </c>
      <c r="DO106">
        <v>0</v>
      </c>
    </row>
    <row r="107" spans="1:119" x14ac:dyDescent="0.2">
      <c r="A107">
        <f>ROW(Source!A99)</f>
        <v>99</v>
      </c>
      <c r="B107">
        <v>145262827</v>
      </c>
      <c r="C107">
        <v>145263250</v>
      </c>
      <c r="D107">
        <v>140924084</v>
      </c>
      <c r="E107">
        <v>1</v>
      </c>
      <c r="F107">
        <v>1</v>
      </c>
      <c r="G107">
        <v>1</v>
      </c>
      <c r="H107">
        <v>2</v>
      </c>
      <c r="I107" t="s">
        <v>448</v>
      </c>
      <c r="J107" t="s">
        <v>449</v>
      </c>
      <c r="K107" t="s">
        <v>450</v>
      </c>
      <c r="L107">
        <v>1367</v>
      </c>
      <c r="N107">
        <v>1011</v>
      </c>
      <c r="O107" t="s">
        <v>378</v>
      </c>
      <c r="P107" t="s">
        <v>378</v>
      </c>
      <c r="Q107">
        <v>1</v>
      </c>
      <c r="W107">
        <v>0</v>
      </c>
      <c r="X107">
        <v>-1866313122</v>
      </c>
      <c r="Y107">
        <f t="shared" si="68"/>
        <v>0.72499999999999998</v>
      </c>
      <c r="AA107">
        <v>0</v>
      </c>
      <c r="AB107">
        <v>141.81</v>
      </c>
      <c r="AC107">
        <v>0</v>
      </c>
      <c r="AD107">
        <v>0</v>
      </c>
      <c r="AE107">
        <v>0</v>
      </c>
      <c r="AF107">
        <v>12.31</v>
      </c>
      <c r="AG107">
        <v>0</v>
      </c>
      <c r="AH107">
        <v>0</v>
      </c>
      <c r="AI107">
        <v>1</v>
      </c>
      <c r="AJ107">
        <v>11.52</v>
      </c>
      <c r="AK107">
        <v>29.33</v>
      </c>
      <c r="AL107">
        <v>1</v>
      </c>
      <c r="AM107">
        <v>4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</v>
      </c>
      <c r="AT107">
        <v>0.57999999999999996</v>
      </c>
      <c r="AU107" t="s">
        <v>148</v>
      </c>
      <c r="AV107">
        <v>0</v>
      </c>
      <c r="AW107">
        <v>2</v>
      </c>
      <c r="AX107">
        <v>145263279</v>
      </c>
      <c r="AY107">
        <v>1</v>
      </c>
      <c r="AZ107">
        <v>0</v>
      </c>
      <c r="BA107">
        <v>118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ROUND(Y107*Source!I99,9)</f>
        <v>43.627600000000001</v>
      </c>
      <c r="CY107">
        <f t="shared" si="73"/>
        <v>141.81</v>
      </c>
      <c r="CZ107">
        <f t="shared" si="74"/>
        <v>12.31</v>
      </c>
      <c r="DA107">
        <f t="shared" si="75"/>
        <v>11.52</v>
      </c>
      <c r="DB107">
        <f t="shared" si="69"/>
        <v>8.93</v>
      </c>
      <c r="DC107">
        <f t="shared" si="70"/>
        <v>0</v>
      </c>
      <c r="DD107" t="s">
        <v>3</v>
      </c>
      <c r="DE107" t="s">
        <v>3</v>
      </c>
      <c r="DF107">
        <f t="shared" si="67"/>
        <v>0</v>
      </c>
      <c r="DG107">
        <f t="shared" si="76"/>
        <v>6186.83</v>
      </c>
      <c r="DH107">
        <f t="shared" si="71"/>
        <v>0</v>
      </c>
      <c r="DI107">
        <f t="shared" si="72"/>
        <v>0</v>
      </c>
      <c r="DJ107">
        <f t="shared" si="77"/>
        <v>6186.83</v>
      </c>
      <c r="DK107">
        <v>0</v>
      </c>
      <c r="DL107" t="s">
        <v>3</v>
      </c>
      <c r="DM107">
        <v>0</v>
      </c>
      <c r="DN107" t="s">
        <v>3</v>
      </c>
      <c r="DO107">
        <v>0</v>
      </c>
    </row>
    <row r="108" spans="1:119" x14ac:dyDescent="0.2">
      <c r="A108">
        <f>ROW(Source!A99)</f>
        <v>99</v>
      </c>
      <c r="B108">
        <v>145262827</v>
      </c>
      <c r="C108">
        <v>145263250</v>
      </c>
      <c r="D108">
        <v>140771005</v>
      </c>
      <c r="E108">
        <v>1</v>
      </c>
      <c r="F108">
        <v>1</v>
      </c>
      <c r="G108">
        <v>1</v>
      </c>
      <c r="H108">
        <v>3</v>
      </c>
      <c r="I108" t="s">
        <v>451</v>
      </c>
      <c r="J108" t="s">
        <v>452</v>
      </c>
      <c r="K108" t="s">
        <v>453</v>
      </c>
      <c r="L108">
        <v>1339</v>
      </c>
      <c r="N108">
        <v>1007</v>
      </c>
      <c r="O108" t="s">
        <v>404</v>
      </c>
      <c r="P108" t="s">
        <v>404</v>
      </c>
      <c r="Q108">
        <v>1</v>
      </c>
      <c r="W108">
        <v>0</v>
      </c>
      <c r="X108">
        <v>-1761807714</v>
      </c>
      <c r="Y108">
        <f t="shared" ref="Y108:Y132" si="78">AT108</f>
        <v>0.5</v>
      </c>
      <c r="AA108">
        <v>52.75</v>
      </c>
      <c r="AB108">
        <v>0</v>
      </c>
      <c r="AC108">
        <v>0</v>
      </c>
      <c r="AD108">
        <v>0</v>
      </c>
      <c r="AE108">
        <v>6.22</v>
      </c>
      <c r="AF108">
        <v>0</v>
      </c>
      <c r="AG108">
        <v>0</v>
      </c>
      <c r="AH108">
        <v>0</v>
      </c>
      <c r="AI108">
        <v>8.48</v>
      </c>
      <c r="AJ108">
        <v>1</v>
      </c>
      <c r="AK108">
        <v>1</v>
      </c>
      <c r="AL108">
        <v>1</v>
      </c>
      <c r="AM108">
        <v>4</v>
      </c>
      <c r="AN108">
        <v>0</v>
      </c>
      <c r="AO108">
        <v>1</v>
      </c>
      <c r="AP108">
        <v>0</v>
      </c>
      <c r="AQ108">
        <v>0</v>
      </c>
      <c r="AR108">
        <v>0</v>
      </c>
      <c r="AS108" t="s">
        <v>3</v>
      </c>
      <c r="AT108">
        <v>0.5</v>
      </c>
      <c r="AU108" t="s">
        <v>3</v>
      </c>
      <c r="AV108">
        <v>0</v>
      </c>
      <c r="AW108">
        <v>2</v>
      </c>
      <c r="AX108">
        <v>145263280</v>
      </c>
      <c r="AY108">
        <v>1</v>
      </c>
      <c r="AZ108">
        <v>0</v>
      </c>
      <c r="BA108">
        <v>119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ROUND(Y108*Source!I99,9)</f>
        <v>30.088000000000001</v>
      </c>
      <c r="CY108">
        <f t="shared" ref="CY108:CY120" si="79">AA108</f>
        <v>52.75</v>
      </c>
      <c r="CZ108">
        <f t="shared" ref="CZ108:CZ120" si="80">AE108</f>
        <v>6.22</v>
      </c>
      <c r="DA108">
        <f t="shared" ref="DA108:DA120" si="81">AI108</f>
        <v>8.48</v>
      </c>
      <c r="DB108">
        <f t="shared" ref="DB108:DB132" si="82">ROUND(ROUND(AT108*CZ108,2),2)</f>
        <v>3.11</v>
      </c>
      <c r="DC108">
        <f t="shared" ref="DC108:DC132" si="83">ROUND(ROUND(AT108*AG108,2),2)</f>
        <v>0</v>
      </c>
      <c r="DD108" t="s">
        <v>3</v>
      </c>
      <c r="DE108" t="s">
        <v>3</v>
      </c>
      <c r="DF108">
        <f t="shared" ref="DF108:DF120" si="84">ROUND(ROUND(AE108*AI108,2)*CX108,2)</f>
        <v>1587.14</v>
      </c>
      <c r="DG108">
        <f t="shared" ref="DG108:DG122" si="85">ROUND(ROUND(AF108,2)*CX108,2)</f>
        <v>0</v>
      </c>
      <c r="DH108">
        <f t="shared" ref="DH108:DH121" si="86">ROUND(ROUND(AG108,2)*CX108,2)</f>
        <v>0</v>
      </c>
      <c r="DI108">
        <f t="shared" si="72"/>
        <v>0</v>
      </c>
      <c r="DJ108">
        <f t="shared" ref="DJ108:DJ120" si="87">DF108</f>
        <v>1587.14</v>
      </c>
      <c r="DK108">
        <v>0</v>
      </c>
      <c r="DL108" t="s">
        <v>3</v>
      </c>
      <c r="DM108">
        <v>0</v>
      </c>
      <c r="DN108" t="s">
        <v>3</v>
      </c>
      <c r="DO108">
        <v>0</v>
      </c>
    </row>
    <row r="109" spans="1:119" x14ac:dyDescent="0.2">
      <c r="A109">
        <f>ROW(Source!A99)</f>
        <v>99</v>
      </c>
      <c r="B109">
        <v>145262827</v>
      </c>
      <c r="C109">
        <v>145263250</v>
      </c>
      <c r="D109">
        <v>140771011</v>
      </c>
      <c r="E109">
        <v>1</v>
      </c>
      <c r="F109">
        <v>1</v>
      </c>
      <c r="G109">
        <v>1</v>
      </c>
      <c r="H109">
        <v>3</v>
      </c>
      <c r="I109" t="s">
        <v>454</v>
      </c>
      <c r="J109" t="s">
        <v>455</v>
      </c>
      <c r="K109" t="s">
        <v>456</v>
      </c>
      <c r="L109">
        <v>1346</v>
      </c>
      <c r="N109">
        <v>1009</v>
      </c>
      <c r="O109" t="s">
        <v>457</v>
      </c>
      <c r="P109" t="s">
        <v>457</v>
      </c>
      <c r="Q109">
        <v>1</v>
      </c>
      <c r="W109">
        <v>0</v>
      </c>
      <c r="X109">
        <v>-2118006079</v>
      </c>
      <c r="Y109">
        <f t="shared" si="78"/>
        <v>0.15</v>
      </c>
      <c r="AA109">
        <v>51.64</v>
      </c>
      <c r="AB109">
        <v>0</v>
      </c>
      <c r="AC109">
        <v>0</v>
      </c>
      <c r="AD109">
        <v>0</v>
      </c>
      <c r="AE109">
        <v>6.09</v>
      </c>
      <c r="AF109">
        <v>0</v>
      </c>
      <c r="AG109">
        <v>0</v>
      </c>
      <c r="AH109">
        <v>0</v>
      </c>
      <c r="AI109">
        <v>8.48</v>
      </c>
      <c r="AJ109">
        <v>1</v>
      </c>
      <c r="AK109">
        <v>1</v>
      </c>
      <c r="AL109">
        <v>1</v>
      </c>
      <c r="AM109">
        <v>4</v>
      </c>
      <c r="AN109">
        <v>0</v>
      </c>
      <c r="AO109">
        <v>1</v>
      </c>
      <c r="AP109">
        <v>0</v>
      </c>
      <c r="AQ109">
        <v>0</v>
      </c>
      <c r="AR109">
        <v>0</v>
      </c>
      <c r="AS109" t="s">
        <v>3</v>
      </c>
      <c r="AT109">
        <v>0.15</v>
      </c>
      <c r="AU109" t="s">
        <v>3</v>
      </c>
      <c r="AV109">
        <v>0</v>
      </c>
      <c r="AW109">
        <v>2</v>
      </c>
      <c r="AX109">
        <v>145263281</v>
      </c>
      <c r="AY109">
        <v>1</v>
      </c>
      <c r="AZ109">
        <v>0</v>
      </c>
      <c r="BA109">
        <v>120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ROUND(Y109*Source!I99,9)</f>
        <v>9.0264000000000006</v>
      </c>
      <c r="CY109">
        <f t="shared" si="79"/>
        <v>51.64</v>
      </c>
      <c r="CZ109">
        <f t="shared" si="80"/>
        <v>6.09</v>
      </c>
      <c r="DA109">
        <f t="shared" si="81"/>
        <v>8.48</v>
      </c>
      <c r="DB109">
        <f t="shared" si="82"/>
        <v>0.91</v>
      </c>
      <c r="DC109">
        <f t="shared" si="83"/>
        <v>0</v>
      </c>
      <c r="DD109" t="s">
        <v>3</v>
      </c>
      <c r="DE109" t="s">
        <v>3</v>
      </c>
      <c r="DF109">
        <f t="shared" si="84"/>
        <v>466.12</v>
      </c>
      <c r="DG109">
        <f t="shared" si="85"/>
        <v>0</v>
      </c>
      <c r="DH109">
        <f t="shared" si="86"/>
        <v>0</v>
      </c>
      <c r="DI109">
        <f t="shared" si="72"/>
        <v>0</v>
      </c>
      <c r="DJ109">
        <f t="shared" si="87"/>
        <v>466.12</v>
      </c>
      <c r="DK109">
        <v>0</v>
      </c>
      <c r="DL109" t="s">
        <v>3</v>
      </c>
      <c r="DM109">
        <v>0</v>
      </c>
      <c r="DN109" t="s">
        <v>3</v>
      </c>
      <c r="DO109">
        <v>0</v>
      </c>
    </row>
    <row r="110" spans="1:119" x14ac:dyDescent="0.2">
      <c r="A110">
        <f>ROW(Source!A99)</f>
        <v>99</v>
      </c>
      <c r="B110">
        <v>145262827</v>
      </c>
      <c r="C110">
        <v>145263250</v>
      </c>
      <c r="D110">
        <v>140773776</v>
      </c>
      <c r="E110">
        <v>1</v>
      </c>
      <c r="F110">
        <v>1</v>
      </c>
      <c r="G110">
        <v>1</v>
      </c>
      <c r="H110">
        <v>3</v>
      </c>
      <c r="I110" t="s">
        <v>458</v>
      </c>
      <c r="J110" t="s">
        <v>459</v>
      </c>
      <c r="K110" t="s">
        <v>460</v>
      </c>
      <c r="L110">
        <v>1348</v>
      </c>
      <c r="N110">
        <v>1009</v>
      </c>
      <c r="O110" t="s">
        <v>206</v>
      </c>
      <c r="P110" t="s">
        <v>206</v>
      </c>
      <c r="Q110">
        <v>1000</v>
      </c>
      <c r="W110">
        <v>0</v>
      </c>
      <c r="X110">
        <v>1163323608</v>
      </c>
      <c r="Y110">
        <f t="shared" si="78"/>
        <v>2.5999999999999999E-3</v>
      </c>
      <c r="AA110">
        <v>87471.28</v>
      </c>
      <c r="AB110">
        <v>0</v>
      </c>
      <c r="AC110">
        <v>0</v>
      </c>
      <c r="AD110">
        <v>0</v>
      </c>
      <c r="AE110">
        <v>10315.01</v>
      </c>
      <c r="AF110">
        <v>0</v>
      </c>
      <c r="AG110">
        <v>0</v>
      </c>
      <c r="AH110">
        <v>0</v>
      </c>
      <c r="AI110">
        <v>8.48</v>
      </c>
      <c r="AJ110">
        <v>1</v>
      </c>
      <c r="AK110">
        <v>1</v>
      </c>
      <c r="AL110">
        <v>1</v>
      </c>
      <c r="AM110">
        <v>4</v>
      </c>
      <c r="AN110">
        <v>0</v>
      </c>
      <c r="AO110">
        <v>1</v>
      </c>
      <c r="AP110">
        <v>0</v>
      </c>
      <c r="AQ110">
        <v>0</v>
      </c>
      <c r="AR110">
        <v>0</v>
      </c>
      <c r="AS110" t="s">
        <v>3</v>
      </c>
      <c r="AT110">
        <v>2.5999999999999999E-3</v>
      </c>
      <c r="AU110" t="s">
        <v>3</v>
      </c>
      <c r="AV110">
        <v>0</v>
      </c>
      <c r="AW110">
        <v>2</v>
      </c>
      <c r="AX110">
        <v>145263282</v>
      </c>
      <c r="AY110">
        <v>1</v>
      </c>
      <c r="AZ110">
        <v>0</v>
      </c>
      <c r="BA110">
        <v>121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ROUND(Y110*Source!I99,9)</f>
        <v>0.1564576</v>
      </c>
      <c r="CY110">
        <f t="shared" si="79"/>
        <v>87471.28</v>
      </c>
      <c r="CZ110">
        <f t="shared" si="80"/>
        <v>10315.01</v>
      </c>
      <c r="DA110">
        <f t="shared" si="81"/>
        <v>8.48</v>
      </c>
      <c r="DB110">
        <f t="shared" si="82"/>
        <v>26.82</v>
      </c>
      <c r="DC110">
        <f t="shared" si="83"/>
        <v>0</v>
      </c>
      <c r="DD110" t="s">
        <v>3</v>
      </c>
      <c r="DE110" t="s">
        <v>3</v>
      </c>
      <c r="DF110">
        <f t="shared" si="84"/>
        <v>13685.55</v>
      </c>
      <c r="DG110">
        <f t="shared" si="85"/>
        <v>0</v>
      </c>
      <c r="DH110">
        <f t="shared" si="86"/>
        <v>0</v>
      </c>
      <c r="DI110">
        <f t="shared" si="72"/>
        <v>0</v>
      </c>
      <c r="DJ110">
        <f t="shared" si="87"/>
        <v>13685.55</v>
      </c>
      <c r="DK110">
        <v>0</v>
      </c>
      <c r="DL110" t="s">
        <v>3</v>
      </c>
      <c r="DM110">
        <v>0</v>
      </c>
      <c r="DN110" t="s">
        <v>3</v>
      </c>
      <c r="DO110">
        <v>0</v>
      </c>
    </row>
    <row r="111" spans="1:119" x14ac:dyDescent="0.2">
      <c r="A111">
        <f>ROW(Source!A99)</f>
        <v>99</v>
      </c>
      <c r="B111">
        <v>145262827</v>
      </c>
      <c r="C111">
        <v>145263250</v>
      </c>
      <c r="D111">
        <v>140775017</v>
      </c>
      <c r="E111">
        <v>1</v>
      </c>
      <c r="F111">
        <v>1</v>
      </c>
      <c r="G111">
        <v>1</v>
      </c>
      <c r="H111">
        <v>3</v>
      </c>
      <c r="I111" t="s">
        <v>461</v>
      </c>
      <c r="J111" t="s">
        <v>462</v>
      </c>
      <c r="K111" t="s">
        <v>463</v>
      </c>
      <c r="L111">
        <v>1346</v>
      </c>
      <c r="N111">
        <v>1009</v>
      </c>
      <c r="O111" t="s">
        <v>457</v>
      </c>
      <c r="P111" t="s">
        <v>457</v>
      </c>
      <c r="Q111">
        <v>1</v>
      </c>
      <c r="W111">
        <v>0</v>
      </c>
      <c r="X111">
        <v>-1864341761</v>
      </c>
      <c r="Y111">
        <f t="shared" si="78"/>
        <v>3</v>
      </c>
      <c r="AA111">
        <v>76.66</v>
      </c>
      <c r="AB111">
        <v>0</v>
      </c>
      <c r="AC111">
        <v>0</v>
      </c>
      <c r="AD111">
        <v>0</v>
      </c>
      <c r="AE111">
        <v>9.0399999999999991</v>
      </c>
      <c r="AF111">
        <v>0</v>
      </c>
      <c r="AG111">
        <v>0</v>
      </c>
      <c r="AH111">
        <v>0</v>
      </c>
      <c r="AI111">
        <v>8.48</v>
      </c>
      <c r="AJ111">
        <v>1</v>
      </c>
      <c r="AK111">
        <v>1</v>
      </c>
      <c r="AL111">
        <v>1</v>
      </c>
      <c r="AM111">
        <v>4</v>
      </c>
      <c r="AN111">
        <v>0</v>
      </c>
      <c r="AO111">
        <v>1</v>
      </c>
      <c r="AP111">
        <v>0</v>
      </c>
      <c r="AQ111">
        <v>0</v>
      </c>
      <c r="AR111">
        <v>0</v>
      </c>
      <c r="AS111" t="s">
        <v>3</v>
      </c>
      <c r="AT111">
        <v>3</v>
      </c>
      <c r="AU111" t="s">
        <v>3</v>
      </c>
      <c r="AV111">
        <v>0</v>
      </c>
      <c r="AW111">
        <v>2</v>
      </c>
      <c r="AX111">
        <v>145263283</v>
      </c>
      <c r="AY111">
        <v>1</v>
      </c>
      <c r="AZ111">
        <v>0</v>
      </c>
      <c r="BA111">
        <v>122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ROUND(Y111*Source!I99,9)</f>
        <v>180.52799999999999</v>
      </c>
      <c r="CY111">
        <f t="shared" si="79"/>
        <v>76.66</v>
      </c>
      <c r="CZ111">
        <f t="shared" si="80"/>
        <v>9.0399999999999991</v>
      </c>
      <c r="DA111">
        <f t="shared" si="81"/>
        <v>8.48</v>
      </c>
      <c r="DB111">
        <f t="shared" si="82"/>
        <v>27.12</v>
      </c>
      <c r="DC111">
        <f t="shared" si="83"/>
        <v>0</v>
      </c>
      <c r="DD111" t="s">
        <v>3</v>
      </c>
      <c r="DE111" t="s">
        <v>3</v>
      </c>
      <c r="DF111">
        <f t="shared" si="84"/>
        <v>13839.28</v>
      </c>
      <c r="DG111">
        <f t="shared" si="85"/>
        <v>0</v>
      </c>
      <c r="DH111">
        <f t="shared" si="86"/>
        <v>0</v>
      </c>
      <c r="DI111">
        <f t="shared" si="72"/>
        <v>0</v>
      </c>
      <c r="DJ111">
        <f t="shared" si="87"/>
        <v>13839.28</v>
      </c>
      <c r="DK111">
        <v>0</v>
      </c>
      <c r="DL111" t="s">
        <v>3</v>
      </c>
      <c r="DM111">
        <v>0</v>
      </c>
      <c r="DN111" t="s">
        <v>3</v>
      </c>
      <c r="DO111">
        <v>0</v>
      </c>
    </row>
    <row r="112" spans="1:119" x14ac:dyDescent="0.2">
      <c r="A112">
        <f>ROW(Source!A99)</f>
        <v>99</v>
      </c>
      <c r="B112">
        <v>145262827</v>
      </c>
      <c r="C112">
        <v>145263250</v>
      </c>
      <c r="D112">
        <v>140775118</v>
      </c>
      <c r="E112">
        <v>1</v>
      </c>
      <c r="F112">
        <v>1</v>
      </c>
      <c r="G112">
        <v>1</v>
      </c>
      <c r="H112">
        <v>3</v>
      </c>
      <c r="I112" t="s">
        <v>398</v>
      </c>
      <c r="J112" t="s">
        <v>399</v>
      </c>
      <c r="K112" t="s">
        <v>400</v>
      </c>
      <c r="L112">
        <v>1348</v>
      </c>
      <c r="N112">
        <v>1009</v>
      </c>
      <c r="O112" t="s">
        <v>206</v>
      </c>
      <c r="P112" t="s">
        <v>206</v>
      </c>
      <c r="Q112">
        <v>1000</v>
      </c>
      <c r="W112">
        <v>0</v>
      </c>
      <c r="X112">
        <v>-45966985</v>
      </c>
      <c r="Y112">
        <f t="shared" si="78"/>
        <v>1.0000000000000001E-5</v>
      </c>
      <c r="AA112">
        <v>101573.44</v>
      </c>
      <c r="AB112">
        <v>0</v>
      </c>
      <c r="AC112">
        <v>0</v>
      </c>
      <c r="AD112">
        <v>0</v>
      </c>
      <c r="AE112">
        <v>11978</v>
      </c>
      <c r="AF112">
        <v>0</v>
      </c>
      <c r="AG112">
        <v>0</v>
      </c>
      <c r="AH112">
        <v>0</v>
      </c>
      <c r="AI112">
        <v>8.48</v>
      </c>
      <c r="AJ112">
        <v>1</v>
      </c>
      <c r="AK112">
        <v>1</v>
      </c>
      <c r="AL112">
        <v>1</v>
      </c>
      <c r="AM112">
        <v>4</v>
      </c>
      <c r="AN112">
        <v>0</v>
      </c>
      <c r="AO112">
        <v>1</v>
      </c>
      <c r="AP112">
        <v>0</v>
      </c>
      <c r="AQ112">
        <v>0</v>
      </c>
      <c r="AR112">
        <v>0</v>
      </c>
      <c r="AS112" t="s">
        <v>3</v>
      </c>
      <c r="AT112">
        <v>1.0000000000000001E-5</v>
      </c>
      <c r="AU112" t="s">
        <v>3</v>
      </c>
      <c r="AV112">
        <v>0</v>
      </c>
      <c r="AW112">
        <v>2</v>
      </c>
      <c r="AX112">
        <v>145263284</v>
      </c>
      <c r="AY112">
        <v>1</v>
      </c>
      <c r="AZ112">
        <v>0</v>
      </c>
      <c r="BA112">
        <v>123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ROUND(Y112*Source!I99,9)</f>
        <v>6.0176000000000001E-4</v>
      </c>
      <c r="CY112">
        <f t="shared" si="79"/>
        <v>101573.44</v>
      </c>
      <c r="CZ112">
        <f t="shared" si="80"/>
        <v>11978</v>
      </c>
      <c r="DA112">
        <f t="shared" si="81"/>
        <v>8.48</v>
      </c>
      <c r="DB112">
        <f t="shared" si="82"/>
        <v>0.12</v>
      </c>
      <c r="DC112">
        <f t="shared" si="83"/>
        <v>0</v>
      </c>
      <c r="DD112" t="s">
        <v>3</v>
      </c>
      <c r="DE112" t="s">
        <v>3</v>
      </c>
      <c r="DF112">
        <f t="shared" si="84"/>
        <v>61.12</v>
      </c>
      <c r="DG112">
        <f t="shared" si="85"/>
        <v>0</v>
      </c>
      <c r="DH112">
        <f t="shared" si="86"/>
        <v>0</v>
      </c>
      <c r="DI112">
        <f t="shared" si="72"/>
        <v>0</v>
      </c>
      <c r="DJ112">
        <f t="shared" si="87"/>
        <v>61.12</v>
      </c>
      <c r="DK112">
        <v>0</v>
      </c>
      <c r="DL112" t="s">
        <v>3</v>
      </c>
      <c r="DM112">
        <v>0</v>
      </c>
      <c r="DN112" t="s">
        <v>3</v>
      </c>
      <c r="DO112">
        <v>0</v>
      </c>
    </row>
    <row r="113" spans="1:119" x14ac:dyDescent="0.2">
      <c r="A113">
        <f>ROW(Source!A99)</f>
        <v>99</v>
      </c>
      <c r="B113">
        <v>145262827</v>
      </c>
      <c r="C113">
        <v>145263250</v>
      </c>
      <c r="D113">
        <v>140776229</v>
      </c>
      <c r="E113">
        <v>1</v>
      </c>
      <c r="F113">
        <v>1</v>
      </c>
      <c r="G113">
        <v>1</v>
      </c>
      <c r="H113">
        <v>3</v>
      </c>
      <c r="I113" t="s">
        <v>464</v>
      </c>
      <c r="J113" t="s">
        <v>465</v>
      </c>
      <c r="K113" t="s">
        <v>466</v>
      </c>
      <c r="L113">
        <v>1348</v>
      </c>
      <c r="N113">
        <v>1009</v>
      </c>
      <c r="O113" t="s">
        <v>206</v>
      </c>
      <c r="P113" t="s">
        <v>206</v>
      </c>
      <c r="Q113">
        <v>1000</v>
      </c>
      <c r="W113">
        <v>0</v>
      </c>
      <c r="X113">
        <v>-1671348935</v>
      </c>
      <c r="Y113">
        <f t="shared" si="78"/>
        <v>1E-4</v>
      </c>
      <c r="AA113">
        <v>321392</v>
      </c>
      <c r="AB113">
        <v>0</v>
      </c>
      <c r="AC113">
        <v>0</v>
      </c>
      <c r="AD113">
        <v>0</v>
      </c>
      <c r="AE113">
        <v>37900</v>
      </c>
      <c r="AF113">
        <v>0</v>
      </c>
      <c r="AG113">
        <v>0</v>
      </c>
      <c r="AH113">
        <v>0</v>
      </c>
      <c r="AI113">
        <v>8.48</v>
      </c>
      <c r="AJ113">
        <v>1</v>
      </c>
      <c r="AK113">
        <v>1</v>
      </c>
      <c r="AL113">
        <v>1</v>
      </c>
      <c r="AM113">
        <v>4</v>
      </c>
      <c r="AN113">
        <v>0</v>
      </c>
      <c r="AO113">
        <v>1</v>
      </c>
      <c r="AP113">
        <v>0</v>
      </c>
      <c r="AQ113">
        <v>0</v>
      </c>
      <c r="AR113">
        <v>0</v>
      </c>
      <c r="AS113" t="s">
        <v>3</v>
      </c>
      <c r="AT113">
        <v>1E-4</v>
      </c>
      <c r="AU113" t="s">
        <v>3</v>
      </c>
      <c r="AV113">
        <v>0</v>
      </c>
      <c r="AW113">
        <v>2</v>
      </c>
      <c r="AX113">
        <v>145263285</v>
      </c>
      <c r="AY113">
        <v>1</v>
      </c>
      <c r="AZ113">
        <v>0</v>
      </c>
      <c r="BA113">
        <v>124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ROUND(Y113*Source!I99,9)</f>
        <v>6.0175999999999997E-3</v>
      </c>
      <c r="CY113">
        <f t="shared" si="79"/>
        <v>321392</v>
      </c>
      <c r="CZ113">
        <f t="shared" si="80"/>
        <v>37900</v>
      </c>
      <c r="DA113">
        <f t="shared" si="81"/>
        <v>8.48</v>
      </c>
      <c r="DB113">
        <f t="shared" si="82"/>
        <v>3.79</v>
      </c>
      <c r="DC113">
        <f t="shared" si="83"/>
        <v>0</v>
      </c>
      <c r="DD113" t="s">
        <v>3</v>
      </c>
      <c r="DE113" t="s">
        <v>3</v>
      </c>
      <c r="DF113">
        <f t="shared" si="84"/>
        <v>1934.01</v>
      </c>
      <c r="DG113">
        <f t="shared" si="85"/>
        <v>0</v>
      </c>
      <c r="DH113">
        <f t="shared" si="86"/>
        <v>0</v>
      </c>
      <c r="DI113">
        <f t="shared" si="72"/>
        <v>0</v>
      </c>
      <c r="DJ113">
        <f t="shared" si="87"/>
        <v>1934.01</v>
      </c>
      <c r="DK113">
        <v>0</v>
      </c>
      <c r="DL113" t="s">
        <v>3</v>
      </c>
      <c r="DM113">
        <v>0</v>
      </c>
      <c r="DN113" t="s">
        <v>3</v>
      </c>
      <c r="DO113">
        <v>0</v>
      </c>
    </row>
    <row r="114" spans="1:119" x14ac:dyDescent="0.2">
      <c r="A114">
        <f>ROW(Source!A99)</f>
        <v>99</v>
      </c>
      <c r="B114">
        <v>145262827</v>
      </c>
      <c r="C114">
        <v>145263250</v>
      </c>
      <c r="D114">
        <v>140789856</v>
      </c>
      <c r="E114">
        <v>1</v>
      </c>
      <c r="F114">
        <v>1</v>
      </c>
      <c r="G114">
        <v>1</v>
      </c>
      <c r="H114">
        <v>3</v>
      </c>
      <c r="I114" t="s">
        <v>467</v>
      </c>
      <c r="J114" t="s">
        <v>468</v>
      </c>
      <c r="K114" t="s">
        <v>469</v>
      </c>
      <c r="L114">
        <v>1348</v>
      </c>
      <c r="N114">
        <v>1009</v>
      </c>
      <c r="O114" t="s">
        <v>206</v>
      </c>
      <c r="P114" t="s">
        <v>206</v>
      </c>
      <c r="Q114">
        <v>1000</v>
      </c>
      <c r="W114">
        <v>0</v>
      </c>
      <c r="X114">
        <v>-1915778085</v>
      </c>
      <c r="Y114">
        <f t="shared" si="78"/>
        <v>1E-4</v>
      </c>
      <c r="AA114">
        <v>65397.760000000002</v>
      </c>
      <c r="AB114">
        <v>0</v>
      </c>
      <c r="AC114">
        <v>0</v>
      </c>
      <c r="AD114">
        <v>0</v>
      </c>
      <c r="AE114">
        <v>7712</v>
      </c>
      <c r="AF114">
        <v>0</v>
      </c>
      <c r="AG114">
        <v>0</v>
      </c>
      <c r="AH114">
        <v>0</v>
      </c>
      <c r="AI114">
        <v>8.48</v>
      </c>
      <c r="AJ114">
        <v>1</v>
      </c>
      <c r="AK114">
        <v>1</v>
      </c>
      <c r="AL114">
        <v>1</v>
      </c>
      <c r="AM114">
        <v>4</v>
      </c>
      <c r="AN114">
        <v>0</v>
      </c>
      <c r="AO114">
        <v>1</v>
      </c>
      <c r="AP114">
        <v>0</v>
      </c>
      <c r="AQ114">
        <v>0</v>
      </c>
      <c r="AR114">
        <v>0</v>
      </c>
      <c r="AS114" t="s">
        <v>3</v>
      </c>
      <c r="AT114">
        <v>1E-4</v>
      </c>
      <c r="AU114" t="s">
        <v>3</v>
      </c>
      <c r="AV114">
        <v>0</v>
      </c>
      <c r="AW114">
        <v>2</v>
      </c>
      <c r="AX114">
        <v>145263287</v>
      </c>
      <c r="AY114">
        <v>1</v>
      </c>
      <c r="AZ114">
        <v>0</v>
      </c>
      <c r="BA114">
        <v>126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ROUND(Y114*Source!I99,9)</f>
        <v>6.0175999999999997E-3</v>
      </c>
      <c r="CY114">
        <f t="shared" si="79"/>
        <v>65397.760000000002</v>
      </c>
      <c r="CZ114">
        <f t="shared" si="80"/>
        <v>7712</v>
      </c>
      <c r="DA114">
        <f t="shared" si="81"/>
        <v>8.48</v>
      </c>
      <c r="DB114">
        <f t="shared" si="82"/>
        <v>0.77</v>
      </c>
      <c r="DC114">
        <f t="shared" si="83"/>
        <v>0</v>
      </c>
      <c r="DD114" t="s">
        <v>3</v>
      </c>
      <c r="DE114" t="s">
        <v>3</v>
      </c>
      <c r="DF114">
        <f t="shared" si="84"/>
        <v>393.54</v>
      </c>
      <c r="DG114">
        <f t="shared" si="85"/>
        <v>0</v>
      </c>
      <c r="DH114">
        <f t="shared" si="86"/>
        <v>0</v>
      </c>
      <c r="DI114">
        <f t="shared" si="72"/>
        <v>0</v>
      </c>
      <c r="DJ114">
        <f t="shared" si="87"/>
        <v>393.54</v>
      </c>
      <c r="DK114">
        <v>0</v>
      </c>
      <c r="DL114" t="s">
        <v>3</v>
      </c>
      <c r="DM114">
        <v>0</v>
      </c>
      <c r="DN114" t="s">
        <v>3</v>
      </c>
      <c r="DO114">
        <v>0</v>
      </c>
    </row>
    <row r="115" spans="1:119" x14ac:dyDescent="0.2">
      <c r="A115">
        <f>ROW(Source!A99)</f>
        <v>99</v>
      </c>
      <c r="B115">
        <v>145262827</v>
      </c>
      <c r="C115">
        <v>145263250</v>
      </c>
      <c r="D115">
        <v>140791984</v>
      </c>
      <c r="E115">
        <v>1</v>
      </c>
      <c r="F115">
        <v>1</v>
      </c>
      <c r="G115">
        <v>1</v>
      </c>
      <c r="H115">
        <v>3</v>
      </c>
      <c r="I115" t="s">
        <v>470</v>
      </c>
      <c r="J115" t="s">
        <v>471</v>
      </c>
      <c r="K115" t="s">
        <v>472</v>
      </c>
      <c r="L115">
        <v>1302</v>
      </c>
      <c r="N115">
        <v>1003</v>
      </c>
      <c r="O115" t="s">
        <v>473</v>
      </c>
      <c r="P115" t="s">
        <v>473</v>
      </c>
      <c r="Q115">
        <v>10</v>
      </c>
      <c r="W115">
        <v>0</v>
      </c>
      <c r="X115">
        <v>581091037</v>
      </c>
      <c r="Y115">
        <f t="shared" si="78"/>
        <v>1.8700000000000001E-2</v>
      </c>
      <c r="AA115">
        <v>426.04</v>
      </c>
      <c r="AB115">
        <v>0</v>
      </c>
      <c r="AC115">
        <v>0</v>
      </c>
      <c r="AD115">
        <v>0</v>
      </c>
      <c r="AE115">
        <v>50.24</v>
      </c>
      <c r="AF115">
        <v>0</v>
      </c>
      <c r="AG115">
        <v>0</v>
      </c>
      <c r="AH115">
        <v>0</v>
      </c>
      <c r="AI115">
        <v>8.48</v>
      </c>
      <c r="AJ115">
        <v>1</v>
      </c>
      <c r="AK115">
        <v>1</v>
      </c>
      <c r="AL115">
        <v>1</v>
      </c>
      <c r="AM115">
        <v>4</v>
      </c>
      <c r="AN115">
        <v>0</v>
      </c>
      <c r="AO115">
        <v>1</v>
      </c>
      <c r="AP115">
        <v>0</v>
      </c>
      <c r="AQ115">
        <v>0</v>
      </c>
      <c r="AR115">
        <v>0</v>
      </c>
      <c r="AS115" t="s">
        <v>3</v>
      </c>
      <c r="AT115">
        <v>1.8700000000000001E-2</v>
      </c>
      <c r="AU115" t="s">
        <v>3</v>
      </c>
      <c r="AV115">
        <v>0</v>
      </c>
      <c r="AW115">
        <v>2</v>
      </c>
      <c r="AX115">
        <v>145263288</v>
      </c>
      <c r="AY115">
        <v>1</v>
      </c>
      <c r="AZ115">
        <v>0</v>
      </c>
      <c r="BA115">
        <v>127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ROUND(Y115*Source!I99,9)</f>
        <v>1.1252911999999999</v>
      </c>
      <c r="CY115">
        <f t="shared" si="79"/>
        <v>426.04</v>
      </c>
      <c r="CZ115">
        <f t="shared" si="80"/>
        <v>50.24</v>
      </c>
      <c r="DA115">
        <f t="shared" si="81"/>
        <v>8.48</v>
      </c>
      <c r="DB115">
        <f t="shared" si="82"/>
        <v>0.94</v>
      </c>
      <c r="DC115">
        <f t="shared" si="83"/>
        <v>0</v>
      </c>
      <c r="DD115" t="s">
        <v>3</v>
      </c>
      <c r="DE115" t="s">
        <v>3</v>
      </c>
      <c r="DF115">
        <f t="shared" si="84"/>
        <v>479.42</v>
      </c>
      <c r="DG115">
        <f t="shared" si="85"/>
        <v>0</v>
      </c>
      <c r="DH115">
        <f t="shared" si="86"/>
        <v>0</v>
      </c>
      <c r="DI115">
        <f t="shared" si="72"/>
        <v>0</v>
      </c>
      <c r="DJ115">
        <f t="shared" si="87"/>
        <v>479.42</v>
      </c>
      <c r="DK115">
        <v>0</v>
      </c>
      <c r="DL115" t="s">
        <v>3</v>
      </c>
      <c r="DM115">
        <v>0</v>
      </c>
      <c r="DN115" t="s">
        <v>3</v>
      </c>
      <c r="DO115">
        <v>0</v>
      </c>
    </row>
    <row r="116" spans="1:119" x14ac:dyDescent="0.2">
      <c r="A116">
        <f>ROW(Source!A99)</f>
        <v>99</v>
      </c>
      <c r="B116">
        <v>145262827</v>
      </c>
      <c r="C116">
        <v>145263250</v>
      </c>
      <c r="D116">
        <v>140792339</v>
      </c>
      <c r="E116">
        <v>1</v>
      </c>
      <c r="F116">
        <v>1</v>
      </c>
      <c r="G116">
        <v>1</v>
      </c>
      <c r="H116">
        <v>3</v>
      </c>
      <c r="I116" t="s">
        <v>408</v>
      </c>
      <c r="J116" t="s">
        <v>409</v>
      </c>
      <c r="K116" t="s">
        <v>410</v>
      </c>
      <c r="L116">
        <v>1348</v>
      </c>
      <c r="N116">
        <v>1009</v>
      </c>
      <c r="O116" t="s">
        <v>206</v>
      </c>
      <c r="P116" t="s">
        <v>206</v>
      </c>
      <c r="Q116">
        <v>1000</v>
      </c>
      <c r="W116">
        <v>0</v>
      </c>
      <c r="X116">
        <v>-120483918</v>
      </c>
      <c r="Y116">
        <f t="shared" si="78"/>
        <v>3.0000000000000001E-5</v>
      </c>
      <c r="AA116">
        <v>37780.1</v>
      </c>
      <c r="AB116">
        <v>0</v>
      </c>
      <c r="AC116">
        <v>0</v>
      </c>
      <c r="AD116">
        <v>0</v>
      </c>
      <c r="AE116">
        <v>4455.2</v>
      </c>
      <c r="AF116">
        <v>0</v>
      </c>
      <c r="AG116">
        <v>0</v>
      </c>
      <c r="AH116">
        <v>0</v>
      </c>
      <c r="AI116">
        <v>8.48</v>
      </c>
      <c r="AJ116">
        <v>1</v>
      </c>
      <c r="AK116">
        <v>1</v>
      </c>
      <c r="AL116">
        <v>1</v>
      </c>
      <c r="AM116">
        <v>4</v>
      </c>
      <c r="AN116">
        <v>0</v>
      </c>
      <c r="AO116">
        <v>1</v>
      </c>
      <c r="AP116">
        <v>0</v>
      </c>
      <c r="AQ116">
        <v>0</v>
      </c>
      <c r="AR116">
        <v>0</v>
      </c>
      <c r="AS116" t="s">
        <v>3</v>
      </c>
      <c r="AT116">
        <v>3.0000000000000001E-5</v>
      </c>
      <c r="AU116" t="s">
        <v>3</v>
      </c>
      <c r="AV116">
        <v>0</v>
      </c>
      <c r="AW116">
        <v>2</v>
      </c>
      <c r="AX116">
        <v>145263289</v>
      </c>
      <c r="AY116">
        <v>1</v>
      </c>
      <c r="AZ116">
        <v>0</v>
      </c>
      <c r="BA116">
        <v>128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ROUND(Y116*Source!I99,9)</f>
        <v>1.80528E-3</v>
      </c>
      <c r="CY116">
        <f t="shared" si="79"/>
        <v>37780.1</v>
      </c>
      <c r="CZ116">
        <f t="shared" si="80"/>
        <v>4455.2</v>
      </c>
      <c r="DA116">
        <f t="shared" si="81"/>
        <v>8.48</v>
      </c>
      <c r="DB116">
        <f t="shared" si="82"/>
        <v>0.13</v>
      </c>
      <c r="DC116">
        <f t="shared" si="83"/>
        <v>0</v>
      </c>
      <c r="DD116" t="s">
        <v>3</v>
      </c>
      <c r="DE116" t="s">
        <v>3</v>
      </c>
      <c r="DF116">
        <f t="shared" si="84"/>
        <v>68.2</v>
      </c>
      <c r="DG116">
        <f t="shared" si="85"/>
        <v>0</v>
      </c>
      <c r="DH116">
        <f t="shared" si="86"/>
        <v>0</v>
      </c>
      <c r="DI116">
        <f t="shared" si="72"/>
        <v>0</v>
      </c>
      <c r="DJ116">
        <f t="shared" si="87"/>
        <v>68.2</v>
      </c>
      <c r="DK116">
        <v>0</v>
      </c>
      <c r="DL116" t="s">
        <v>3</v>
      </c>
      <c r="DM116">
        <v>0</v>
      </c>
      <c r="DN116" t="s">
        <v>3</v>
      </c>
      <c r="DO116">
        <v>0</v>
      </c>
    </row>
    <row r="117" spans="1:119" x14ac:dyDescent="0.2">
      <c r="A117">
        <f>ROW(Source!A99)</f>
        <v>99</v>
      </c>
      <c r="B117">
        <v>145262827</v>
      </c>
      <c r="C117">
        <v>145263250</v>
      </c>
      <c r="D117">
        <v>140793072</v>
      </c>
      <c r="E117">
        <v>1</v>
      </c>
      <c r="F117">
        <v>1</v>
      </c>
      <c r="G117">
        <v>1</v>
      </c>
      <c r="H117">
        <v>3</v>
      </c>
      <c r="I117" t="s">
        <v>474</v>
      </c>
      <c r="J117" t="s">
        <v>475</v>
      </c>
      <c r="K117" t="s">
        <v>476</v>
      </c>
      <c r="L117">
        <v>1348</v>
      </c>
      <c r="N117">
        <v>1009</v>
      </c>
      <c r="O117" t="s">
        <v>206</v>
      </c>
      <c r="P117" t="s">
        <v>206</v>
      </c>
      <c r="Q117">
        <v>1000</v>
      </c>
      <c r="W117">
        <v>0</v>
      </c>
      <c r="X117">
        <v>834877976</v>
      </c>
      <c r="Y117">
        <f t="shared" si="78"/>
        <v>1.9400000000000001E-3</v>
      </c>
      <c r="AA117">
        <v>41721.599999999999</v>
      </c>
      <c r="AB117">
        <v>0</v>
      </c>
      <c r="AC117">
        <v>0</v>
      </c>
      <c r="AD117">
        <v>0</v>
      </c>
      <c r="AE117">
        <v>4920</v>
      </c>
      <c r="AF117">
        <v>0</v>
      </c>
      <c r="AG117">
        <v>0</v>
      </c>
      <c r="AH117">
        <v>0</v>
      </c>
      <c r="AI117">
        <v>8.48</v>
      </c>
      <c r="AJ117">
        <v>1</v>
      </c>
      <c r="AK117">
        <v>1</v>
      </c>
      <c r="AL117">
        <v>1</v>
      </c>
      <c r="AM117">
        <v>4</v>
      </c>
      <c r="AN117">
        <v>0</v>
      </c>
      <c r="AO117">
        <v>1</v>
      </c>
      <c r="AP117">
        <v>0</v>
      </c>
      <c r="AQ117">
        <v>0</v>
      </c>
      <c r="AR117">
        <v>0</v>
      </c>
      <c r="AS117" t="s">
        <v>3</v>
      </c>
      <c r="AT117">
        <v>1.9400000000000001E-3</v>
      </c>
      <c r="AU117" t="s">
        <v>3</v>
      </c>
      <c r="AV117">
        <v>0</v>
      </c>
      <c r="AW117">
        <v>2</v>
      </c>
      <c r="AX117">
        <v>145263290</v>
      </c>
      <c r="AY117">
        <v>1</v>
      </c>
      <c r="AZ117">
        <v>0</v>
      </c>
      <c r="BA117">
        <v>129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ROUND(Y117*Source!I99,9)</f>
        <v>0.11674144</v>
      </c>
      <c r="CY117">
        <f t="shared" si="79"/>
        <v>41721.599999999999</v>
      </c>
      <c r="CZ117">
        <f t="shared" si="80"/>
        <v>4920</v>
      </c>
      <c r="DA117">
        <f t="shared" si="81"/>
        <v>8.48</v>
      </c>
      <c r="DB117">
        <f t="shared" si="82"/>
        <v>9.5399999999999991</v>
      </c>
      <c r="DC117">
        <f t="shared" si="83"/>
        <v>0</v>
      </c>
      <c r="DD117" t="s">
        <v>3</v>
      </c>
      <c r="DE117" t="s">
        <v>3</v>
      </c>
      <c r="DF117">
        <f t="shared" si="84"/>
        <v>4870.6400000000003</v>
      </c>
      <c r="DG117">
        <f t="shared" si="85"/>
        <v>0</v>
      </c>
      <c r="DH117">
        <f t="shared" si="86"/>
        <v>0</v>
      </c>
      <c r="DI117">
        <f t="shared" si="72"/>
        <v>0</v>
      </c>
      <c r="DJ117">
        <f t="shared" si="87"/>
        <v>4870.6400000000003</v>
      </c>
      <c r="DK117">
        <v>0</v>
      </c>
      <c r="DL117" t="s">
        <v>3</v>
      </c>
      <c r="DM117">
        <v>0</v>
      </c>
      <c r="DN117" t="s">
        <v>3</v>
      </c>
      <c r="DO117">
        <v>0</v>
      </c>
    </row>
    <row r="118" spans="1:119" x14ac:dyDescent="0.2">
      <c r="A118">
        <f>ROW(Source!A99)</f>
        <v>99</v>
      </c>
      <c r="B118">
        <v>145262827</v>
      </c>
      <c r="C118">
        <v>145263250</v>
      </c>
      <c r="D118">
        <v>140796351</v>
      </c>
      <c r="E118">
        <v>1</v>
      </c>
      <c r="F118">
        <v>1</v>
      </c>
      <c r="G118">
        <v>1</v>
      </c>
      <c r="H118">
        <v>3</v>
      </c>
      <c r="I118" t="s">
        <v>477</v>
      </c>
      <c r="J118" t="s">
        <v>478</v>
      </c>
      <c r="K118" t="s">
        <v>479</v>
      </c>
      <c r="L118">
        <v>1339</v>
      </c>
      <c r="N118">
        <v>1007</v>
      </c>
      <c r="O118" t="s">
        <v>404</v>
      </c>
      <c r="P118" t="s">
        <v>404</v>
      </c>
      <c r="Q118">
        <v>1</v>
      </c>
      <c r="W118">
        <v>0</v>
      </c>
      <c r="X118">
        <v>1758287014</v>
      </c>
      <c r="Y118">
        <f t="shared" si="78"/>
        <v>1.0300000000000001E-3</v>
      </c>
      <c r="AA118">
        <v>14416</v>
      </c>
      <c r="AB118">
        <v>0</v>
      </c>
      <c r="AC118">
        <v>0</v>
      </c>
      <c r="AD118">
        <v>0</v>
      </c>
      <c r="AE118">
        <v>1700</v>
      </c>
      <c r="AF118">
        <v>0</v>
      </c>
      <c r="AG118">
        <v>0</v>
      </c>
      <c r="AH118">
        <v>0</v>
      </c>
      <c r="AI118">
        <v>8.48</v>
      </c>
      <c r="AJ118">
        <v>1</v>
      </c>
      <c r="AK118">
        <v>1</v>
      </c>
      <c r="AL118">
        <v>1</v>
      </c>
      <c r="AM118">
        <v>4</v>
      </c>
      <c r="AN118">
        <v>0</v>
      </c>
      <c r="AO118">
        <v>1</v>
      </c>
      <c r="AP118">
        <v>0</v>
      </c>
      <c r="AQ118">
        <v>0</v>
      </c>
      <c r="AR118">
        <v>0</v>
      </c>
      <c r="AS118" t="s">
        <v>3</v>
      </c>
      <c r="AT118">
        <v>1.0300000000000001E-3</v>
      </c>
      <c r="AU118" t="s">
        <v>3</v>
      </c>
      <c r="AV118">
        <v>0</v>
      </c>
      <c r="AW118">
        <v>2</v>
      </c>
      <c r="AX118">
        <v>145263291</v>
      </c>
      <c r="AY118">
        <v>1</v>
      </c>
      <c r="AZ118">
        <v>0</v>
      </c>
      <c r="BA118">
        <v>130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ROUND(Y118*Source!I99,9)</f>
        <v>6.198128E-2</v>
      </c>
      <c r="CY118">
        <f t="shared" si="79"/>
        <v>14416</v>
      </c>
      <c r="CZ118">
        <f t="shared" si="80"/>
        <v>1700</v>
      </c>
      <c r="DA118">
        <f t="shared" si="81"/>
        <v>8.48</v>
      </c>
      <c r="DB118">
        <f t="shared" si="82"/>
        <v>1.75</v>
      </c>
      <c r="DC118">
        <f t="shared" si="83"/>
        <v>0</v>
      </c>
      <c r="DD118" t="s">
        <v>3</v>
      </c>
      <c r="DE118" t="s">
        <v>3</v>
      </c>
      <c r="DF118">
        <f t="shared" si="84"/>
        <v>893.52</v>
      </c>
      <c r="DG118">
        <f t="shared" si="85"/>
        <v>0</v>
      </c>
      <c r="DH118">
        <f t="shared" si="86"/>
        <v>0</v>
      </c>
      <c r="DI118">
        <f t="shared" si="72"/>
        <v>0</v>
      </c>
      <c r="DJ118">
        <f t="shared" si="87"/>
        <v>893.52</v>
      </c>
      <c r="DK118">
        <v>0</v>
      </c>
      <c r="DL118" t="s">
        <v>3</v>
      </c>
      <c r="DM118">
        <v>0</v>
      </c>
      <c r="DN118" t="s">
        <v>3</v>
      </c>
      <c r="DO118">
        <v>0</v>
      </c>
    </row>
    <row r="119" spans="1:119" x14ac:dyDescent="0.2">
      <c r="A119">
        <f>ROW(Source!A99)</f>
        <v>99</v>
      </c>
      <c r="B119">
        <v>145262827</v>
      </c>
      <c r="C119">
        <v>145263250</v>
      </c>
      <c r="D119">
        <v>140804058</v>
      </c>
      <c r="E119">
        <v>1</v>
      </c>
      <c r="F119">
        <v>1</v>
      </c>
      <c r="G119">
        <v>1</v>
      </c>
      <c r="H119">
        <v>3</v>
      </c>
      <c r="I119" t="s">
        <v>480</v>
      </c>
      <c r="J119" t="s">
        <v>481</v>
      </c>
      <c r="K119" t="s">
        <v>482</v>
      </c>
      <c r="L119">
        <v>1348</v>
      </c>
      <c r="N119">
        <v>1009</v>
      </c>
      <c r="O119" t="s">
        <v>206</v>
      </c>
      <c r="P119" t="s">
        <v>206</v>
      </c>
      <c r="Q119">
        <v>1000</v>
      </c>
      <c r="W119">
        <v>0</v>
      </c>
      <c r="X119">
        <v>264248573</v>
      </c>
      <c r="Y119">
        <f t="shared" si="78"/>
        <v>3.1E-4</v>
      </c>
      <c r="AA119">
        <v>132457.60000000001</v>
      </c>
      <c r="AB119">
        <v>0</v>
      </c>
      <c r="AC119">
        <v>0</v>
      </c>
      <c r="AD119">
        <v>0</v>
      </c>
      <c r="AE119">
        <v>15620</v>
      </c>
      <c r="AF119">
        <v>0</v>
      </c>
      <c r="AG119">
        <v>0</v>
      </c>
      <c r="AH119">
        <v>0</v>
      </c>
      <c r="AI119">
        <v>8.48</v>
      </c>
      <c r="AJ119">
        <v>1</v>
      </c>
      <c r="AK119">
        <v>1</v>
      </c>
      <c r="AL119">
        <v>1</v>
      </c>
      <c r="AM119">
        <v>4</v>
      </c>
      <c r="AN119">
        <v>0</v>
      </c>
      <c r="AO119">
        <v>1</v>
      </c>
      <c r="AP119">
        <v>0</v>
      </c>
      <c r="AQ119">
        <v>0</v>
      </c>
      <c r="AR119">
        <v>0</v>
      </c>
      <c r="AS119" t="s">
        <v>3</v>
      </c>
      <c r="AT119">
        <v>3.1E-4</v>
      </c>
      <c r="AU119" t="s">
        <v>3</v>
      </c>
      <c r="AV119">
        <v>0</v>
      </c>
      <c r="AW119">
        <v>2</v>
      </c>
      <c r="AX119">
        <v>145263292</v>
      </c>
      <c r="AY119">
        <v>1</v>
      </c>
      <c r="AZ119">
        <v>0</v>
      </c>
      <c r="BA119">
        <v>131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ROUND(Y119*Source!I99,9)</f>
        <v>1.8654560000000001E-2</v>
      </c>
      <c r="CY119">
        <f t="shared" si="79"/>
        <v>132457.60000000001</v>
      </c>
      <c r="CZ119">
        <f t="shared" si="80"/>
        <v>15620</v>
      </c>
      <c r="DA119">
        <f t="shared" si="81"/>
        <v>8.48</v>
      </c>
      <c r="DB119">
        <f t="shared" si="82"/>
        <v>4.84</v>
      </c>
      <c r="DC119">
        <f t="shared" si="83"/>
        <v>0</v>
      </c>
      <c r="DD119" t="s">
        <v>3</v>
      </c>
      <c r="DE119" t="s">
        <v>3</v>
      </c>
      <c r="DF119">
        <f t="shared" si="84"/>
        <v>2470.94</v>
      </c>
      <c r="DG119">
        <f t="shared" si="85"/>
        <v>0</v>
      </c>
      <c r="DH119">
        <f t="shared" si="86"/>
        <v>0</v>
      </c>
      <c r="DI119">
        <f t="shared" si="72"/>
        <v>0</v>
      </c>
      <c r="DJ119">
        <f t="shared" si="87"/>
        <v>2470.94</v>
      </c>
      <c r="DK119">
        <v>0</v>
      </c>
      <c r="DL119" t="s">
        <v>3</v>
      </c>
      <c r="DM119">
        <v>0</v>
      </c>
      <c r="DN119" t="s">
        <v>3</v>
      </c>
      <c r="DO119">
        <v>0</v>
      </c>
    </row>
    <row r="120" spans="1:119" x14ac:dyDescent="0.2">
      <c r="A120">
        <f>ROW(Source!A99)</f>
        <v>99</v>
      </c>
      <c r="B120">
        <v>145262827</v>
      </c>
      <c r="C120">
        <v>145263250</v>
      </c>
      <c r="D120">
        <v>140805182</v>
      </c>
      <c r="E120">
        <v>1</v>
      </c>
      <c r="F120">
        <v>1</v>
      </c>
      <c r="G120">
        <v>1</v>
      </c>
      <c r="H120">
        <v>3</v>
      </c>
      <c r="I120" t="s">
        <v>483</v>
      </c>
      <c r="J120" t="s">
        <v>484</v>
      </c>
      <c r="K120" t="s">
        <v>485</v>
      </c>
      <c r="L120">
        <v>1346</v>
      </c>
      <c r="N120">
        <v>1009</v>
      </c>
      <c r="O120" t="s">
        <v>457</v>
      </c>
      <c r="P120" t="s">
        <v>457</v>
      </c>
      <c r="Q120">
        <v>1</v>
      </c>
      <c r="W120">
        <v>0</v>
      </c>
      <c r="X120">
        <v>-1449230318</v>
      </c>
      <c r="Y120">
        <f t="shared" si="78"/>
        <v>0.6</v>
      </c>
      <c r="AA120">
        <v>79.88</v>
      </c>
      <c r="AB120">
        <v>0</v>
      </c>
      <c r="AC120">
        <v>0</v>
      </c>
      <c r="AD120">
        <v>0</v>
      </c>
      <c r="AE120">
        <v>9.42</v>
      </c>
      <c r="AF120">
        <v>0</v>
      </c>
      <c r="AG120">
        <v>0</v>
      </c>
      <c r="AH120">
        <v>0</v>
      </c>
      <c r="AI120">
        <v>8.48</v>
      </c>
      <c r="AJ120">
        <v>1</v>
      </c>
      <c r="AK120">
        <v>1</v>
      </c>
      <c r="AL120">
        <v>1</v>
      </c>
      <c r="AM120">
        <v>4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3</v>
      </c>
      <c r="AT120">
        <v>0.6</v>
      </c>
      <c r="AU120" t="s">
        <v>3</v>
      </c>
      <c r="AV120">
        <v>0</v>
      </c>
      <c r="AW120">
        <v>2</v>
      </c>
      <c r="AX120">
        <v>145263293</v>
      </c>
      <c r="AY120">
        <v>1</v>
      </c>
      <c r="AZ120">
        <v>0</v>
      </c>
      <c r="BA120">
        <v>132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ROUND(Y120*Source!I99,9)</f>
        <v>36.105600000000003</v>
      </c>
      <c r="CY120">
        <f t="shared" si="79"/>
        <v>79.88</v>
      </c>
      <c r="CZ120">
        <f t="shared" si="80"/>
        <v>9.42</v>
      </c>
      <c r="DA120">
        <f t="shared" si="81"/>
        <v>8.48</v>
      </c>
      <c r="DB120">
        <f t="shared" si="82"/>
        <v>5.65</v>
      </c>
      <c r="DC120">
        <f t="shared" si="83"/>
        <v>0</v>
      </c>
      <c r="DD120" t="s">
        <v>3</v>
      </c>
      <c r="DE120" t="s">
        <v>3</v>
      </c>
      <c r="DF120">
        <f t="shared" si="84"/>
        <v>2884.12</v>
      </c>
      <c r="DG120">
        <f t="shared" si="85"/>
        <v>0</v>
      </c>
      <c r="DH120">
        <f t="shared" si="86"/>
        <v>0</v>
      </c>
      <c r="DI120">
        <f t="shared" si="72"/>
        <v>0</v>
      </c>
      <c r="DJ120">
        <f t="shared" si="87"/>
        <v>2884.12</v>
      </c>
      <c r="DK120">
        <v>0</v>
      </c>
      <c r="DL120" t="s">
        <v>3</v>
      </c>
      <c r="DM120">
        <v>0</v>
      </c>
      <c r="DN120" t="s">
        <v>3</v>
      </c>
      <c r="DO120">
        <v>0</v>
      </c>
    </row>
    <row r="121" spans="1:119" x14ac:dyDescent="0.2">
      <c r="A121">
        <f>ROW(Source!A100)</f>
        <v>100</v>
      </c>
      <c r="B121">
        <v>145262827</v>
      </c>
      <c r="C121">
        <v>145263294</v>
      </c>
      <c r="D121">
        <v>140760031</v>
      </c>
      <c r="E121">
        <v>70</v>
      </c>
      <c r="F121">
        <v>1</v>
      </c>
      <c r="G121">
        <v>1</v>
      </c>
      <c r="H121">
        <v>1</v>
      </c>
      <c r="I121" t="s">
        <v>535</v>
      </c>
      <c r="J121" t="s">
        <v>3</v>
      </c>
      <c r="K121" t="s">
        <v>536</v>
      </c>
      <c r="L121">
        <v>1191</v>
      </c>
      <c r="N121">
        <v>1013</v>
      </c>
      <c r="O121" t="s">
        <v>374</v>
      </c>
      <c r="P121" t="s">
        <v>374</v>
      </c>
      <c r="Q121">
        <v>1</v>
      </c>
      <c r="W121">
        <v>0</v>
      </c>
      <c r="X121">
        <v>-1111239348</v>
      </c>
      <c r="Y121">
        <f t="shared" si="78"/>
        <v>27.8</v>
      </c>
      <c r="AA121">
        <v>0</v>
      </c>
      <c r="AB121">
        <v>0</v>
      </c>
      <c r="AC121">
        <v>0</v>
      </c>
      <c r="AD121">
        <v>282.14999999999998</v>
      </c>
      <c r="AE121">
        <v>0</v>
      </c>
      <c r="AF121">
        <v>0</v>
      </c>
      <c r="AG121">
        <v>0</v>
      </c>
      <c r="AH121">
        <v>9.6199999999999992</v>
      </c>
      <c r="AI121">
        <v>1</v>
      </c>
      <c r="AJ121">
        <v>1</v>
      </c>
      <c r="AK121">
        <v>1</v>
      </c>
      <c r="AL121">
        <v>29.33</v>
      </c>
      <c r="AM121">
        <v>4</v>
      </c>
      <c r="AN121">
        <v>0</v>
      </c>
      <c r="AO121">
        <v>1</v>
      </c>
      <c r="AP121">
        <v>0</v>
      </c>
      <c r="AQ121">
        <v>0</v>
      </c>
      <c r="AR121">
        <v>0</v>
      </c>
      <c r="AS121" t="s">
        <v>3</v>
      </c>
      <c r="AT121">
        <v>27.8</v>
      </c>
      <c r="AU121" t="s">
        <v>3</v>
      </c>
      <c r="AV121">
        <v>1</v>
      </c>
      <c r="AW121">
        <v>2</v>
      </c>
      <c r="AX121">
        <v>145263307</v>
      </c>
      <c r="AY121">
        <v>1</v>
      </c>
      <c r="AZ121">
        <v>0</v>
      </c>
      <c r="BA121">
        <v>133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ROUND(Y121*Source!I100,9)</f>
        <v>1656.3240000000001</v>
      </c>
      <c r="CY121">
        <f>AD121</f>
        <v>282.14999999999998</v>
      </c>
      <c r="CZ121">
        <f>AH121</f>
        <v>9.6199999999999992</v>
      </c>
      <c r="DA121">
        <f>AL121</f>
        <v>29.33</v>
      </c>
      <c r="DB121">
        <f t="shared" si="82"/>
        <v>267.44</v>
      </c>
      <c r="DC121">
        <f t="shared" si="83"/>
        <v>0</v>
      </c>
      <c r="DD121" t="s">
        <v>3</v>
      </c>
      <c r="DE121" t="s">
        <v>3</v>
      </c>
      <c r="DF121">
        <f t="shared" ref="DF121:DF128" si="88">ROUND(ROUND(AE121,2)*CX121,2)</f>
        <v>0</v>
      </c>
      <c r="DG121">
        <f t="shared" si="85"/>
        <v>0</v>
      </c>
      <c r="DH121">
        <f t="shared" si="86"/>
        <v>0</v>
      </c>
      <c r="DI121">
        <f>ROUND(ROUND(AH121*AL121,2)*CX121,2)</f>
        <v>467331.82</v>
      </c>
      <c r="DJ121">
        <f>DI121</f>
        <v>467331.82</v>
      </c>
      <c r="DK121">
        <v>0</v>
      </c>
      <c r="DL121" t="s">
        <v>3</v>
      </c>
      <c r="DM121">
        <v>0</v>
      </c>
      <c r="DN121" t="s">
        <v>3</v>
      </c>
      <c r="DO121">
        <v>0</v>
      </c>
    </row>
    <row r="122" spans="1:119" x14ac:dyDescent="0.2">
      <c r="A122">
        <f>ROW(Source!A100)</f>
        <v>100</v>
      </c>
      <c r="B122">
        <v>145262827</v>
      </c>
      <c r="C122">
        <v>145263294</v>
      </c>
      <c r="D122">
        <v>140760225</v>
      </c>
      <c r="E122">
        <v>70</v>
      </c>
      <c r="F122">
        <v>1</v>
      </c>
      <c r="G122">
        <v>1</v>
      </c>
      <c r="H122">
        <v>1</v>
      </c>
      <c r="I122" t="s">
        <v>381</v>
      </c>
      <c r="J122" t="s">
        <v>3</v>
      </c>
      <c r="K122" t="s">
        <v>382</v>
      </c>
      <c r="L122">
        <v>1191</v>
      </c>
      <c r="N122">
        <v>1013</v>
      </c>
      <c r="O122" t="s">
        <v>374</v>
      </c>
      <c r="P122" t="s">
        <v>374</v>
      </c>
      <c r="Q122">
        <v>1</v>
      </c>
      <c r="W122">
        <v>0</v>
      </c>
      <c r="X122">
        <v>-1417349443</v>
      </c>
      <c r="Y122">
        <f t="shared" si="78"/>
        <v>3.02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1</v>
      </c>
      <c r="AJ122">
        <v>1</v>
      </c>
      <c r="AK122">
        <v>29.33</v>
      </c>
      <c r="AL122">
        <v>1</v>
      </c>
      <c r="AM122">
        <v>4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3</v>
      </c>
      <c r="AT122">
        <v>3.02</v>
      </c>
      <c r="AU122" t="s">
        <v>3</v>
      </c>
      <c r="AV122">
        <v>2</v>
      </c>
      <c r="AW122">
        <v>2</v>
      </c>
      <c r="AX122">
        <v>145263308</v>
      </c>
      <c r="AY122">
        <v>1</v>
      </c>
      <c r="AZ122">
        <v>0</v>
      </c>
      <c r="BA122">
        <v>134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ROUND(Y122*Source!I100,9)</f>
        <v>179.9316</v>
      </c>
      <c r="CY122">
        <f>AD122</f>
        <v>0</v>
      </c>
      <c r="CZ122">
        <f>AH122</f>
        <v>0</v>
      </c>
      <c r="DA122">
        <f>AL122</f>
        <v>1</v>
      </c>
      <c r="DB122">
        <f t="shared" si="82"/>
        <v>0</v>
      </c>
      <c r="DC122">
        <f t="shared" si="83"/>
        <v>0</v>
      </c>
      <c r="DD122" t="s">
        <v>3</v>
      </c>
      <c r="DE122" t="s">
        <v>3</v>
      </c>
      <c r="DF122">
        <f t="shared" si="88"/>
        <v>0</v>
      </c>
      <c r="DG122">
        <f t="shared" si="85"/>
        <v>0</v>
      </c>
      <c r="DH122">
        <f t="shared" ref="DH122:DH128" si="89">ROUND(ROUND(AG122*AK122,2)*CX122,2)</f>
        <v>0</v>
      </c>
      <c r="DI122">
        <f t="shared" ref="DI122:DI132" si="90">ROUND(ROUND(AH122,2)*CX122,2)</f>
        <v>0</v>
      </c>
      <c r="DJ122">
        <f>DI122</f>
        <v>0</v>
      </c>
      <c r="DK122">
        <v>0</v>
      </c>
      <c r="DL122" t="s">
        <v>3</v>
      </c>
      <c r="DM122">
        <v>0</v>
      </c>
      <c r="DN122" t="s">
        <v>3</v>
      </c>
      <c r="DO122">
        <v>0</v>
      </c>
    </row>
    <row r="123" spans="1:119" x14ac:dyDescent="0.2">
      <c r="A123">
        <f>ROW(Source!A100)</f>
        <v>100</v>
      </c>
      <c r="B123">
        <v>145262827</v>
      </c>
      <c r="C123">
        <v>145263294</v>
      </c>
      <c r="D123">
        <v>140922951</v>
      </c>
      <c r="E123">
        <v>1</v>
      </c>
      <c r="F123">
        <v>1</v>
      </c>
      <c r="G123">
        <v>1</v>
      </c>
      <c r="H123">
        <v>2</v>
      </c>
      <c r="I123" t="s">
        <v>436</v>
      </c>
      <c r="J123" t="s">
        <v>437</v>
      </c>
      <c r="K123" t="s">
        <v>438</v>
      </c>
      <c r="L123">
        <v>1367</v>
      </c>
      <c r="N123">
        <v>1011</v>
      </c>
      <c r="O123" t="s">
        <v>378</v>
      </c>
      <c r="P123" t="s">
        <v>378</v>
      </c>
      <c r="Q123">
        <v>1</v>
      </c>
      <c r="W123">
        <v>0</v>
      </c>
      <c r="X123">
        <v>-430484415</v>
      </c>
      <c r="Y123">
        <f t="shared" si="78"/>
        <v>0.5</v>
      </c>
      <c r="AA123">
        <v>0</v>
      </c>
      <c r="AB123">
        <v>1329.41</v>
      </c>
      <c r="AC123">
        <v>395.96</v>
      </c>
      <c r="AD123">
        <v>0</v>
      </c>
      <c r="AE123">
        <v>0</v>
      </c>
      <c r="AF123">
        <v>115.4</v>
      </c>
      <c r="AG123">
        <v>13.5</v>
      </c>
      <c r="AH123">
        <v>0</v>
      </c>
      <c r="AI123">
        <v>1</v>
      </c>
      <c r="AJ123">
        <v>11.52</v>
      </c>
      <c r="AK123">
        <v>29.33</v>
      </c>
      <c r="AL123">
        <v>1</v>
      </c>
      <c r="AM123">
        <v>4</v>
      </c>
      <c r="AN123">
        <v>0</v>
      </c>
      <c r="AO123">
        <v>1</v>
      </c>
      <c r="AP123">
        <v>0</v>
      </c>
      <c r="AQ123">
        <v>0</v>
      </c>
      <c r="AR123">
        <v>0</v>
      </c>
      <c r="AS123" t="s">
        <v>3</v>
      </c>
      <c r="AT123">
        <v>0.5</v>
      </c>
      <c r="AU123" t="s">
        <v>3</v>
      </c>
      <c r="AV123">
        <v>0</v>
      </c>
      <c r="AW123">
        <v>2</v>
      </c>
      <c r="AX123">
        <v>145263309</v>
      </c>
      <c r="AY123">
        <v>1</v>
      </c>
      <c r="AZ123">
        <v>0</v>
      </c>
      <c r="BA123">
        <v>135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ROUND(Y123*Source!I100,9)</f>
        <v>29.79</v>
      </c>
      <c r="CY123">
        <f t="shared" ref="CY123:CY128" si="91">AB123</f>
        <v>1329.41</v>
      </c>
      <c r="CZ123">
        <f t="shared" ref="CZ123:CZ128" si="92">AF123</f>
        <v>115.4</v>
      </c>
      <c r="DA123">
        <f t="shared" ref="DA123:DA128" si="93">AJ123</f>
        <v>11.52</v>
      </c>
      <c r="DB123">
        <f t="shared" si="82"/>
        <v>57.7</v>
      </c>
      <c r="DC123">
        <f t="shared" si="83"/>
        <v>6.75</v>
      </c>
      <c r="DD123" t="s">
        <v>3</v>
      </c>
      <c r="DE123" t="s">
        <v>3</v>
      </c>
      <c r="DF123">
        <f t="shared" si="88"/>
        <v>0</v>
      </c>
      <c r="DG123">
        <f t="shared" ref="DG123:DG128" si="94">ROUND(ROUND(AF123*AJ123,2)*CX123,2)</f>
        <v>39603.120000000003</v>
      </c>
      <c r="DH123">
        <f t="shared" si="89"/>
        <v>11795.65</v>
      </c>
      <c r="DI123">
        <f t="shared" si="90"/>
        <v>0</v>
      </c>
      <c r="DJ123">
        <f t="shared" ref="DJ123:DJ128" si="95">DG123</f>
        <v>39603.120000000003</v>
      </c>
      <c r="DK123">
        <v>0</v>
      </c>
      <c r="DL123" t="s">
        <v>3</v>
      </c>
      <c r="DM123">
        <v>0</v>
      </c>
      <c r="DN123" t="s">
        <v>3</v>
      </c>
      <c r="DO123">
        <v>0</v>
      </c>
    </row>
    <row r="124" spans="1:119" x14ac:dyDescent="0.2">
      <c r="A124">
        <f>ROW(Source!A100)</f>
        <v>100</v>
      </c>
      <c r="B124">
        <v>145262827</v>
      </c>
      <c r="C124">
        <v>145263294</v>
      </c>
      <c r="D124">
        <v>140923082</v>
      </c>
      <c r="E124">
        <v>1</v>
      </c>
      <c r="F124">
        <v>1</v>
      </c>
      <c r="G124">
        <v>1</v>
      </c>
      <c r="H124">
        <v>2</v>
      </c>
      <c r="I124" t="s">
        <v>537</v>
      </c>
      <c r="J124" t="s">
        <v>538</v>
      </c>
      <c r="K124" t="s">
        <v>539</v>
      </c>
      <c r="L124">
        <v>1367</v>
      </c>
      <c r="N124">
        <v>1011</v>
      </c>
      <c r="O124" t="s">
        <v>378</v>
      </c>
      <c r="P124" t="s">
        <v>378</v>
      </c>
      <c r="Q124">
        <v>1</v>
      </c>
      <c r="W124">
        <v>0</v>
      </c>
      <c r="X124">
        <v>-354311334</v>
      </c>
      <c r="Y124">
        <f t="shared" si="78"/>
        <v>2.02</v>
      </c>
      <c r="AA124">
        <v>0</v>
      </c>
      <c r="AB124">
        <v>335</v>
      </c>
      <c r="AC124">
        <v>295.06</v>
      </c>
      <c r="AD124">
        <v>0</v>
      </c>
      <c r="AE124">
        <v>0</v>
      </c>
      <c r="AF124">
        <v>29.08</v>
      </c>
      <c r="AG124">
        <v>10.06</v>
      </c>
      <c r="AH124">
        <v>0</v>
      </c>
      <c r="AI124">
        <v>1</v>
      </c>
      <c r="AJ124">
        <v>11.52</v>
      </c>
      <c r="AK124">
        <v>29.33</v>
      </c>
      <c r="AL124">
        <v>1</v>
      </c>
      <c r="AM124">
        <v>4</v>
      </c>
      <c r="AN124">
        <v>0</v>
      </c>
      <c r="AO124">
        <v>1</v>
      </c>
      <c r="AP124">
        <v>0</v>
      </c>
      <c r="AQ124">
        <v>0</v>
      </c>
      <c r="AR124">
        <v>0</v>
      </c>
      <c r="AS124" t="s">
        <v>3</v>
      </c>
      <c r="AT124">
        <v>2.02</v>
      </c>
      <c r="AU124" t="s">
        <v>3</v>
      </c>
      <c r="AV124">
        <v>0</v>
      </c>
      <c r="AW124">
        <v>2</v>
      </c>
      <c r="AX124">
        <v>145263310</v>
      </c>
      <c r="AY124">
        <v>1</v>
      </c>
      <c r="AZ124">
        <v>0</v>
      </c>
      <c r="BA124">
        <v>136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ROUND(Y124*Source!I100,9)</f>
        <v>120.3516</v>
      </c>
      <c r="CY124">
        <f t="shared" si="91"/>
        <v>335</v>
      </c>
      <c r="CZ124">
        <f t="shared" si="92"/>
        <v>29.08</v>
      </c>
      <c r="DA124">
        <f t="shared" si="93"/>
        <v>11.52</v>
      </c>
      <c r="DB124">
        <f t="shared" si="82"/>
        <v>58.74</v>
      </c>
      <c r="DC124">
        <f t="shared" si="83"/>
        <v>20.32</v>
      </c>
      <c r="DD124" t="s">
        <v>3</v>
      </c>
      <c r="DE124" t="s">
        <v>3</v>
      </c>
      <c r="DF124">
        <f t="shared" si="88"/>
        <v>0</v>
      </c>
      <c r="DG124">
        <f t="shared" si="94"/>
        <v>40317.79</v>
      </c>
      <c r="DH124">
        <f t="shared" si="89"/>
        <v>35510.94</v>
      </c>
      <c r="DI124">
        <f t="shared" si="90"/>
        <v>0</v>
      </c>
      <c r="DJ124">
        <f t="shared" si="95"/>
        <v>40317.79</v>
      </c>
      <c r="DK124">
        <v>0</v>
      </c>
      <c r="DL124" t="s">
        <v>3</v>
      </c>
      <c r="DM124">
        <v>0</v>
      </c>
      <c r="DN124" t="s">
        <v>3</v>
      </c>
      <c r="DO124">
        <v>0</v>
      </c>
    </row>
    <row r="125" spans="1:119" x14ac:dyDescent="0.2">
      <c r="A125">
        <f>ROW(Source!A100)</f>
        <v>100</v>
      </c>
      <c r="B125">
        <v>145262827</v>
      </c>
      <c r="C125">
        <v>145263294</v>
      </c>
      <c r="D125">
        <v>140923886</v>
      </c>
      <c r="E125">
        <v>1</v>
      </c>
      <c r="F125">
        <v>1</v>
      </c>
      <c r="G125">
        <v>1</v>
      </c>
      <c r="H125">
        <v>2</v>
      </c>
      <c r="I125" t="s">
        <v>497</v>
      </c>
      <c r="J125" t="s">
        <v>498</v>
      </c>
      <c r="K125" t="s">
        <v>499</v>
      </c>
      <c r="L125">
        <v>1367</v>
      </c>
      <c r="N125">
        <v>1011</v>
      </c>
      <c r="O125" t="s">
        <v>378</v>
      </c>
      <c r="P125" t="s">
        <v>378</v>
      </c>
      <c r="Q125">
        <v>1</v>
      </c>
      <c r="W125">
        <v>0</v>
      </c>
      <c r="X125">
        <v>2006019958</v>
      </c>
      <c r="Y125">
        <f t="shared" si="78"/>
        <v>0.5</v>
      </c>
      <c r="AA125">
        <v>0</v>
      </c>
      <c r="AB125">
        <v>988.88</v>
      </c>
      <c r="AC125">
        <v>340.23</v>
      </c>
      <c r="AD125">
        <v>0</v>
      </c>
      <c r="AE125">
        <v>0</v>
      </c>
      <c r="AF125">
        <v>85.84</v>
      </c>
      <c r="AG125">
        <v>11.6</v>
      </c>
      <c r="AH125">
        <v>0</v>
      </c>
      <c r="AI125">
        <v>1</v>
      </c>
      <c r="AJ125">
        <v>11.52</v>
      </c>
      <c r="AK125">
        <v>29.33</v>
      </c>
      <c r="AL125">
        <v>1</v>
      </c>
      <c r="AM125">
        <v>4</v>
      </c>
      <c r="AN125">
        <v>0</v>
      </c>
      <c r="AO125">
        <v>1</v>
      </c>
      <c r="AP125">
        <v>0</v>
      </c>
      <c r="AQ125">
        <v>0</v>
      </c>
      <c r="AR125">
        <v>0</v>
      </c>
      <c r="AS125" t="s">
        <v>3</v>
      </c>
      <c r="AT125">
        <v>0.5</v>
      </c>
      <c r="AU125" t="s">
        <v>3</v>
      </c>
      <c r="AV125">
        <v>0</v>
      </c>
      <c r="AW125">
        <v>2</v>
      </c>
      <c r="AX125">
        <v>145263311</v>
      </c>
      <c r="AY125">
        <v>1</v>
      </c>
      <c r="AZ125">
        <v>0</v>
      </c>
      <c r="BA125">
        <v>137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ROUND(Y125*Source!I100,9)</f>
        <v>29.79</v>
      </c>
      <c r="CY125">
        <f t="shared" si="91"/>
        <v>988.88</v>
      </c>
      <c r="CZ125">
        <f t="shared" si="92"/>
        <v>85.84</v>
      </c>
      <c r="DA125">
        <f t="shared" si="93"/>
        <v>11.52</v>
      </c>
      <c r="DB125">
        <f t="shared" si="82"/>
        <v>42.92</v>
      </c>
      <c r="DC125">
        <f t="shared" si="83"/>
        <v>5.8</v>
      </c>
      <c r="DD125" t="s">
        <v>3</v>
      </c>
      <c r="DE125" t="s">
        <v>3</v>
      </c>
      <c r="DF125">
        <f t="shared" si="88"/>
        <v>0</v>
      </c>
      <c r="DG125">
        <f t="shared" si="94"/>
        <v>29458.74</v>
      </c>
      <c r="DH125">
        <f t="shared" si="89"/>
        <v>10135.450000000001</v>
      </c>
      <c r="DI125">
        <f t="shared" si="90"/>
        <v>0</v>
      </c>
      <c r="DJ125">
        <f t="shared" si="95"/>
        <v>29458.74</v>
      </c>
      <c r="DK125">
        <v>0</v>
      </c>
      <c r="DL125" t="s">
        <v>3</v>
      </c>
      <c r="DM125">
        <v>0</v>
      </c>
      <c r="DN125" t="s">
        <v>3</v>
      </c>
      <c r="DO125">
        <v>0</v>
      </c>
    </row>
    <row r="126" spans="1:119" x14ac:dyDescent="0.2">
      <c r="A126">
        <f>ROW(Source!A100)</f>
        <v>100</v>
      </c>
      <c r="B126">
        <v>145262827</v>
      </c>
      <c r="C126">
        <v>145263294</v>
      </c>
      <c r="D126">
        <v>140924041</v>
      </c>
      <c r="E126">
        <v>1</v>
      </c>
      <c r="F126">
        <v>1</v>
      </c>
      <c r="G126">
        <v>1</v>
      </c>
      <c r="H126">
        <v>2</v>
      </c>
      <c r="I126" t="s">
        <v>445</v>
      </c>
      <c r="J126" t="s">
        <v>446</v>
      </c>
      <c r="K126" t="s">
        <v>447</v>
      </c>
      <c r="L126">
        <v>1367</v>
      </c>
      <c r="N126">
        <v>1011</v>
      </c>
      <c r="O126" t="s">
        <v>378</v>
      </c>
      <c r="P126" t="s">
        <v>378</v>
      </c>
      <c r="Q126">
        <v>1</v>
      </c>
      <c r="W126">
        <v>0</v>
      </c>
      <c r="X126">
        <v>2077867240</v>
      </c>
      <c r="Y126">
        <f t="shared" si="78"/>
        <v>1.2</v>
      </c>
      <c r="AA126">
        <v>0</v>
      </c>
      <c r="AB126">
        <v>13.82</v>
      </c>
      <c r="AC126">
        <v>0</v>
      </c>
      <c r="AD126">
        <v>0</v>
      </c>
      <c r="AE126">
        <v>0</v>
      </c>
      <c r="AF126">
        <v>1.2</v>
      </c>
      <c r="AG126">
        <v>0</v>
      </c>
      <c r="AH126">
        <v>0</v>
      </c>
      <c r="AI126">
        <v>1</v>
      </c>
      <c r="AJ126">
        <v>11.52</v>
      </c>
      <c r="AK126">
        <v>29.33</v>
      </c>
      <c r="AL126">
        <v>1</v>
      </c>
      <c r="AM126">
        <v>4</v>
      </c>
      <c r="AN126">
        <v>0</v>
      </c>
      <c r="AO126">
        <v>1</v>
      </c>
      <c r="AP126">
        <v>0</v>
      </c>
      <c r="AQ126">
        <v>0</v>
      </c>
      <c r="AR126">
        <v>0</v>
      </c>
      <c r="AS126" t="s">
        <v>3</v>
      </c>
      <c r="AT126">
        <v>1.2</v>
      </c>
      <c r="AU126" t="s">
        <v>3</v>
      </c>
      <c r="AV126">
        <v>0</v>
      </c>
      <c r="AW126">
        <v>2</v>
      </c>
      <c r="AX126">
        <v>145263312</v>
      </c>
      <c r="AY126">
        <v>1</v>
      </c>
      <c r="AZ126">
        <v>0</v>
      </c>
      <c r="BA126">
        <v>138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ROUND(Y126*Source!I100,9)</f>
        <v>71.495999999999995</v>
      </c>
      <c r="CY126">
        <f t="shared" si="91"/>
        <v>13.82</v>
      </c>
      <c r="CZ126">
        <f t="shared" si="92"/>
        <v>1.2</v>
      </c>
      <c r="DA126">
        <f t="shared" si="93"/>
        <v>11.52</v>
      </c>
      <c r="DB126">
        <f t="shared" si="82"/>
        <v>1.44</v>
      </c>
      <c r="DC126">
        <f t="shared" si="83"/>
        <v>0</v>
      </c>
      <c r="DD126" t="s">
        <v>3</v>
      </c>
      <c r="DE126" t="s">
        <v>3</v>
      </c>
      <c r="DF126">
        <f t="shared" si="88"/>
        <v>0</v>
      </c>
      <c r="DG126">
        <f t="shared" si="94"/>
        <v>988.07</v>
      </c>
      <c r="DH126">
        <f t="shared" si="89"/>
        <v>0</v>
      </c>
      <c r="DI126">
        <f t="shared" si="90"/>
        <v>0</v>
      </c>
      <c r="DJ126">
        <f t="shared" si="95"/>
        <v>988.07</v>
      </c>
      <c r="DK126">
        <v>0</v>
      </c>
      <c r="DL126" t="s">
        <v>3</v>
      </c>
      <c r="DM126">
        <v>0</v>
      </c>
      <c r="DN126" t="s">
        <v>3</v>
      </c>
      <c r="DO126">
        <v>0</v>
      </c>
    </row>
    <row r="127" spans="1:119" x14ac:dyDescent="0.2">
      <c r="A127">
        <f>ROW(Source!A100)</f>
        <v>100</v>
      </c>
      <c r="B127">
        <v>145262827</v>
      </c>
      <c r="C127">
        <v>145263294</v>
      </c>
      <c r="D127">
        <v>140924098</v>
      </c>
      <c r="E127">
        <v>1</v>
      </c>
      <c r="F127">
        <v>1</v>
      </c>
      <c r="G127">
        <v>1</v>
      </c>
      <c r="H127">
        <v>2</v>
      </c>
      <c r="I127" t="s">
        <v>389</v>
      </c>
      <c r="J127" t="s">
        <v>390</v>
      </c>
      <c r="K127" t="s">
        <v>391</v>
      </c>
      <c r="L127">
        <v>1367</v>
      </c>
      <c r="N127">
        <v>1011</v>
      </c>
      <c r="O127" t="s">
        <v>378</v>
      </c>
      <c r="P127" t="s">
        <v>378</v>
      </c>
      <c r="Q127">
        <v>1</v>
      </c>
      <c r="W127">
        <v>0</v>
      </c>
      <c r="X127">
        <v>829370094</v>
      </c>
      <c r="Y127">
        <f t="shared" si="78"/>
        <v>7.18</v>
      </c>
      <c r="AA127">
        <v>0</v>
      </c>
      <c r="AB127">
        <v>93.31</v>
      </c>
      <c r="AC127">
        <v>0</v>
      </c>
      <c r="AD127">
        <v>0</v>
      </c>
      <c r="AE127">
        <v>0</v>
      </c>
      <c r="AF127">
        <v>8.1</v>
      </c>
      <c r="AG127">
        <v>0</v>
      </c>
      <c r="AH127">
        <v>0</v>
      </c>
      <c r="AI127">
        <v>1</v>
      </c>
      <c r="AJ127">
        <v>11.52</v>
      </c>
      <c r="AK127">
        <v>29.33</v>
      </c>
      <c r="AL127">
        <v>1</v>
      </c>
      <c r="AM127">
        <v>4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3</v>
      </c>
      <c r="AT127">
        <v>7.18</v>
      </c>
      <c r="AU127" t="s">
        <v>3</v>
      </c>
      <c r="AV127">
        <v>0</v>
      </c>
      <c r="AW127">
        <v>2</v>
      </c>
      <c r="AX127">
        <v>145263313</v>
      </c>
      <c r="AY127">
        <v>1</v>
      </c>
      <c r="AZ127">
        <v>0</v>
      </c>
      <c r="BA127">
        <v>139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ROUND(Y127*Source!I100,9)</f>
        <v>427.78440000000001</v>
      </c>
      <c r="CY127">
        <f t="shared" si="91"/>
        <v>93.31</v>
      </c>
      <c r="CZ127">
        <f t="shared" si="92"/>
        <v>8.1</v>
      </c>
      <c r="DA127">
        <f t="shared" si="93"/>
        <v>11.52</v>
      </c>
      <c r="DB127">
        <f t="shared" si="82"/>
        <v>58.16</v>
      </c>
      <c r="DC127">
        <f t="shared" si="83"/>
        <v>0</v>
      </c>
      <c r="DD127" t="s">
        <v>3</v>
      </c>
      <c r="DE127" t="s">
        <v>3</v>
      </c>
      <c r="DF127">
        <f t="shared" si="88"/>
        <v>0</v>
      </c>
      <c r="DG127">
        <f t="shared" si="94"/>
        <v>39916.559999999998</v>
      </c>
      <c r="DH127">
        <f t="shared" si="89"/>
        <v>0</v>
      </c>
      <c r="DI127">
        <f t="shared" si="90"/>
        <v>0</v>
      </c>
      <c r="DJ127">
        <f t="shared" si="95"/>
        <v>39916.559999999998</v>
      </c>
      <c r="DK127">
        <v>0</v>
      </c>
      <c r="DL127" t="s">
        <v>3</v>
      </c>
      <c r="DM127">
        <v>0</v>
      </c>
      <c r="DN127" t="s">
        <v>3</v>
      </c>
      <c r="DO127">
        <v>0</v>
      </c>
    </row>
    <row r="128" spans="1:119" x14ac:dyDescent="0.2">
      <c r="A128">
        <f>ROW(Source!A100)</f>
        <v>100</v>
      </c>
      <c r="B128">
        <v>145262827</v>
      </c>
      <c r="C128">
        <v>145263294</v>
      </c>
      <c r="D128">
        <v>140924652</v>
      </c>
      <c r="E128">
        <v>1</v>
      </c>
      <c r="F128">
        <v>1</v>
      </c>
      <c r="G128">
        <v>1</v>
      </c>
      <c r="H128">
        <v>2</v>
      </c>
      <c r="I128" t="s">
        <v>540</v>
      </c>
      <c r="J128" t="s">
        <v>541</v>
      </c>
      <c r="K128" t="s">
        <v>542</v>
      </c>
      <c r="L128">
        <v>1367</v>
      </c>
      <c r="N128">
        <v>1011</v>
      </c>
      <c r="O128" t="s">
        <v>378</v>
      </c>
      <c r="P128" t="s">
        <v>378</v>
      </c>
      <c r="Q128">
        <v>1</v>
      </c>
      <c r="W128">
        <v>0</v>
      </c>
      <c r="X128">
        <v>-1100498410</v>
      </c>
      <c r="Y128">
        <f t="shared" si="78"/>
        <v>4.7</v>
      </c>
      <c r="AA128">
        <v>0</v>
      </c>
      <c r="AB128">
        <v>27.19</v>
      </c>
      <c r="AC128">
        <v>0</v>
      </c>
      <c r="AD128">
        <v>0</v>
      </c>
      <c r="AE128">
        <v>0</v>
      </c>
      <c r="AF128">
        <v>2.36</v>
      </c>
      <c r="AG128">
        <v>0</v>
      </c>
      <c r="AH128">
        <v>0</v>
      </c>
      <c r="AI128">
        <v>1</v>
      </c>
      <c r="AJ128">
        <v>11.52</v>
      </c>
      <c r="AK128">
        <v>29.33</v>
      </c>
      <c r="AL128">
        <v>1</v>
      </c>
      <c r="AM128">
        <v>4</v>
      </c>
      <c r="AN128">
        <v>0</v>
      </c>
      <c r="AO128">
        <v>1</v>
      </c>
      <c r="AP128">
        <v>0</v>
      </c>
      <c r="AQ128">
        <v>0</v>
      </c>
      <c r="AR128">
        <v>0</v>
      </c>
      <c r="AS128" t="s">
        <v>3</v>
      </c>
      <c r="AT128">
        <v>4.7</v>
      </c>
      <c r="AU128" t="s">
        <v>3</v>
      </c>
      <c r="AV128">
        <v>0</v>
      </c>
      <c r="AW128">
        <v>2</v>
      </c>
      <c r="AX128">
        <v>145263314</v>
      </c>
      <c r="AY128">
        <v>1</v>
      </c>
      <c r="AZ128">
        <v>0</v>
      </c>
      <c r="BA128">
        <v>140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ROUND(Y128*Source!I100,9)</f>
        <v>280.02600000000001</v>
      </c>
      <c r="CY128">
        <f t="shared" si="91"/>
        <v>27.19</v>
      </c>
      <c r="CZ128">
        <f t="shared" si="92"/>
        <v>2.36</v>
      </c>
      <c r="DA128">
        <f t="shared" si="93"/>
        <v>11.52</v>
      </c>
      <c r="DB128">
        <f t="shared" si="82"/>
        <v>11.09</v>
      </c>
      <c r="DC128">
        <f t="shared" si="83"/>
        <v>0</v>
      </c>
      <c r="DD128" t="s">
        <v>3</v>
      </c>
      <c r="DE128" t="s">
        <v>3</v>
      </c>
      <c r="DF128">
        <f t="shared" si="88"/>
        <v>0</v>
      </c>
      <c r="DG128">
        <f t="shared" si="94"/>
        <v>7613.91</v>
      </c>
      <c r="DH128">
        <f t="shared" si="89"/>
        <v>0</v>
      </c>
      <c r="DI128">
        <f t="shared" si="90"/>
        <v>0</v>
      </c>
      <c r="DJ128">
        <f t="shared" si="95"/>
        <v>7613.91</v>
      </c>
      <c r="DK128">
        <v>0</v>
      </c>
      <c r="DL128" t="s">
        <v>3</v>
      </c>
      <c r="DM128">
        <v>0</v>
      </c>
      <c r="DN128" t="s">
        <v>3</v>
      </c>
      <c r="DO128">
        <v>0</v>
      </c>
    </row>
    <row r="129" spans="1:119" x14ac:dyDescent="0.2">
      <c r="A129">
        <f>ROW(Source!A100)</f>
        <v>100</v>
      </c>
      <c r="B129">
        <v>145262827</v>
      </c>
      <c r="C129">
        <v>145263294</v>
      </c>
      <c r="D129">
        <v>140771005</v>
      </c>
      <c r="E129">
        <v>1</v>
      </c>
      <c r="F129">
        <v>1</v>
      </c>
      <c r="G129">
        <v>1</v>
      </c>
      <c r="H129">
        <v>3</v>
      </c>
      <c r="I129" t="s">
        <v>451</v>
      </c>
      <c r="J129" t="s">
        <v>452</v>
      </c>
      <c r="K129" t="s">
        <v>453</v>
      </c>
      <c r="L129">
        <v>1339</v>
      </c>
      <c r="N129">
        <v>1007</v>
      </c>
      <c r="O129" t="s">
        <v>404</v>
      </c>
      <c r="P129" t="s">
        <v>404</v>
      </c>
      <c r="Q129">
        <v>1</v>
      </c>
      <c r="W129">
        <v>0</v>
      </c>
      <c r="X129">
        <v>-1761807714</v>
      </c>
      <c r="Y129">
        <f t="shared" si="78"/>
        <v>0.6</v>
      </c>
      <c r="AA129">
        <v>52.75</v>
      </c>
      <c r="AB129">
        <v>0</v>
      </c>
      <c r="AC129">
        <v>0</v>
      </c>
      <c r="AD129">
        <v>0</v>
      </c>
      <c r="AE129">
        <v>6.22</v>
      </c>
      <c r="AF129">
        <v>0</v>
      </c>
      <c r="AG129">
        <v>0</v>
      </c>
      <c r="AH129">
        <v>0</v>
      </c>
      <c r="AI129">
        <v>8.48</v>
      </c>
      <c r="AJ129">
        <v>1</v>
      </c>
      <c r="AK129">
        <v>1</v>
      </c>
      <c r="AL129">
        <v>1</v>
      </c>
      <c r="AM129">
        <v>4</v>
      </c>
      <c r="AN129">
        <v>0</v>
      </c>
      <c r="AO129">
        <v>1</v>
      </c>
      <c r="AP129">
        <v>0</v>
      </c>
      <c r="AQ129">
        <v>0</v>
      </c>
      <c r="AR129">
        <v>0</v>
      </c>
      <c r="AS129" t="s">
        <v>3</v>
      </c>
      <c r="AT129">
        <v>0.6</v>
      </c>
      <c r="AU129" t="s">
        <v>3</v>
      </c>
      <c r="AV129">
        <v>0</v>
      </c>
      <c r="AW129">
        <v>2</v>
      </c>
      <c r="AX129">
        <v>145263315</v>
      </c>
      <c r="AY129">
        <v>1</v>
      </c>
      <c r="AZ129">
        <v>0</v>
      </c>
      <c r="BA129">
        <v>141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ROUND(Y129*Source!I100,9)</f>
        <v>35.747999999999998</v>
      </c>
      <c r="CY129">
        <f>AA129</f>
        <v>52.75</v>
      </c>
      <c r="CZ129">
        <f>AE129</f>
        <v>6.22</v>
      </c>
      <c r="DA129">
        <f>AI129</f>
        <v>8.48</v>
      </c>
      <c r="DB129">
        <f t="shared" si="82"/>
        <v>3.73</v>
      </c>
      <c r="DC129">
        <f t="shared" si="83"/>
        <v>0</v>
      </c>
      <c r="DD129" t="s">
        <v>3</v>
      </c>
      <c r="DE129" t="s">
        <v>3</v>
      </c>
      <c r="DF129">
        <f>ROUND(ROUND(AE129*AI129,2)*CX129,2)</f>
        <v>1885.71</v>
      </c>
      <c r="DG129">
        <f t="shared" ref="DG129:DG134" si="96">ROUND(ROUND(AF129,2)*CX129,2)</f>
        <v>0</v>
      </c>
      <c r="DH129">
        <f>ROUND(ROUND(AG129,2)*CX129,2)</f>
        <v>0</v>
      </c>
      <c r="DI129">
        <f t="shared" si="90"/>
        <v>0</v>
      </c>
      <c r="DJ129">
        <f>DF129</f>
        <v>1885.71</v>
      </c>
      <c r="DK129">
        <v>0</v>
      </c>
      <c r="DL129" t="s">
        <v>3</v>
      </c>
      <c r="DM129">
        <v>0</v>
      </c>
      <c r="DN129" t="s">
        <v>3</v>
      </c>
      <c r="DO129">
        <v>0</v>
      </c>
    </row>
    <row r="130" spans="1:119" x14ac:dyDescent="0.2">
      <c r="A130">
        <f>ROW(Source!A100)</f>
        <v>100</v>
      </c>
      <c r="B130">
        <v>145262827</v>
      </c>
      <c r="C130">
        <v>145263294</v>
      </c>
      <c r="D130">
        <v>140771011</v>
      </c>
      <c r="E130">
        <v>1</v>
      </c>
      <c r="F130">
        <v>1</v>
      </c>
      <c r="G130">
        <v>1</v>
      </c>
      <c r="H130">
        <v>3</v>
      </c>
      <c r="I130" t="s">
        <v>454</v>
      </c>
      <c r="J130" t="s">
        <v>455</v>
      </c>
      <c r="K130" t="s">
        <v>456</v>
      </c>
      <c r="L130">
        <v>1346</v>
      </c>
      <c r="N130">
        <v>1009</v>
      </c>
      <c r="O130" t="s">
        <v>457</v>
      </c>
      <c r="P130" t="s">
        <v>457</v>
      </c>
      <c r="Q130">
        <v>1</v>
      </c>
      <c r="W130">
        <v>0</v>
      </c>
      <c r="X130">
        <v>-2118006079</v>
      </c>
      <c r="Y130">
        <f t="shared" si="78"/>
        <v>0.2</v>
      </c>
      <c r="AA130">
        <v>51.64</v>
      </c>
      <c r="AB130">
        <v>0</v>
      </c>
      <c r="AC130">
        <v>0</v>
      </c>
      <c r="AD130">
        <v>0</v>
      </c>
      <c r="AE130">
        <v>6.09</v>
      </c>
      <c r="AF130">
        <v>0</v>
      </c>
      <c r="AG130">
        <v>0</v>
      </c>
      <c r="AH130">
        <v>0</v>
      </c>
      <c r="AI130">
        <v>8.48</v>
      </c>
      <c r="AJ130">
        <v>1</v>
      </c>
      <c r="AK130">
        <v>1</v>
      </c>
      <c r="AL130">
        <v>1</v>
      </c>
      <c r="AM130">
        <v>4</v>
      </c>
      <c r="AN130">
        <v>0</v>
      </c>
      <c r="AO130">
        <v>1</v>
      </c>
      <c r="AP130">
        <v>0</v>
      </c>
      <c r="AQ130">
        <v>0</v>
      </c>
      <c r="AR130">
        <v>0</v>
      </c>
      <c r="AS130" t="s">
        <v>3</v>
      </c>
      <c r="AT130">
        <v>0.2</v>
      </c>
      <c r="AU130" t="s">
        <v>3</v>
      </c>
      <c r="AV130">
        <v>0</v>
      </c>
      <c r="AW130">
        <v>2</v>
      </c>
      <c r="AX130">
        <v>145263316</v>
      </c>
      <c r="AY130">
        <v>1</v>
      </c>
      <c r="AZ130">
        <v>0</v>
      </c>
      <c r="BA130">
        <v>142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ROUND(Y130*Source!I100,9)</f>
        <v>11.916</v>
      </c>
      <c r="CY130">
        <f>AA130</f>
        <v>51.64</v>
      </c>
      <c r="CZ130">
        <f>AE130</f>
        <v>6.09</v>
      </c>
      <c r="DA130">
        <f>AI130</f>
        <v>8.48</v>
      </c>
      <c r="DB130">
        <f t="shared" si="82"/>
        <v>1.22</v>
      </c>
      <c r="DC130">
        <f t="shared" si="83"/>
        <v>0</v>
      </c>
      <c r="DD130" t="s">
        <v>3</v>
      </c>
      <c r="DE130" t="s">
        <v>3</v>
      </c>
      <c r="DF130">
        <f>ROUND(ROUND(AE130*AI130,2)*CX130,2)</f>
        <v>615.34</v>
      </c>
      <c r="DG130">
        <f t="shared" si="96"/>
        <v>0</v>
      </c>
      <c r="DH130">
        <f>ROUND(ROUND(AG130,2)*CX130,2)</f>
        <v>0</v>
      </c>
      <c r="DI130">
        <f t="shared" si="90"/>
        <v>0</v>
      </c>
      <c r="DJ130">
        <f>DF130</f>
        <v>615.34</v>
      </c>
      <c r="DK130">
        <v>0</v>
      </c>
      <c r="DL130" t="s">
        <v>3</v>
      </c>
      <c r="DM130">
        <v>0</v>
      </c>
      <c r="DN130" t="s">
        <v>3</v>
      </c>
      <c r="DO130">
        <v>0</v>
      </c>
    </row>
    <row r="131" spans="1:119" x14ac:dyDescent="0.2">
      <c r="A131">
        <f>ROW(Source!A100)</f>
        <v>100</v>
      </c>
      <c r="B131">
        <v>145262827</v>
      </c>
      <c r="C131">
        <v>145263294</v>
      </c>
      <c r="D131">
        <v>140773788</v>
      </c>
      <c r="E131">
        <v>1</v>
      </c>
      <c r="F131">
        <v>1</v>
      </c>
      <c r="G131">
        <v>1</v>
      </c>
      <c r="H131">
        <v>3</v>
      </c>
      <c r="I131" t="s">
        <v>512</v>
      </c>
      <c r="J131" t="s">
        <v>513</v>
      </c>
      <c r="K131" t="s">
        <v>514</v>
      </c>
      <c r="L131">
        <v>1348</v>
      </c>
      <c r="N131">
        <v>1009</v>
      </c>
      <c r="O131" t="s">
        <v>206</v>
      </c>
      <c r="P131" t="s">
        <v>206</v>
      </c>
      <c r="Q131">
        <v>1000</v>
      </c>
      <c r="W131">
        <v>0</v>
      </c>
      <c r="X131">
        <v>1238940307</v>
      </c>
      <c r="Y131">
        <f t="shared" si="78"/>
        <v>3.2000000000000002E-3</v>
      </c>
      <c r="AA131">
        <v>82807.199999999997</v>
      </c>
      <c r="AB131">
        <v>0</v>
      </c>
      <c r="AC131">
        <v>0</v>
      </c>
      <c r="AD131">
        <v>0</v>
      </c>
      <c r="AE131">
        <v>9765</v>
      </c>
      <c r="AF131">
        <v>0</v>
      </c>
      <c r="AG131">
        <v>0</v>
      </c>
      <c r="AH131">
        <v>0</v>
      </c>
      <c r="AI131">
        <v>8.48</v>
      </c>
      <c r="AJ131">
        <v>1</v>
      </c>
      <c r="AK131">
        <v>1</v>
      </c>
      <c r="AL131">
        <v>1</v>
      </c>
      <c r="AM131">
        <v>4</v>
      </c>
      <c r="AN131">
        <v>0</v>
      </c>
      <c r="AO131">
        <v>1</v>
      </c>
      <c r="AP131">
        <v>0</v>
      </c>
      <c r="AQ131">
        <v>0</v>
      </c>
      <c r="AR131">
        <v>0</v>
      </c>
      <c r="AS131" t="s">
        <v>3</v>
      </c>
      <c r="AT131">
        <v>3.2000000000000002E-3</v>
      </c>
      <c r="AU131" t="s">
        <v>3</v>
      </c>
      <c r="AV131">
        <v>0</v>
      </c>
      <c r="AW131">
        <v>2</v>
      </c>
      <c r="AX131">
        <v>145263317</v>
      </c>
      <c r="AY131">
        <v>1</v>
      </c>
      <c r="AZ131">
        <v>0</v>
      </c>
      <c r="BA131">
        <v>143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ROUND(Y131*Source!I100,9)</f>
        <v>0.19065599999999999</v>
      </c>
      <c r="CY131">
        <f>AA131</f>
        <v>82807.199999999997</v>
      </c>
      <c r="CZ131">
        <f>AE131</f>
        <v>9765</v>
      </c>
      <c r="DA131">
        <f>AI131</f>
        <v>8.48</v>
      </c>
      <c r="DB131">
        <f t="shared" si="82"/>
        <v>31.25</v>
      </c>
      <c r="DC131">
        <f t="shared" si="83"/>
        <v>0</v>
      </c>
      <c r="DD131" t="s">
        <v>3</v>
      </c>
      <c r="DE131" t="s">
        <v>3</v>
      </c>
      <c r="DF131">
        <f>ROUND(ROUND(AE131*AI131,2)*CX131,2)</f>
        <v>15787.69</v>
      </c>
      <c r="DG131">
        <f t="shared" si="96"/>
        <v>0</v>
      </c>
      <c r="DH131">
        <f>ROUND(ROUND(AG131,2)*CX131,2)</f>
        <v>0</v>
      </c>
      <c r="DI131">
        <f t="shared" si="90"/>
        <v>0</v>
      </c>
      <c r="DJ131">
        <f>DF131</f>
        <v>15787.69</v>
      </c>
      <c r="DK131">
        <v>0</v>
      </c>
      <c r="DL131" t="s">
        <v>3</v>
      </c>
      <c r="DM131">
        <v>0</v>
      </c>
      <c r="DN131" t="s">
        <v>3</v>
      </c>
      <c r="DO131">
        <v>0</v>
      </c>
    </row>
    <row r="132" spans="1:119" x14ac:dyDescent="0.2">
      <c r="A132">
        <f>ROW(Source!A100)</f>
        <v>100</v>
      </c>
      <c r="B132">
        <v>145262827</v>
      </c>
      <c r="C132">
        <v>145263294</v>
      </c>
      <c r="D132">
        <v>140765022</v>
      </c>
      <c r="E132">
        <v>70</v>
      </c>
      <c r="F132">
        <v>1</v>
      </c>
      <c r="G132">
        <v>1</v>
      </c>
      <c r="H132">
        <v>3</v>
      </c>
      <c r="I132" t="s">
        <v>515</v>
      </c>
      <c r="J132" t="s">
        <v>3</v>
      </c>
      <c r="K132" t="s">
        <v>516</v>
      </c>
      <c r="L132">
        <v>1374</v>
      </c>
      <c r="N132">
        <v>1013</v>
      </c>
      <c r="O132" t="s">
        <v>517</v>
      </c>
      <c r="P132" t="s">
        <v>517</v>
      </c>
      <c r="Q132">
        <v>1</v>
      </c>
      <c r="W132">
        <v>0</v>
      </c>
      <c r="X132">
        <v>-1731369543</v>
      </c>
      <c r="Y132">
        <f t="shared" si="78"/>
        <v>5.35</v>
      </c>
      <c r="AA132">
        <v>8.48</v>
      </c>
      <c r="AB132">
        <v>0</v>
      </c>
      <c r="AC132">
        <v>0</v>
      </c>
      <c r="AD132">
        <v>0</v>
      </c>
      <c r="AE132">
        <v>1</v>
      </c>
      <c r="AF132">
        <v>0</v>
      </c>
      <c r="AG132">
        <v>0</v>
      </c>
      <c r="AH132">
        <v>0</v>
      </c>
      <c r="AI132">
        <v>8.48</v>
      </c>
      <c r="AJ132">
        <v>1</v>
      </c>
      <c r="AK132">
        <v>1</v>
      </c>
      <c r="AL132">
        <v>1</v>
      </c>
      <c r="AM132">
        <v>4</v>
      </c>
      <c r="AN132">
        <v>0</v>
      </c>
      <c r="AO132">
        <v>1</v>
      </c>
      <c r="AP132">
        <v>0</v>
      </c>
      <c r="AQ132">
        <v>0</v>
      </c>
      <c r="AR132">
        <v>0</v>
      </c>
      <c r="AS132" t="s">
        <v>3</v>
      </c>
      <c r="AT132">
        <v>5.35</v>
      </c>
      <c r="AU132" t="s">
        <v>3</v>
      </c>
      <c r="AV132">
        <v>0</v>
      </c>
      <c r="AW132">
        <v>2</v>
      </c>
      <c r="AX132">
        <v>145263318</v>
      </c>
      <c r="AY132">
        <v>1</v>
      </c>
      <c r="AZ132">
        <v>0</v>
      </c>
      <c r="BA132">
        <v>144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ROUND(Y132*Source!I100,9)</f>
        <v>318.75299999999999</v>
      </c>
      <c r="CY132">
        <f>AA132</f>
        <v>8.48</v>
      </c>
      <c r="CZ132">
        <f>AE132</f>
        <v>1</v>
      </c>
      <c r="DA132">
        <f>AI132</f>
        <v>8.48</v>
      </c>
      <c r="DB132">
        <f t="shared" si="82"/>
        <v>5.35</v>
      </c>
      <c r="DC132">
        <f t="shared" si="83"/>
        <v>0</v>
      </c>
      <c r="DD132" t="s">
        <v>3</v>
      </c>
      <c r="DE132" t="s">
        <v>3</v>
      </c>
      <c r="DF132">
        <f>ROUND(ROUND(AE132*AI132,2)*CX132,2)</f>
        <v>2703.03</v>
      </c>
      <c r="DG132">
        <f t="shared" si="96"/>
        <v>0</v>
      </c>
      <c r="DH132">
        <f>ROUND(ROUND(AG132,2)*CX132,2)</f>
        <v>0</v>
      </c>
      <c r="DI132">
        <f t="shared" si="90"/>
        <v>0</v>
      </c>
      <c r="DJ132">
        <f>DF132</f>
        <v>2703.03</v>
      </c>
      <c r="DK132">
        <v>0</v>
      </c>
      <c r="DL132" t="s">
        <v>3</v>
      </c>
      <c r="DM132">
        <v>0</v>
      </c>
      <c r="DN132" t="s">
        <v>3</v>
      </c>
      <c r="DO132">
        <v>0</v>
      </c>
    </row>
    <row r="133" spans="1:119" x14ac:dyDescent="0.2">
      <c r="A133">
        <f>ROW(Source!A103)</f>
        <v>103</v>
      </c>
      <c r="B133">
        <v>145262827</v>
      </c>
      <c r="C133">
        <v>145263321</v>
      </c>
      <c r="D133">
        <v>140759988</v>
      </c>
      <c r="E133">
        <v>70</v>
      </c>
      <c r="F133">
        <v>1</v>
      </c>
      <c r="G133">
        <v>1</v>
      </c>
      <c r="H133">
        <v>1</v>
      </c>
      <c r="I133" t="s">
        <v>543</v>
      </c>
      <c r="J133" t="s">
        <v>3</v>
      </c>
      <c r="K133" t="s">
        <v>544</v>
      </c>
      <c r="L133">
        <v>1191</v>
      </c>
      <c r="N133">
        <v>1013</v>
      </c>
      <c r="O133" t="s">
        <v>374</v>
      </c>
      <c r="P133" t="s">
        <v>374</v>
      </c>
      <c r="Q133">
        <v>1</v>
      </c>
      <c r="W133">
        <v>0</v>
      </c>
      <c r="X133">
        <v>-1759674247</v>
      </c>
      <c r="Y133">
        <f>((AT133*(1+(0.005*(30-15))))*1.15)</f>
        <v>7.2938749999999999</v>
      </c>
      <c r="AA133">
        <v>0</v>
      </c>
      <c r="AB133">
        <v>0</v>
      </c>
      <c r="AC133">
        <v>0</v>
      </c>
      <c r="AD133">
        <v>259.86</v>
      </c>
      <c r="AE133">
        <v>0</v>
      </c>
      <c r="AF133">
        <v>0</v>
      </c>
      <c r="AG133">
        <v>0</v>
      </c>
      <c r="AH133">
        <v>8.86</v>
      </c>
      <c r="AI133">
        <v>1</v>
      </c>
      <c r="AJ133">
        <v>1</v>
      </c>
      <c r="AK133">
        <v>1</v>
      </c>
      <c r="AL133">
        <v>29.33</v>
      </c>
      <c r="AM133">
        <v>4</v>
      </c>
      <c r="AN133">
        <v>0</v>
      </c>
      <c r="AO133">
        <v>1</v>
      </c>
      <c r="AP133">
        <v>1</v>
      </c>
      <c r="AQ133">
        <v>0</v>
      </c>
      <c r="AR133">
        <v>0</v>
      </c>
      <c r="AS133" t="s">
        <v>3</v>
      </c>
      <c r="AT133">
        <v>5.9</v>
      </c>
      <c r="AU133" t="s">
        <v>172</v>
      </c>
      <c r="AV133">
        <v>1</v>
      </c>
      <c r="AW133">
        <v>2</v>
      </c>
      <c r="AX133">
        <v>145263330</v>
      </c>
      <c r="AY133">
        <v>1</v>
      </c>
      <c r="AZ133">
        <v>0</v>
      </c>
      <c r="BA133">
        <v>145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ROUND(Y133*Source!I103,9)</f>
        <v>48.285452499999998</v>
      </c>
      <c r="CY133">
        <f>AD133</f>
        <v>259.86</v>
      </c>
      <c r="CZ133">
        <f>AH133</f>
        <v>8.86</v>
      </c>
      <c r="DA133">
        <f>AL133</f>
        <v>29.33</v>
      </c>
      <c r="DB133">
        <f>ROUND(((ROUND(AT133*CZ133,2)*(1+(0.005*(30-15))))*1.15),2)</f>
        <v>64.62</v>
      </c>
      <c r="DC133">
        <f>ROUND(((ROUND(AT133*AG133,2)*(1+(0.005*(30-15))))*1.15),2)</f>
        <v>0</v>
      </c>
      <c r="DD133" t="s">
        <v>3</v>
      </c>
      <c r="DE133" t="s">
        <v>3</v>
      </c>
      <c r="DF133">
        <f t="shared" ref="DF133:DF138" si="97">ROUND(ROUND(AE133,2)*CX133,2)</f>
        <v>0</v>
      </c>
      <c r="DG133">
        <f t="shared" si="96"/>
        <v>0</v>
      </c>
      <c r="DH133">
        <f>ROUND(ROUND(AG133,2)*CX133,2)</f>
        <v>0</v>
      </c>
      <c r="DI133">
        <f>ROUND(ROUND(AH133*AL133,2)*CX133,2)</f>
        <v>12547.46</v>
      </c>
      <c r="DJ133">
        <f>DI133</f>
        <v>12547.46</v>
      </c>
      <c r="DK133">
        <v>0</v>
      </c>
      <c r="DL133" t="s">
        <v>3</v>
      </c>
      <c r="DM133">
        <v>0</v>
      </c>
      <c r="DN133" t="s">
        <v>3</v>
      </c>
      <c r="DO133">
        <v>0</v>
      </c>
    </row>
    <row r="134" spans="1:119" x14ac:dyDescent="0.2">
      <c r="A134">
        <f>ROW(Source!A103)</f>
        <v>103</v>
      </c>
      <c r="B134">
        <v>145262827</v>
      </c>
      <c r="C134">
        <v>145263321</v>
      </c>
      <c r="D134">
        <v>140760225</v>
      </c>
      <c r="E134">
        <v>70</v>
      </c>
      <c r="F134">
        <v>1</v>
      </c>
      <c r="G134">
        <v>1</v>
      </c>
      <c r="H134">
        <v>1</v>
      </c>
      <c r="I134" t="s">
        <v>381</v>
      </c>
      <c r="J134" t="s">
        <v>3</v>
      </c>
      <c r="K134" t="s">
        <v>382</v>
      </c>
      <c r="L134">
        <v>1191</v>
      </c>
      <c r="N134">
        <v>1013</v>
      </c>
      <c r="O134" t="s">
        <v>374</v>
      </c>
      <c r="P134" t="s">
        <v>374</v>
      </c>
      <c r="Q134">
        <v>1</v>
      </c>
      <c r="W134">
        <v>0</v>
      </c>
      <c r="X134">
        <v>-1417349443</v>
      </c>
      <c r="Y134">
        <f>(AT134*1.25)</f>
        <v>0.51249999999999996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1</v>
      </c>
      <c r="AJ134">
        <v>1</v>
      </c>
      <c r="AK134">
        <v>29.33</v>
      </c>
      <c r="AL134">
        <v>1</v>
      </c>
      <c r="AM134">
        <v>4</v>
      </c>
      <c r="AN134">
        <v>0</v>
      </c>
      <c r="AO134">
        <v>1</v>
      </c>
      <c r="AP134">
        <v>1</v>
      </c>
      <c r="AQ134">
        <v>0</v>
      </c>
      <c r="AR134">
        <v>0</v>
      </c>
      <c r="AS134" t="s">
        <v>3</v>
      </c>
      <c r="AT134">
        <v>0.41</v>
      </c>
      <c r="AU134" t="s">
        <v>148</v>
      </c>
      <c r="AV134">
        <v>2</v>
      </c>
      <c r="AW134">
        <v>2</v>
      </c>
      <c r="AX134">
        <v>145263331</v>
      </c>
      <c r="AY134">
        <v>1</v>
      </c>
      <c r="AZ134">
        <v>0</v>
      </c>
      <c r="BA134">
        <v>146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ROUND(Y134*Source!I103,9)</f>
        <v>3.3927499999999999</v>
      </c>
      <c r="CY134">
        <f>AD134</f>
        <v>0</v>
      </c>
      <c r="CZ134">
        <f>AH134</f>
        <v>0</v>
      </c>
      <c r="DA134">
        <f>AL134</f>
        <v>1</v>
      </c>
      <c r="DB134">
        <f>ROUND((ROUND(AT134*CZ134,2)*1.25),2)</f>
        <v>0</v>
      </c>
      <c r="DC134">
        <f>ROUND((ROUND(AT134*AG134,2)*1.25),2)</f>
        <v>0</v>
      </c>
      <c r="DD134" t="s">
        <v>3</v>
      </c>
      <c r="DE134" t="s">
        <v>3</v>
      </c>
      <c r="DF134">
        <f t="shared" si="97"/>
        <v>0</v>
      </c>
      <c r="DG134">
        <f t="shared" si="96"/>
        <v>0</v>
      </c>
      <c r="DH134">
        <f>ROUND(ROUND(AG134*AK134,2)*CX134,2)</f>
        <v>0</v>
      </c>
      <c r="DI134">
        <f t="shared" ref="DI134:DI140" si="98">ROUND(ROUND(AH134,2)*CX134,2)</f>
        <v>0</v>
      </c>
      <c r="DJ134">
        <f>DI134</f>
        <v>0</v>
      </c>
      <c r="DK134">
        <v>0</v>
      </c>
      <c r="DL134" t="s">
        <v>3</v>
      </c>
      <c r="DM134">
        <v>0</v>
      </c>
      <c r="DN134" t="s">
        <v>3</v>
      </c>
      <c r="DO134">
        <v>0</v>
      </c>
    </row>
    <row r="135" spans="1:119" x14ac:dyDescent="0.2">
      <c r="A135">
        <f>ROW(Source!A103)</f>
        <v>103</v>
      </c>
      <c r="B135">
        <v>145262827</v>
      </c>
      <c r="C135">
        <v>145263321</v>
      </c>
      <c r="D135">
        <v>140922893</v>
      </c>
      <c r="E135">
        <v>1</v>
      </c>
      <c r="F135">
        <v>1</v>
      </c>
      <c r="G135">
        <v>1</v>
      </c>
      <c r="H135">
        <v>2</v>
      </c>
      <c r="I135" t="s">
        <v>428</v>
      </c>
      <c r="J135" t="s">
        <v>429</v>
      </c>
      <c r="K135" t="s">
        <v>430</v>
      </c>
      <c r="L135">
        <v>1367</v>
      </c>
      <c r="N135">
        <v>1011</v>
      </c>
      <c r="O135" t="s">
        <v>378</v>
      </c>
      <c r="P135" t="s">
        <v>378</v>
      </c>
      <c r="Q135">
        <v>1</v>
      </c>
      <c r="W135">
        <v>0</v>
      </c>
      <c r="X135">
        <v>-130837057</v>
      </c>
      <c r="Y135">
        <f>(AT135*1.25)</f>
        <v>0.22499999999999998</v>
      </c>
      <c r="AA135">
        <v>0</v>
      </c>
      <c r="AB135">
        <v>995.33</v>
      </c>
      <c r="AC135">
        <v>395.96</v>
      </c>
      <c r="AD135">
        <v>0</v>
      </c>
      <c r="AE135">
        <v>0</v>
      </c>
      <c r="AF135">
        <v>86.4</v>
      </c>
      <c r="AG135">
        <v>13.5</v>
      </c>
      <c r="AH135">
        <v>0</v>
      </c>
      <c r="AI135">
        <v>1</v>
      </c>
      <c r="AJ135">
        <v>11.52</v>
      </c>
      <c r="AK135">
        <v>29.33</v>
      </c>
      <c r="AL135">
        <v>1</v>
      </c>
      <c r="AM135">
        <v>4</v>
      </c>
      <c r="AN135">
        <v>0</v>
      </c>
      <c r="AO135">
        <v>1</v>
      </c>
      <c r="AP135">
        <v>1</v>
      </c>
      <c r="AQ135">
        <v>0</v>
      </c>
      <c r="AR135">
        <v>0</v>
      </c>
      <c r="AS135" t="s">
        <v>3</v>
      </c>
      <c r="AT135">
        <v>0.18</v>
      </c>
      <c r="AU135" t="s">
        <v>148</v>
      </c>
      <c r="AV135">
        <v>0</v>
      </c>
      <c r="AW135">
        <v>2</v>
      </c>
      <c r="AX135">
        <v>145263332</v>
      </c>
      <c r="AY135">
        <v>1</v>
      </c>
      <c r="AZ135">
        <v>0</v>
      </c>
      <c r="BA135">
        <v>147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ROUND(Y135*Source!I103,9)</f>
        <v>1.4895</v>
      </c>
      <c r="CY135">
        <f>AB135</f>
        <v>995.33</v>
      </c>
      <c r="CZ135">
        <f>AF135</f>
        <v>86.4</v>
      </c>
      <c r="DA135">
        <f>AJ135</f>
        <v>11.52</v>
      </c>
      <c r="DB135">
        <f>ROUND((ROUND(AT135*CZ135,2)*1.25),2)</f>
        <v>19.440000000000001</v>
      </c>
      <c r="DC135">
        <f>ROUND((ROUND(AT135*AG135,2)*1.25),2)</f>
        <v>3.04</v>
      </c>
      <c r="DD135" t="s">
        <v>3</v>
      </c>
      <c r="DE135" t="s">
        <v>3</v>
      </c>
      <c r="DF135">
        <f t="shared" si="97"/>
        <v>0</v>
      </c>
      <c r="DG135">
        <f>ROUND(ROUND(AF135*AJ135,2)*CX135,2)</f>
        <v>1482.54</v>
      </c>
      <c r="DH135">
        <f>ROUND(ROUND(AG135*AK135,2)*CX135,2)</f>
        <v>589.78</v>
      </c>
      <c r="DI135">
        <f t="shared" si="98"/>
        <v>0</v>
      </c>
      <c r="DJ135">
        <f>DG135</f>
        <v>1482.54</v>
      </c>
      <c r="DK135">
        <v>0</v>
      </c>
      <c r="DL135" t="s">
        <v>3</v>
      </c>
      <c r="DM135">
        <v>0</v>
      </c>
      <c r="DN135" t="s">
        <v>3</v>
      </c>
      <c r="DO135">
        <v>0</v>
      </c>
    </row>
    <row r="136" spans="1:119" x14ac:dyDescent="0.2">
      <c r="A136">
        <f>ROW(Source!A103)</f>
        <v>103</v>
      </c>
      <c r="B136">
        <v>145262827</v>
      </c>
      <c r="C136">
        <v>145263321</v>
      </c>
      <c r="D136">
        <v>140922951</v>
      </c>
      <c r="E136">
        <v>1</v>
      </c>
      <c r="F136">
        <v>1</v>
      </c>
      <c r="G136">
        <v>1</v>
      </c>
      <c r="H136">
        <v>2</v>
      </c>
      <c r="I136" t="s">
        <v>436</v>
      </c>
      <c r="J136" t="s">
        <v>437</v>
      </c>
      <c r="K136" t="s">
        <v>438</v>
      </c>
      <c r="L136">
        <v>1367</v>
      </c>
      <c r="N136">
        <v>1011</v>
      </c>
      <c r="O136" t="s">
        <v>378</v>
      </c>
      <c r="P136" t="s">
        <v>378</v>
      </c>
      <c r="Q136">
        <v>1</v>
      </c>
      <c r="W136">
        <v>0</v>
      </c>
      <c r="X136">
        <v>-430484415</v>
      </c>
      <c r="Y136">
        <f>(AT136*1.25)</f>
        <v>0.125</v>
      </c>
      <c r="AA136">
        <v>0</v>
      </c>
      <c r="AB136">
        <v>1329.41</v>
      </c>
      <c r="AC136">
        <v>395.96</v>
      </c>
      <c r="AD136">
        <v>0</v>
      </c>
      <c r="AE136">
        <v>0</v>
      </c>
      <c r="AF136">
        <v>115.4</v>
      </c>
      <c r="AG136">
        <v>13.5</v>
      </c>
      <c r="AH136">
        <v>0</v>
      </c>
      <c r="AI136">
        <v>1</v>
      </c>
      <c r="AJ136">
        <v>11.52</v>
      </c>
      <c r="AK136">
        <v>29.33</v>
      </c>
      <c r="AL136">
        <v>1</v>
      </c>
      <c r="AM136">
        <v>4</v>
      </c>
      <c r="AN136">
        <v>0</v>
      </c>
      <c r="AO136">
        <v>1</v>
      </c>
      <c r="AP136">
        <v>1</v>
      </c>
      <c r="AQ136">
        <v>0</v>
      </c>
      <c r="AR136">
        <v>0</v>
      </c>
      <c r="AS136" t="s">
        <v>3</v>
      </c>
      <c r="AT136">
        <v>0.1</v>
      </c>
      <c r="AU136" t="s">
        <v>148</v>
      </c>
      <c r="AV136">
        <v>0</v>
      </c>
      <c r="AW136">
        <v>2</v>
      </c>
      <c r="AX136">
        <v>145263333</v>
      </c>
      <c r="AY136">
        <v>1</v>
      </c>
      <c r="AZ136">
        <v>0</v>
      </c>
      <c r="BA136">
        <v>148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ROUND(Y136*Source!I103,9)</f>
        <v>0.82750000000000001</v>
      </c>
      <c r="CY136">
        <f>AB136</f>
        <v>1329.41</v>
      </c>
      <c r="CZ136">
        <f>AF136</f>
        <v>115.4</v>
      </c>
      <c r="DA136">
        <f>AJ136</f>
        <v>11.52</v>
      </c>
      <c r="DB136">
        <f>ROUND((ROUND(AT136*CZ136,2)*1.25),2)</f>
        <v>14.43</v>
      </c>
      <c r="DC136">
        <f>ROUND((ROUND(AT136*AG136,2)*1.25),2)</f>
        <v>1.69</v>
      </c>
      <c r="DD136" t="s">
        <v>3</v>
      </c>
      <c r="DE136" t="s">
        <v>3</v>
      </c>
      <c r="DF136">
        <f t="shared" si="97"/>
        <v>0</v>
      </c>
      <c r="DG136">
        <f>ROUND(ROUND(AF136*AJ136,2)*CX136,2)</f>
        <v>1100.0899999999999</v>
      </c>
      <c r="DH136">
        <f>ROUND(ROUND(AG136*AK136,2)*CX136,2)</f>
        <v>327.66000000000003</v>
      </c>
      <c r="DI136">
        <f t="shared" si="98"/>
        <v>0</v>
      </c>
      <c r="DJ136">
        <f>DG136</f>
        <v>1100.0899999999999</v>
      </c>
      <c r="DK136">
        <v>0</v>
      </c>
      <c r="DL136" t="s">
        <v>3</v>
      </c>
      <c r="DM136">
        <v>0</v>
      </c>
      <c r="DN136" t="s">
        <v>3</v>
      </c>
      <c r="DO136">
        <v>0</v>
      </c>
    </row>
    <row r="137" spans="1:119" x14ac:dyDescent="0.2">
      <c r="A137">
        <f>ROW(Source!A103)</f>
        <v>103</v>
      </c>
      <c r="B137">
        <v>145262827</v>
      </c>
      <c r="C137">
        <v>145263321</v>
      </c>
      <c r="D137">
        <v>140923885</v>
      </c>
      <c r="E137">
        <v>1</v>
      </c>
      <c r="F137">
        <v>1</v>
      </c>
      <c r="G137">
        <v>1</v>
      </c>
      <c r="H137">
        <v>2</v>
      </c>
      <c r="I137" t="s">
        <v>386</v>
      </c>
      <c r="J137" t="s">
        <v>387</v>
      </c>
      <c r="K137" t="s">
        <v>388</v>
      </c>
      <c r="L137">
        <v>1367</v>
      </c>
      <c r="N137">
        <v>1011</v>
      </c>
      <c r="O137" t="s">
        <v>378</v>
      </c>
      <c r="P137" t="s">
        <v>378</v>
      </c>
      <c r="Q137">
        <v>1</v>
      </c>
      <c r="W137">
        <v>0</v>
      </c>
      <c r="X137">
        <v>509054691</v>
      </c>
      <c r="Y137">
        <f>(AT137*1.25)</f>
        <v>0.16250000000000001</v>
      </c>
      <c r="AA137">
        <v>0</v>
      </c>
      <c r="AB137">
        <v>756.98</v>
      </c>
      <c r="AC137">
        <v>340.23</v>
      </c>
      <c r="AD137">
        <v>0</v>
      </c>
      <c r="AE137">
        <v>0</v>
      </c>
      <c r="AF137">
        <v>65.709999999999994</v>
      </c>
      <c r="AG137">
        <v>11.6</v>
      </c>
      <c r="AH137">
        <v>0</v>
      </c>
      <c r="AI137">
        <v>1</v>
      </c>
      <c r="AJ137">
        <v>11.52</v>
      </c>
      <c r="AK137">
        <v>29.33</v>
      </c>
      <c r="AL137">
        <v>1</v>
      </c>
      <c r="AM137">
        <v>4</v>
      </c>
      <c r="AN137">
        <v>0</v>
      </c>
      <c r="AO137">
        <v>1</v>
      </c>
      <c r="AP137">
        <v>1</v>
      </c>
      <c r="AQ137">
        <v>0</v>
      </c>
      <c r="AR137">
        <v>0</v>
      </c>
      <c r="AS137" t="s">
        <v>3</v>
      </c>
      <c r="AT137">
        <v>0.13</v>
      </c>
      <c r="AU137" t="s">
        <v>148</v>
      </c>
      <c r="AV137">
        <v>0</v>
      </c>
      <c r="AW137">
        <v>2</v>
      </c>
      <c r="AX137">
        <v>145263334</v>
      </c>
      <c r="AY137">
        <v>1</v>
      </c>
      <c r="AZ137">
        <v>0</v>
      </c>
      <c r="BA137">
        <v>149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ROUND(Y137*Source!I103,9)</f>
        <v>1.07575</v>
      </c>
      <c r="CY137">
        <f>AB137</f>
        <v>756.98</v>
      </c>
      <c r="CZ137">
        <f>AF137</f>
        <v>65.709999999999994</v>
      </c>
      <c r="DA137">
        <f>AJ137</f>
        <v>11.52</v>
      </c>
      <c r="DB137">
        <f>ROUND((ROUND(AT137*CZ137,2)*1.25),2)</f>
        <v>10.68</v>
      </c>
      <c r="DC137">
        <f>ROUND((ROUND(AT137*AG137,2)*1.25),2)</f>
        <v>1.89</v>
      </c>
      <c r="DD137" t="s">
        <v>3</v>
      </c>
      <c r="DE137" t="s">
        <v>3</v>
      </c>
      <c r="DF137">
        <f t="shared" si="97"/>
        <v>0</v>
      </c>
      <c r="DG137">
        <f>ROUND(ROUND(AF137*AJ137,2)*CX137,2)</f>
        <v>814.32</v>
      </c>
      <c r="DH137">
        <f>ROUND(ROUND(AG137*AK137,2)*CX137,2)</f>
        <v>366</v>
      </c>
      <c r="DI137">
        <f t="shared" si="98"/>
        <v>0</v>
      </c>
      <c r="DJ137">
        <f>DG137</f>
        <v>814.32</v>
      </c>
      <c r="DK137">
        <v>0</v>
      </c>
      <c r="DL137" t="s">
        <v>3</v>
      </c>
      <c r="DM137">
        <v>0</v>
      </c>
      <c r="DN137" t="s">
        <v>3</v>
      </c>
      <c r="DO137">
        <v>0</v>
      </c>
    </row>
    <row r="138" spans="1:119" x14ac:dyDescent="0.2">
      <c r="A138">
        <f>ROW(Source!A103)</f>
        <v>103</v>
      </c>
      <c r="B138">
        <v>145262827</v>
      </c>
      <c r="C138">
        <v>145263321</v>
      </c>
      <c r="D138">
        <v>140924098</v>
      </c>
      <c r="E138">
        <v>1</v>
      </c>
      <c r="F138">
        <v>1</v>
      </c>
      <c r="G138">
        <v>1</v>
      </c>
      <c r="H138">
        <v>2</v>
      </c>
      <c r="I138" t="s">
        <v>389</v>
      </c>
      <c r="J138" t="s">
        <v>390</v>
      </c>
      <c r="K138" t="s">
        <v>391</v>
      </c>
      <c r="L138">
        <v>1367</v>
      </c>
      <c r="N138">
        <v>1011</v>
      </c>
      <c r="O138" t="s">
        <v>378</v>
      </c>
      <c r="P138" t="s">
        <v>378</v>
      </c>
      <c r="Q138">
        <v>1</v>
      </c>
      <c r="W138">
        <v>0</v>
      </c>
      <c r="X138">
        <v>829370094</v>
      </c>
      <c r="Y138">
        <f>(AT138*1.25)</f>
        <v>1.9875</v>
      </c>
      <c r="AA138">
        <v>0</v>
      </c>
      <c r="AB138">
        <v>93.31</v>
      </c>
      <c r="AC138">
        <v>0</v>
      </c>
      <c r="AD138">
        <v>0</v>
      </c>
      <c r="AE138">
        <v>0</v>
      </c>
      <c r="AF138">
        <v>8.1</v>
      </c>
      <c r="AG138">
        <v>0</v>
      </c>
      <c r="AH138">
        <v>0</v>
      </c>
      <c r="AI138">
        <v>1</v>
      </c>
      <c r="AJ138">
        <v>11.52</v>
      </c>
      <c r="AK138">
        <v>29.33</v>
      </c>
      <c r="AL138">
        <v>1</v>
      </c>
      <c r="AM138">
        <v>4</v>
      </c>
      <c r="AN138">
        <v>0</v>
      </c>
      <c r="AO138">
        <v>1</v>
      </c>
      <c r="AP138">
        <v>1</v>
      </c>
      <c r="AQ138">
        <v>0</v>
      </c>
      <c r="AR138">
        <v>0</v>
      </c>
      <c r="AS138" t="s">
        <v>3</v>
      </c>
      <c r="AT138">
        <v>1.59</v>
      </c>
      <c r="AU138" t="s">
        <v>148</v>
      </c>
      <c r="AV138">
        <v>0</v>
      </c>
      <c r="AW138">
        <v>2</v>
      </c>
      <c r="AX138">
        <v>145263335</v>
      </c>
      <c r="AY138">
        <v>1</v>
      </c>
      <c r="AZ138">
        <v>0</v>
      </c>
      <c r="BA138">
        <v>150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ROUND(Y138*Source!I103,9)</f>
        <v>13.157249999999999</v>
      </c>
      <c r="CY138">
        <f>AB138</f>
        <v>93.31</v>
      </c>
      <c r="CZ138">
        <f>AF138</f>
        <v>8.1</v>
      </c>
      <c r="DA138">
        <f>AJ138</f>
        <v>11.52</v>
      </c>
      <c r="DB138">
        <f>ROUND((ROUND(AT138*CZ138,2)*1.25),2)</f>
        <v>16.100000000000001</v>
      </c>
      <c r="DC138">
        <f>ROUND((ROUND(AT138*AG138,2)*1.25),2)</f>
        <v>0</v>
      </c>
      <c r="DD138" t="s">
        <v>3</v>
      </c>
      <c r="DE138" t="s">
        <v>3</v>
      </c>
      <c r="DF138">
        <f t="shared" si="97"/>
        <v>0</v>
      </c>
      <c r="DG138">
        <f>ROUND(ROUND(AF138*AJ138,2)*CX138,2)</f>
        <v>1227.7</v>
      </c>
      <c r="DH138">
        <f>ROUND(ROUND(AG138*AK138,2)*CX138,2)</f>
        <v>0</v>
      </c>
      <c r="DI138">
        <f t="shared" si="98"/>
        <v>0</v>
      </c>
      <c r="DJ138">
        <f>DG138</f>
        <v>1227.7</v>
      </c>
      <c r="DK138">
        <v>0</v>
      </c>
      <c r="DL138" t="s">
        <v>3</v>
      </c>
      <c r="DM138">
        <v>0</v>
      </c>
      <c r="DN138" t="s">
        <v>3</v>
      </c>
      <c r="DO138">
        <v>0</v>
      </c>
    </row>
    <row r="139" spans="1:119" x14ac:dyDescent="0.2">
      <c r="A139">
        <f>ROW(Source!A103)</f>
        <v>103</v>
      </c>
      <c r="B139">
        <v>145262827</v>
      </c>
      <c r="C139">
        <v>145263321</v>
      </c>
      <c r="D139">
        <v>140773798</v>
      </c>
      <c r="E139">
        <v>1</v>
      </c>
      <c r="F139">
        <v>1</v>
      </c>
      <c r="G139">
        <v>1</v>
      </c>
      <c r="H139">
        <v>3</v>
      </c>
      <c r="I139" t="s">
        <v>395</v>
      </c>
      <c r="J139" t="s">
        <v>396</v>
      </c>
      <c r="K139" t="s">
        <v>397</v>
      </c>
      <c r="L139">
        <v>1348</v>
      </c>
      <c r="N139">
        <v>1009</v>
      </c>
      <c r="O139" t="s">
        <v>206</v>
      </c>
      <c r="P139" t="s">
        <v>206</v>
      </c>
      <c r="Q139">
        <v>1000</v>
      </c>
      <c r="W139">
        <v>0</v>
      </c>
      <c r="X139">
        <v>761442094</v>
      </c>
      <c r="Y139">
        <f t="shared" ref="Y139:Y153" si="99">AT139</f>
        <v>5.0000000000000001E-4</v>
      </c>
      <c r="AA139">
        <v>79915.520000000004</v>
      </c>
      <c r="AB139">
        <v>0</v>
      </c>
      <c r="AC139">
        <v>0</v>
      </c>
      <c r="AD139">
        <v>0</v>
      </c>
      <c r="AE139">
        <v>9424</v>
      </c>
      <c r="AF139">
        <v>0</v>
      </c>
      <c r="AG139">
        <v>0</v>
      </c>
      <c r="AH139">
        <v>0</v>
      </c>
      <c r="AI139">
        <v>8.48</v>
      </c>
      <c r="AJ139">
        <v>1</v>
      </c>
      <c r="AK139">
        <v>1</v>
      </c>
      <c r="AL139">
        <v>1</v>
      </c>
      <c r="AM139">
        <v>4</v>
      </c>
      <c r="AN139">
        <v>0</v>
      </c>
      <c r="AO139">
        <v>1</v>
      </c>
      <c r="AP139">
        <v>0</v>
      </c>
      <c r="AQ139">
        <v>0</v>
      </c>
      <c r="AR139">
        <v>0</v>
      </c>
      <c r="AS139" t="s">
        <v>3</v>
      </c>
      <c r="AT139">
        <v>5.0000000000000001E-4</v>
      </c>
      <c r="AU139" t="s">
        <v>3</v>
      </c>
      <c r="AV139">
        <v>0</v>
      </c>
      <c r="AW139">
        <v>2</v>
      </c>
      <c r="AX139">
        <v>145263336</v>
      </c>
      <c r="AY139">
        <v>1</v>
      </c>
      <c r="AZ139">
        <v>0</v>
      </c>
      <c r="BA139">
        <v>151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ROUND(Y139*Source!I103,9)</f>
        <v>3.31E-3</v>
      </c>
      <c r="CY139">
        <f>AA139</f>
        <v>79915.520000000004</v>
      </c>
      <c r="CZ139">
        <f>AE139</f>
        <v>9424</v>
      </c>
      <c r="DA139">
        <f>AI139</f>
        <v>8.48</v>
      </c>
      <c r="DB139">
        <f t="shared" ref="DB139:DB153" si="100">ROUND(ROUND(AT139*CZ139,2),2)</f>
        <v>4.71</v>
      </c>
      <c r="DC139">
        <f t="shared" ref="DC139:DC153" si="101">ROUND(ROUND(AT139*AG139,2),2)</f>
        <v>0</v>
      </c>
      <c r="DD139" t="s">
        <v>3</v>
      </c>
      <c r="DE139" t="s">
        <v>3</v>
      </c>
      <c r="DF139">
        <f>ROUND(ROUND(AE139*AI139,2)*CX139,2)</f>
        <v>264.52</v>
      </c>
      <c r="DG139">
        <f>ROUND(ROUND(AF139,2)*CX139,2)</f>
        <v>0</v>
      </c>
      <c r="DH139">
        <f>ROUND(ROUND(AG139,2)*CX139,2)</f>
        <v>0</v>
      </c>
      <c r="DI139">
        <f t="shared" si="98"/>
        <v>0</v>
      </c>
      <c r="DJ139">
        <f>DF139</f>
        <v>264.52</v>
      </c>
      <c r="DK139">
        <v>0</v>
      </c>
      <c r="DL139" t="s">
        <v>3</v>
      </c>
      <c r="DM139">
        <v>0</v>
      </c>
      <c r="DN139" t="s">
        <v>3</v>
      </c>
      <c r="DO139">
        <v>0</v>
      </c>
    </row>
    <row r="140" spans="1:119" x14ac:dyDescent="0.2">
      <c r="A140">
        <f>ROW(Source!A103)</f>
        <v>103</v>
      </c>
      <c r="B140">
        <v>145262827</v>
      </c>
      <c r="C140">
        <v>145263321</v>
      </c>
      <c r="D140">
        <v>140776060</v>
      </c>
      <c r="E140">
        <v>1</v>
      </c>
      <c r="F140">
        <v>1</v>
      </c>
      <c r="G140">
        <v>1</v>
      </c>
      <c r="H140">
        <v>3</v>
      </c>
      <c r="I140" t="s">
        <v>545</v>
      </c>
      <c r="J140" t="s">
        <v>546</v>
      </c>
      <c r="K140" t="s">
        <v>547</v>
      </c>
      <c r="L140">
        <v>1346</v>
      </c>
      <c r="N140">
        <v>1009</v>
      </c>
      <c r="O140" t="s">
        <v>457</v>
      </c>
      <c r="P140" t="s">
        <v>457</v>
      </c>
      <c r="Q140">
        <v>1</v>
      </c>
      <c r="W140">
        <v>0</v>
      </c>
      <c r="X140">
        <v>968783778</v>
      </c>
      <c r="Y140">
        <f t="shared" si="99"/>
        <v>0.52</v>
      </c>
      <c r="AA140">
        <v>239.64</v>
      </c>
      <c r="AB140">
        <v>0</v>
      </c>
      <c r="AC140">
        <v>0</v>
      </c>
      <c r="AD140">
        <v>0</v>
      </c>
      <c r="AE140">
        <v>28.26</v>
      </c>
      <c r="AF140">
        <v>0</v>
      </c>
      <c r="AG140">
        <v>0</v>
      </c>
      <c r="AH140">
        <v>0</v>
      </c>
      <c r="AI140">
        <v>8.48</v>
      </c>
      <c r="AJ140">
        <v>1</v>
      </c>
      <c r="AK140">
        <v>1</v>
      </c>
      <c r="AL140">
        <v>1</v>
      </c>
      <c r="AM140">
        <v>4</v>
      </c>
      <c r="AN140">
        <v>0</v>
      </c>
      <c r="AO140">
        <v>1</v>
      </c>
      <c r="AP140">
        <v>0</v>
      </c>
      <c r="AQ140">
        <v>0</v>
      </c>
      <c r="AR140">
        <v>0</v>
      </c>
      <c r="AS140" t="s">
        <v>3</v>
      </c>
      <c r="AT140">
        <v>0.52</v>
      </c>
      <c r="AU140" t="s">
        <v>3</v>
      </c>
      <c r="AV140">
        <v>0</v>
      </c>
      <c r="AW140">
        <v>2</v>
      </c>
      <c r="AX140">
        <v>145263337</v>
      </c>
      <c r="AY140">
        <v>1</v>
      </c>
      <c r="AZ140">
        <v>0</v>
      </c>
      <c r="BA140">
        <v>152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ROUND(Y140*Source!I103,9)</f>
        <v>3.4424000000000001</v>
      </c>
      <c r="CY140">
        <f>AA140</f>
        <v>239.64</v>
      </c>
      <c r="CZ140">
        <f>AE140</f>
        <v>28.26</v>
      </c>
      <c r="DA140">
        <f>AI140</f>
        <v>8.48</v>
      </c>
      <c r="DB140">
        <f t="shared" si="100"/>
        <v>14.7</v>
      </c>
      <c r="DC140">
        <f t="shared" si="101"/>
        <v>0</v>
      </c>
      <c r="DD140" t="s">
        <v>3</v>
      </c>
      <c r="DE140" t="s">
        <v>3</v>
      </c>
      <c r="DF140">
        <f>ROUND(ROUND(AE140*AI140,2)*CX140,2)</f>
        <v>824.94</v>
      </c>
      <c r="DG140">
        <f>ROUND(ROUND(AF140,2)*CX140,2)</f>
        <v>0</v>
      </c>
      <c r="DH140">
        <f>ROUND(ROUND(AG140,2)*CX140,2)</f>
        <v>0</v>
      </c>
      <c r="DI140">
        <f t="shared" si="98"/>
        <v>0</v>
      </c>
      <c r="DJ140">
        <f>DF140</f>
        <v>824.94</v>
      </c>
      <c r="DK140">
        <v>0</v>
      </c>
      <c r="DL140" t="s">
        <v>3</v>
      </c>
      <c r="DM140">
        <v>0</v>
      </c>
      <c r="DN140" t="s">
        <v>3</v>
      </c>
      <c r="DO140">
        <v>0</v>
      </c>
    </row>
    <row r="141" spans="1:119" x14ac:dyDescent="0.2">
      <c r="A141">
        <f>ROW(Source!A104)</f>
        <v>104</v>
      </c>
      <c r="B141">
        <v>145262827</v>
      </c>
      <c r="C141">
        <v>145263339</v>
      </c>
      <c r="D141">
        <v>140760022</v>
      </c>
      <c r="E141">
        <v>70</v>
      </c>
      <c r="F141">
        <v>1</v>
      </c>
      <c r="G141">
        <v>1</v>
      </c>
      <c r="H141">
        <v>1</v>
      </c>
      <c r="I141" t="s">
        <v>492</v>
      </c>
      <c r="J141" t="s">
        <v>3</v>
      </c>
      <c r="K141" t="s">
        <v>493</v>
      </c>
      <c r="L141">
        <v>1191</v>
      </c>
      <c r="N141">
        <v>1013</v>
      </c>
      <c r="O141" t="s">
        <v>374</v>
      </c>
      <c r="P141" t="s">
        <v>374</v>
      </c>
      <c r="Q141">
        <v>1</v>
      </c>
      <c r="W141">
        <v>0</v>
      </c>
      <c r="X141">
        <v>-2012709214</v>
      </c>
      <c r="Y141">
        <f t="shared" si="99"/>
        <v>130</v>
      </c>
      <c r="AA141">
        <v>0</v>
      </c>
      <c r="AB141">
        <v>0</v>
      </c>
      <c r="AC141">
        <v>0</v>
      </c>
      <c r="AD141">
        <v>275.7</v>
      </c>
      <c r="AE141">
        <v>0</v>
      </c>
      <c r="AF141">
        <v>0</v>
      </c>
      <c r="AG141">
        <v>0</v>
      </c>
      <c r="AH141">
        <v>9.4</v>
      </c>
      <c r="AI141">
        <v>1</v>
      </c>
      <c r="AJ141">
        <v>1</v>
      </c>
      <c r="AK141">
        <v>1</v>
      </c>
      <c r="AL141">
        <v>29.33</v>
      </c>
      <c r="AM141">
        <v>4</v>
      </c>
      <c r="AN141">
        <v>0</v>
      </c>
      <c r="AO141">
        <v>1</v>
      </c>
      <c r="AP141">
        <v>0</v>
      </c>
      <c r="AQ141">
        <v>0</v>
      </c>
      <c r="AR141">
        <v>0</v>
      </c>
      <c r="AS141" t="s">
        <v>3</v>
      </c>
      <c r="AT141">
        <v>130</v>
      </c>
      <c r="AU141" t="s">
        <v>3</v>
      </c>
      <c r="AV141">
        <v>1</v>
      </c>
      <c r="AW141">
        <v>2</v>
      </c>
      <c r="AX141">
        <v>145263353</v>
      </c>
      <c r="AY141">
        <v>1</v>
      </c>
      <c r="AZ141">
        <v>0</v>
      </c>
      <c r="BA141">
        <v>154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ROUND(Y141*Source!I104,9)</f>
        <v>490.1</v>
      </c>
      <c r="CY141">
        <f>AD141</f>
        <v>275.7</v>
      </c>
      <c r="CZ141">
        <f>AH141</f>
        <v>9.4</v>
      </c>
      <c r="DA141">
        <f>AL141</f>
        <v>29.33</v>
      </c>
      <c r="DB141">
        <f t="shared" si="100"/>
        <v>1222</v>
      </c>
      <c r="DC141">
        <f t="shared" si="101"/>
        <v>0</v>
      </c>
      <c r="DD141" t="s">
        <v>3</v>
      </c>
      <c r="DE141" t="s">
        <v>3</v>
      </c>
      <c r="DF141">
        <f t="shared" ref="DF141:DF149" si="102">ROUND(ROUND(AE141,2)*CX141,2)</f>
        <v>0</v>
      </c>
      <c r="DG141">
        <f>ROUND(ROUND(AF141,2)*CX141,2)</f>
        <v>0</v>
      </c>
      <c r="DH141">
        <f>ROUND(ROUND(AG141,2)*CX141,2)</f>
        <v>0</v>
      </c>
      <c r="DI141">
        <f>ROUND(ROUND(AH141*AL141,2)*CX141,2)</f>
        <v>135120.57</v>
      </c>
      <c r="DJ141">
        <f>DI141</f>
        <v>135120.57</v>
      </c>
      <c r="DK141">
        <v>0</v>
      </c>
      <c r="DL141" t="s">
        <v>3</v>
      </c>
      <c r="DM141">
        <v>0</v>
      </c>
      <c r="DN141" t="s">
        <v>3</v>
      </c>
      <c r="DO141">
        <v>0</v>
      </c>
    </row>
    <row r="142" spans="1:119" x14ac:dyDescent="0.2">
      <c r="A142">
        <f>ROW(Source!A104)</f>
        <v>104</v>
      </c>
      <c r="B142">
        <v>145262827</v>
      </c>
      <c r="C142">
        <v>145263339</v>
      </c>
      <c r="D142">
        <v>140760225</v>
      </c>
      <c r="E142">
        <v>70</v>
      </c>
      <c r="F142">
        <v>1</v>
      </c>
      <c r="G142">
        <v>1</v>
      </c>
      <c r="H142">
        <v>1</v>
      </c>
      <c r="I142" t="s">
        <v>381</v>
      </c>
      <c r="J142" t="s">
        <v>3</v>
      </c>
      <c r="K142" t="s">
        <v>382</v>
      </c>
      <c r="L142">
        <v>1191</v>
      </c>
      <c r="N142">
        <v>1013</v>
      </c>
      <c r="O142" t="s">
        <v>374</v>
      </c>
      <c r="P142" t="s">
        <v>374</v>
      </c>
      <c r="Q142">
        <v>1</v>
      </c>
      <c r="W142">
        <v>0</v>
      </c>
      <c r="X142">
        <v>-1417349443</v>
      </c>
      <c r="Y142">
        <f t="shared" si="99"/>
        <v>3.95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1</v>
      </c>
      <c r="AJ142">
        <v>1</v>
      </c>
      <c r="AK142">
        <v>29.33</v>
      </c>
      <c r="AL142">
        <v>1</v>
      </c>
      <c r="AM142">
        <v>4</v>
      </c>
      <c r="AN142">
        <v>0</v>
      </c>
      <c r="AO142">
        <v>1</v>
      </c>
      <c r="AP142">
        <v>0</v>
      </c>
      <c r="AQ142">
        <v>0</v>
      </c>
      <c r="AR142">
        <v>0</v>
      </c>
      <c r="AS142" t="s">
        <v>3</v>
      </c>
      <c r="AT142">
        <v>3.95</v>
      </c>
      <c r="AU142" t="s">
        <v>3</v>
      </c>
      <c r="AV142">
        <v>2</v>
      </c>
      <c r="AW142">
        <v>2</v>
      </c>
      <c r="AX142">
        <v>145263354</v>
      </c>
      <c r="AY142">
        <v>1</v>
      </c>
      <c r="AZ142">
        <v>0</v>
      </c>
      <c r="BA142">
        <v>155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ROUND(Y142*Source!I104,9)</f>
        <v>14.891500000000001</v>
      </c>
      <c r="CY142">
        <f>AD142</f>
        <v>0</v>
      </c>
      <c r="CZ142">
        <f>AH142</f>
        <v>0</v>
      </c>
      <c r="DA142">
        <f>AL142</f>
        <v>1</v>
      </c>
      <c r="DB142">
        <f t="shared" si="100"/>
        <v>0</v>
      </c>
      <c r="DC142">
        <f t="shared" si="101"/>
        <v>0</v>
      </c>
      <c r="DD142" t="s">
        <v>3</v>
      </c>
      <c r="DE142" t="s">
        <v>3</v>
      </c>
      <c r="DF142">
        <f t="shared" si="102"/>
        <v>0</v>
      </c>
      <c r="DG142">
        <f>ROUND(ROUND(AF142,2)*CX142,2)</f>
        <v>0</v>
      </c>
      <c r="DH142">
        <f t="shared" ref="DH142:DH149" si="103">ROUND(ROUND(AG142*AK142,2)*CX142,2)</f>
        <v>0</v>
      </c>
      <c r="DI142">
        <f t="shared" ref="DI142:DI153" si="104">ROUND(ROUND(AH142,2)*CX142,2)</f>
        <v>0</v>
      </c>
      <c r="DJ142">
        <f>DI142</f>
        <v>0</v>
      </c>
      <c r="DK142">
        <v>0</v>
      </c>
      <c r="DL142" t="s">
        <v>3</v>
      </c>
      <c r="DM142">
        <v>0</v>
      </c>
      <c r="DN142" t="s">
        <v>3</v>
      </c>
      <c r="DO142">
        <v>0</v>
      </c>
    </row>
    <row r="143" spans="1:119" x14ac:dyDescent="0.2">
      <c r="A143">
        <f>ROW(Source!A104)</f>
        <v>104</v>
      </c>
      <c r="B143">
        <v>145262827</v>
      </c>
      <c r="C143">
        <v>145263339</v>
      </c>
      <c r="D143">
        <v>140922951</v>
      </c>
      <c r="E143">
        <v>1</v>
      </c>
      <c r="F143">
        <v>1</v>
      </c>
      <c r="G143">
        <v>1</v>
      </c>
      <c r="H143">
        <v>2</v>
      </c>
      <c r="I143" t="s">
        <v>436</v>
      </c>
      <c r="J143" t="s">
        <v>437</v>
      </c>
      <c r="K143" t="s">
        <v>438</v>
      </c>
      <c r="L143">
        <v>1367</v>
      </c>
      <c r="N143">
        <v>1011</v>
      </c>
      <c r="O143" t="s">
        <v>378</v>
      </c>
      <c r="P143" t="s">
        <v>378</v>
      </c>
      <c r="Q143">
        <v>1</v>
      </c>
      <c r="W143">
        <v>0</v>
      </c>
      <c r="X143">
        <v>-430484415</v>
      </c>
      <c r="Y143">
        <f t="shared" si="99"/>
        <v>0.5</v>
      </c>
      <c r="AA143">
        <v>0</v>
      </c>
      <c r="AB143">
        <v>1329.41</v>
      </c>
      <c r="AC143">
        <v>395.96</v>
      </c>
      <c r="AD143">
        <v>0</v>
      </c>
      <c r="AE143">
        <v>0</v>
      </c>
      <c r="AF143">
        <v>115.4</v>
      </c>
      <c r="AG143">
        <v>13.5</v>
      </c>
      <c r="AH143">
        <v>0</v>
      </c>
      <c r="AI143">
        <v>1</v>
      </c>
      <c r="AJ143">
        <v>11.52</v>
      </c>
      <c r="AK143">
        <v>29.33</v>
      </c>
      <c r="AL143">
        <v>1</v>
      </c>
      <c r="AM143">
        <v>4</v>
      </c>
      <c r="AN143">
        <v>0</v>
      </c>
      <c r="AO143">
        <v>1</v>
      </c>
      <c r="AP143">
        <v>0</v>
      </c>
      <c r="AQ143">
        <v>0</v>
      </c>
      <c r="AR143">
        <v>0</v>
      </c>
      <c r="AS143" t="s">
        <v>3</v>
      </c>
      <c r="AT143">
        <v>0.5</v>
      </c>
      <c r="AU143" t="s">
        <v>3</v>
      </c>
      <c r="AV143">
        <v>0</v>
      </c>
      <c r="AW143">
        <v>2</v>
      </c>
      <c r="AX143">
        <v>145263355</v>
      </c>
      <c r="AY143">
        <v>1</v>
      </c>
      <c r="AZ143">
        <v>0</v>
      </c>
      <c r="BA143">
        <v>156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ROUND(Y143*Source!I104,9)</f>
        <v>1.885</v>
      </c>
      <c r="CY143">
        <f t="shared" ref="CY143:CY149" si="105">AB143</f>
        <v>1329.41</v>
      </c>
      <c r="CZ143">
        <f t="shared" ref="CZ143:CZ149" si="106">AF143</f>
        <v>115.4</v>
      </c>
      <c r="DA143">
        <f t="shared" ref="DA143:DA149" si="107">AJ143</f>
        <v>11.52</v>
      </c>
      <c r="DB143">
        <f t="shared" si="100"/>
        <v>57.7</v>
      </c>
      <c r="DC143">
        <f t="shared" si="101"/>
        <v>6.75</v>
      </c>
      <c r="DD143" t="s">
        <v>3</v>
      </c>
      <c r="DE143" t="s">
        <v>3</v>
      </c>
      <c r="DF143">
        <f t="shared" si="102"/>
        <v>0</v>
      </c>
      <c r="DG143">
        <f t="shared" ref="DG143:DG149" si="108">ROUND(ROUND(AF143*AJ143,2)*CX143,2)</f>
        <v>2505.94</v>
      </c>
      <c r="DH143">
        <f t="shared" si="103"/>
        <v>746.38</v>
      </c>
      <c r="DI143">
        <f t="shared" si="104"/>
        <v>0</v>
      </c>
      <c r="DJ143">
        <f t="shared" ref="DJ143:DJ149" si="109">DG143</f>
        <v>2505.94</v>
      </c>
      <c r="DK143">
        <v>0</v>
      </c>
      <c r="DL143" t="s">
        <v>3</v>
      </c>
      <c r="DM143">
        <v>0</v>
      </c>
      <c r="DN143" t="s">
        <v>3</v>
      </c>
      <c r="DO143">
        <v>0</v>
      </c>
    </row>
    <row r="144" spans="1:119" x14ac:dyDescent="0.2">
      <c r="A144">
        <f>ROW(Source!A104)</f>
        <v>104</v>
      </c>
      <c r="B144">
        <v>145262827</v>
      </c>
      <c r="C144">
        <v>145263339</v>
      </c>
      <c r="D144">
        <v>140923082</v>
      </c>
      <c r="E144">
        <v>1</v>
      </c>
      <c r="F144">
        <v>1</v>
      </c>
      <c r="G144">
        <v>1</v>
      </c>
      <c r="H144">
        <v>2</v>
      </c>
      <c r="I144" t="s">
        <v>537</v>
      </c>
      <c r="J144" t="s">
        <v>538</v>
      </c>
      <c r="K144" t="s">
        <v>539</v>
      </c>
      <c r="L144">
        <v>1367</v>
      </c>
      <c r="N144">
        <v>1011</v>
      </c>
      <c r="O144" t="s">
        <v>378</v>
      </c>
      <c r="P144" t="s">
        <v>378</v>
      </c>
      <c r="Q144">
        <v>1</v>
      </c>
      <c r="W144">
        <v>0</v>
      </c>
      <c r="X144">
        <v>-354311334</v>
      </c>
      <c r="Y144">
        <f t="shared" si="99"/>
        <v>2.15</v>
      </c>
      <c r="AA144">
        <v>0</v>
      </c>
      <c r="AB144">
        <v>335</v>
      </c>
      <c r="AC144">
        <v>295.06</v>
      </c>
      <c r="AD144">
        <v>0</v>
      </c>
      <c r="AE144">
        <v>0</v>
      </c>
      <c r="AF144">
        <v>29.08</v>
      </c>
      <c r="AG144">
        <v>10.06</v>
      </c>
      <c r="AH144">
        <v>0</v>
      </c>
      <c r="AI144">
        <v>1</v>
      </c>
      <c r="AJ144">
        <v>11.52</v>
      </c>
      <c r="AK144">
        <v>29.33</v>
      </c>
      <c r="AL144">
        <v>1</v>
      </c>
      <c r="AM144">
        <v>4</v>
      </c>
      <c r="AN144">
        <v>0</v>
      </c>
      <c r="AO144">
        <v>1</v>
      </c>
      <c r="AP144">
        <v>0</v>
      </c>
      <c r="AQ144">
        <v>0</v>
      </c>
      <c r="AR144">
        <v>0</v>
      </c>
      <c r="AS144" t="s">
        <v>3</v>
      </c>
      <c r="AT144">
        <v>2.15</v>
      </c>
      <c r="AU144" t="s">
        <v>3</v>
      </c>
      <c r="AV144">
        <v>0</v>
      </c>
      <c r="AW144">
        <v>2</v>
      </c>
      <c r="AX144">
        <v>145263356</v>
      </c>
      <c r="AY144">
        <v>1</v>
      </c>
      <c r="AZ144">
        <v>0</v>
      </c>
      <c r="BA144">
        <v>157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ROUND(Y144*Source!I104,9)</f>
        <v>8.1054999999999993</v>
      </c>
      <c r="CY144">
        <f t="shared" si="105"/>
        <v>335</v>
      </c>
      <c r="CZ144">
        <f t="shared" si="106"/>
        <v>29.08</v>
      </c>
      <c r="DA144">
        <f t="shared" si="107"/>
        <v>11.52</v>
      </c>
      <c r="DB144">
        <f t="shared" si="100"/>
        <v>62.52</v>
      </c>
      <c r="DC144">
        <f t="shared" si="101"/>
        <v>21.63</v>
      </c>
      <c r="DD144" t="s">
        <v>3</v>
      </c>
      <c r="DE144" t="s">
        <v>3</v>
      </c>
      <c r="DF144">
        <f t="shared" si="102"/>
        <v>0</v>
      </c>
      <c r="DG144">
        <f t="shared" si="108"/>
        <v>2715.34</v>
      </c>
      <c r="DH144">
        <f t="shared" si="103"/>
        <v>2391.61</v>
      </c>
      <c r="DI144">
        <f t="shared" si="104"/>
        <v>0</v>
      </c>
      <c r="DJ144">
        <f t="shared" si="109"/>
        <v>2715.34</v>
      </c>
      <c r="DK144">
        <v>0</v>
      </c>
      <c r="DL144" t="s">
        <v>3</v>
      </c>
      <c r="DM144">
        <v>0</v>
      </c>
      <c r="DN144" t="s">
        <v>3</v>
      </c>
      <c r="DO144">
        <v>0</v>
      </c>
    </row>
    <row r="145" spans="1:119" x14ac:dyDescent="0.2">
      <c r="A145">
        <f>ROW(Source!A104)</f>
        <v>104</v>
      </c>
      <c r="B145">
        <v>145262827</v>
      </c>
      <c r="C145">
        <v>145263339</v>
      </c>
      <c r="D145">
        <v>140923886</v>
      </c>
      <c r="E145">
        <v>1</v>
      </c>
      <c r="F145">
        <v>1</v>
      </c>
      <c r="G145">
        <v>1</v>
      </c>
      <c r="H145">
        <v>2</v>
      </c>
      <c r="I145" t="s">
        <v>497</v>
      </c>
      <c r="J145" t="s">
        <v>498</v>
      </c>
      <c r="K145" t="s">
        <v>499</v>
      </c>
      <c r="L145">
        <v>1367</v>
      </c>
      <c r="N145">
        <v>1011</v>
      </c>
      <c r="O145" t="s">
        <v>378</v>
      </c>
      <c r="P145" t="s">
        <v>378</v>
      </c>
      <c r="Q145">
        <v>1</v>
      </c>
      <c r="W145">
        <v>0</v>
      </c>
      <c r="X145">
        <v>2006019958</v>
      </c>
      <c r="Y145">
        <f t="shared" si="99"/>
        <v>0.5</v>
      </c>
      <c r="AA145">
        <v>0</v>
      </c>
      <c r="AB145">
        <v>988.88</v>
      </c>
      <c r="AC145">
        <v>340.23</v>
      </c>
      <c r="AD145">
        <v>0</v>
      </c>
      <c r="AE145">
        <v>0</v>
      </c>
      <c r="AF145">
        <v>85.84</v>
      </c>
      <c r="AG145">
        <v>11.6</v>
      </c>
      <c r="AH145">
        <v>0</v>
      </c>
      <c r="AI145">
        <v>1</v>
      </c>
      <c r="AJ145">
        <v>11.52</v>
      </c>
      <c r="AK145">
        <v>29.33</v>
      </c>
      <c r="AL145">
        <v>1</v>
      </c>
      <c r="AM145">
        <v>4</v>
      </c>
      <c r="AN145">
        <v>0</v>
      </c>
      <c r="AO145">
        <v>1</v>
      </c>
      <c r="AP145">
        <v>0</v>
      </c>
      <c r="AQ145">
        <v>0</v>
      </c>
      <c r="AR145">
        <v>0</v>
      </c>
      <c r="AS145" t="s">
        <v>3</v>
      </c>
      <c r="AT145">
        <v>0.5</v>
      </c>
      <c r="AU145" t="s">
        <v>3</v>
      </c>
      <c r="AV145">
        <v>0</v>
      </c>
      <c r="AW145">
        <v>2</v>
      </c>
      <c r="AX145">
        <v>145263357</v>
      </c>
      <c r="AY145">
        <v>1</v>
      </c>
      <c r="AZ145">
        <v>0</v>
      </c>
      <c r="BA145">
        <v>158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ROUND(Y145*Source!I104,9)</f>
        <v>1.885</v>
      </c>
      <c r="CY145">
        <f t="shared" si="105"/>
        <v>988.88</v>
      </c>
      <c r="CZ145">
        <f t="shared" si="106"/>
        <v>85.84</v>
      </c>
      <c r="DA145">
        <f t="shared" si="107"/>
        <v>11.52</v>
      </c>
      <c r="DB145">
        <f t="shared" si="100"/>
        <v>42.92</v>
      </c>
      <c r="DC145">
        <f t="shared" si="101"/>
        <v>5.8</v>
      </c>
      <c r="DD145" t="s">
        <v>3</v>
      </c>
      <c r="DE145" t="s">
        <v>3</v>
      </c>
      <c r="DF145">
        <f t="shared" si="102"/>
        <v>0</v>
      </c>
      <c r="DG145">
        <f t="shared" si="108"/>
        <v>1864.04</v>
      </c>
      <c r="DH145">
        <f t="shared" si="103"/>
        <v>641.33000000000004</v>
      </c>
      <c r="DI145">
        <f t="shared" si="104"/>
        <v>0</v>
      </c>
      <c r="DJ145">
        <f t="shared" si="109"/>
        <v>1864.04</v>
      </c>
      <c r="DK145">
        <v>0</v>
      </c>
      <c r="DL145" t="s">
        <v>3</v>
      </c>
      <c r="DM145">
        <v>0</v>
      </c>
      <c r="DN145" t="s">
        <v>3</v>
      </c>
      <c r="DO145">
        <v>0</v>
      </c>
    </row>
    <row r="146" spans="1:119" x14ac:dyDescent="0.2">
      <c r="A146">
        <f>ROW(Source!A104)</f>
        <v>104</v>
      </c>
      <c r="B146">
        <v>145262827</v>
      </c>
      <c r="C146">
        <v>145263339</v>
      </c>
      <c r="D146">
        <v>140924028</v>
      </c>
      <c r="E146">
        <v>1</v>
      </c>
      <c r="F146">
        <v>1</v>
      </c>
      <c r="G146">
        <v>1</v>
      </c>
      <c r="H146">
        <v>2</v>
      </c>
      <c r="I146" t="s">
        <v>500</v>
      </c>
      <c r="J146" t="s">
        <v>501</v>
      </c>
      <c r="K146" t="s">
        <v>502</v>
      </c>
      <c r="L146">
        <v>1367</v>
      </c>
      <c r="N146">
        <v>1011</v>
      </c>
      <c r="O146" t="s">
        <v>378</v>
      </c>
      <c r="P146" t="s">
        <v>378</v>
      </c>
      <c r="Q146">
        <v>1</v>
      </c>
      <c r="W146">
        <v>0</v>
      </c>
      <c r="X146">
        <v>-536365956</v>
      </c>
      <c r="Y146">
        <f t="shared" si="99"/>
        <v>43.4</v>
      </c>
      <c r="AA146">
        <v>0</v>
      </c>
      <c r="AB146">
        <v>454.92</v>
      </c>
      <c r="AC146">
        <v>0</v>
      </c>
      <c r="AD146">
        <v>0</v>
      </c>
      <c r="AE146">
        <v>0</v>
      </c>
      <c r="AF146">
        <v>39.49</v>
      </c>
      <c r="AG146">
        <v>0</v>
      </c>
      <c r="AH146">
        <v>0</v>
      </c>
      <c r="AI146">
        <v>1</v>
      </c>
      <c r="AJ146">
        <v>11.52</v>
      </c>
      <c r="AK146">
        <v>29.33</v>
      </c>
      <c r="AL146">
        <v>1</v>
      </c>
      <c r="AM146">
        <v>4</v>
      </c>
      <c r="AN146">
        <v>0</v>
      </c>
      <c r="AO146">
        <v>1</v>
      </c>
      <c r="AP146">
        <v>0</v>
      </c>
      <c r="AQ146">
        <v>0</v>
      </c>
      <c r="AR146">
        <v>0</v>
      </c>
      <c r="AS146" t="s">
        <v>3</v>
      </c>
      <c r="AT146">
        <v>43.4</v>
      </c>
      <c r="AU146" t="s">
        <v>3</v>
      </c>
      <c r="AV146">
        <v>0</v>
      </c>
      <c r="AW146">
        <v>2</v>
      </c>
      <c r="AX146">
        <v>145263358</v>
      </c>
      <c r="AY146">
        <v>1</v>
      </c>
      <c r="AZ146">
        <v>0</v>
      </c>
      <c r="BA146">
        <v>159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ROUND(Y146*Source!I104,9)</f>
        <v>163.61799999999999</v>
      </c>
      <c r="CY146">
        <f t="shared" si="105"/>
        <v>454.92</v>
      </c>
      <c r="CZ146">
        <f t="shared" si="106"/>
        <v>39.49</v>
      </c>
      <c r="DA146">
        <f t="shared" si="107"/>
        <v>11.52</v>
      </c>
      <c r="DB146">
        <f t="shared" si="100"/>
        <v>1713.87</v>
      </c>
      <c r="DC146">
        <f t="shared" si="101"/>
        <v>0</v>
      </c>
      <c r="DD146" t="s">
        <v>3</v>
      </c>
      <c r="DE146" t="s">
        <v>3</v>
      </c>
      <c r="DF146">
        <f t="shared" si="102"/>
        <v>0</v>
      </c>
      <c r="DG146">
        <f t="shared" si="108"/>
        <v>74433.100000000006</v>
      </c>
      <c r="DH146">
        <f t="shared" si="103"/>
        <v>0</v>
      </c>
      <c r="DI146">
        <f t="shared" si="104"/>
        <v>0</v>
      </c>
      <c r="DJ146">
        <f t="shared" si="109"/>
        <v>74433.100000000006</v>
      </c>
      <c r="DK146">
        <v>0</v>
      </c>
      <c r="DL146" t="s">
        <v>3</v>
      </c>
      <c r="DM146">
        <v>0</v>
      </c>
      <c r="DN146" t="s">
        <v>3</v>
      </c>
      <c r="DO146">
        <v>0</v>
      </c>
    </row>
    <row r="147" spans="1:119" x14ac:dyDescent="0.2">
      <c r="A147">
        <f>ROW(Source!A104)</f>
        <v>104</v>
      </c>
      <c r="B147">
        <v>145262827</v>
      </c>
      <c r="C147">
        <v>145263339</v>
      </c>
      <c r="D147">
        <v>140924041</v>
      </c>
      <c r="E147">
        <v>1</v>
      </c>
      <c r="F147">
        <v>1</v>
      </c>
      <c r="G147">
        <v>1</v>
      </c>
      <c r="H147">
        <v>2</v>
      </c>
      <c r="I147" t="s">
        <v>445</v>
      </c>
      <c r="J147" t="s">
        <v>446</v>
      </c>
      <c r="K147" t="s">
        <v>447</v>
      </c>
      <c r="L147">
        <v>1367</v>
      </c>
      <c r="N147">
        <v>1011</v>
      </c>
      <c r="O147" t="s">
        <v>378</v>
      </c>
      <c r="P147" t="s">
        <v>378</v>
      </c>
      <c r="Q147">
        <v>1</v>
      </c>
      <c r="W147">
        <v>0</v>
      </c>
      <c r="X147">
        <v>2077867240</v>
      </c>
      <c r="Y147">
        <f t="shared" si="99"/>
        <v>0.9</v>
      </c>
      <c r="AA147">
        <v>0</v>
      </c>
      <c r="AB147">
        <v>13.82</v>
      </c>
      <c r="AC147">
        <v>0</v>
      </c>
      <c r="AD147">
        <v>0</v>
      </c>
      <c r="AE147">
        <v>0</v>
      </c>
      <c r="AF147">
        <v>1.2</v>
      </c>
      <c r="AG147">
        <v>0</v>
      </c>
      <c r="AH147">
        <v>0</v>
      </c>
      <c r="AI147">
        <v>1</v>
      </c>
      <c r="AJ147">
        <v>11.52</v>
      </c>
      <c r="AK147">
        <v>29.33</v>
      </c>
      <c r="AL147">
        <v>1</v>
      </c>
      <c r="AM147">
        <v>4</v>
      </c>
      <c r="AN147">
        <v>0</v>
      </c>
      <c r="AO147">
        <v>1</v>
      </c>
      <c r="AP147">
        <v>0</v>
      </c>
      <c r="AQ147">
        <v>0</v>
      </c>
      <c r="AR147">
        <v>0</v>
      </c>
      <c r="AS147" t="s">
        <v>3</v>
      </c>
      <c r="AT147">
        <v>0.9</v>
      </c>
      <c r="AU147" t="s">
        <v>3</v>
      </c>
      <c r="AV147">
        <v>0</v>
      </c>
      <c r="AW147">
        <v>2</v>
      </c>
      <c r="AX147">
        <v>145263359</v>
      </c>
      <c r="AY147">
        <v>1</v>
      </c>
      <c r="AZ147">
        <v>0</v>
      </c>
      <c r="BA147">
        <v>160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ROUND(Y147*Source!I104,9)</f>
        <v>3.3929999999999998</v>
      </c>
      <c r="CY147">
        <f t="shared" si="105"/>
        <v>13.82</v>
      </c>
      <c r="CZ147">
        <f t="shared" si="106"/>
        <v>1.2</v>
      </c>
      <c r="DA147">
        <f t="shared" si="107"/>
        <v>11.52</v>
      </c>
      <c r="DB147">
        <f t="shared" si="100"/>
        <v>1.08</v>
      </c>
      <c r="DC147">
        <f t="shared" si="101"/>
        <v>0</v>
      </c>
      <c r="DD147" t="s">
        <v>3</v>
      </c>
      <c r="DE147" t="s">
        <v>3</v>
      </c>
      <c r="DF147">
        <f t="shared" si="102"/>
        <v>0</v>
      </c>
      <c r="DG147">
        <f t="shared" si="108"/>
        <v>46.89</v>
      </c>
      <c r="DH147">
        <f t="shared" si="103"/>
        <v>0</v>
      </c>
      <c r="DI147">
        <f t="shared" si="104"/>
        <v>0</v>
      </c>
      <c r="DJ147">
        <f t="shared" si="109"/>
        <v>46.89</v>
      </c>
      <c r="DK147">
        <v>0</v>
      </c>
      <c r="DL147" t="s">
        <v>3</v>
      </c>
      <c r="DM147">
        <v>0</v>
      </c>
      <c r="DN147" t="s">
        <v>3</v>
      </c>
      <c r="DO147">
        <v>0</v>
      </c>
    </row>
    <row r="148" spans="1:119" x14ac:dyDescent="0.2">
      <c r="A148">
        <f>ROW(Source!A104)</f>
        <v>104</v>
      </c>
      <c r="B148">
        <v>145262827</v>
      </c>
      <c r="C148">
        <v>145263339</v>
      </c>
      <c r="D148">
        <v>140924610</v>
      </c>
      <c r="E148">
        <v>1</v>
      </c>
      <c r="F148">
        <v>1</v>
      </c>
      <c r="G148">
        <v>1</v>
      </c>
      <c r="H148">
        <v>2</v>
      </c>
      <c r="I148" t="s">
        <v>548</v>
      </c>
      <c r="J148" t="s">
        <v>549</v>
      </c>
      <c r="K148" t="s">
        <v>550</v>
      </c>
      <c r="L148">
        <v>1367</v>
      </c>
      <c r="N148">
        <v>1011</v>
      </c>
      <c r="O148" t="s">
        <v>378</v>
      </c>
      <c r="P148" t="s">
        <v>378</v>
      </c>
      <c r="Q148">
        <v>1</v>
      </c>
      <c r="W148">
        <v>0</v>
      </c>
      <c r="X148">
        <v>-193141335</v>
      </c>
      <c r="Y148">
        <f t="shared" si="99"/>
        <v>0.8</v>
      </c>
      <c r="AA148">
        <v>0</v>
      </c>
      <c r="AB148">
        <v>177.41</v>
      </c>
      <c r="AC148">
        <v>295.06</v>
      </c>
      <c r="AD148">
        <v>0</v>
      </c>
      <c r="AE148">
        <v>0</v>
      </c>
      <c r="AF148">
        <v>15.4</v>
      </c>
      <c r="AG148">
        <v>10.06</v>
      </c>
      <c r="AH148">
        <v>0</v>
      </c>
      <c r="AI148">
        <v>1</v>
      </c>
      <c r="AJ148">
        <v>11.52</v>
      </c>
      <c r="AK148">
        <v>29.33</v>
      </c>
      <c r="AL148">
        <v>1</v>
      </c>
      <c r="AM148">
        <v>4</v>
      </c>
      <c r="AN148">
        <v>0</v>
      </c>
      <c r="AO148">
        <v>1</v>
      </c>
      <c r="AP148">
        <v>0</v>
      </c>
      <c r="AQ148">
        <v>0</v>
      </c>
      <c r="AR148">
        <v>0</v>
      </c>
      <c r="AS148" t="s">
        <v>3</v>
      </c>
      <c r="AT148">
        <v>0.8</v>
      </c>
      <c r="AU148" t="s">
        <v>3</v>
      </c>
      <c r="AV148">
        <v>0</v>
      </c>
      <c r="AW148">
        <v>2</v>
      </c>
      <c r="AX148">
        <v>145263360</v>
      </c>
      <c r="AY148">
        <v>1</v>
      </c>
      <c r="AZ148">
        <v>0</v>
      </c>
      <c r="BA148">
        <v>161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ROUND(Y148*Source!I104,9)</f>
        <v>3.016</v>
      </c>
      <c r="CY148">
        <f t="shared" si="105"/>
        <v>177.41</v>
      </c>
      <c r="CZ148">
        <f t="shared" si="106"/>
        <v>15.4</v>
      </c>
      <c r="DA148">
        <f t="shared" si="107"/>
        <v>11.52</v>
      </c>
      <c r="DB148">
        <f t="shared" si="100"/>
        <v>12.32</v>
      </c>
      <c r="DC148">
        <f t="shared" si="101"/>
        <v>8.0500000000000007</v>
      </c>
      <c r="DD148" t="s">
        <v>3</v>
      </c>
      <c r="DE148" t="s">
        <v>3</v>
      </c>
      <c r="DF148">
        <f t="shared" si="102"/>
        <v>0</v>
      </c>
      <c r="DG148">
        <f t="shared" si="108"/>
        <v>535.07000000000005</v>
      </c>
      <c r="DH148">
        <f t="shared" si="103"/>
        <v>889.9</v>
      </c>
      <c r="DI148">
        <f t="shared" si="104"/>
        <v>0</v>
      </c>
      <c r="DJ148">
        <f t="shared" si="109"/>
        <v>535.07000000000005</v>
      </c>
      <c r="DK148">
        <v>0</v>
      </c>
      <c r="DL148" t="s">
        <v>3</v>
      </c>
      <c r="DM148">
        <v>0</v>
      </c>
      <c r="DN148" t="s">
        <v>3</v>
      </c>
      <c r="DO148">
        <v>0</v>
      </c>
    </row>
    <row r="149" spans="1:119" x14ac:dyDescent="0.2">
      <c r="A149">
        <f>ROW(Source!A104)</f>
        <v>104</v>
      </c>
      <c r="B149">
        <v>145262827</v>
      </c>
      <c r="C149">
        <v>145263339</v>
      </c>
      <c r="D149">
        <v>140924652</v>
      </c>
      <c r="E149">
        <v>1</v>
      </c>
      <c r="F149">
        <v>1</v>
      </c>
      <c r="G149">
        <v>1</v>
      </c>
      <c r="H149">
        <v>2</v>
      </c>
      <c r="I149" t="s">
        <v>540</v>
      </c>
      <c r="J149" t="s">
        <v>541</v>
      </c>
      <c r="K149" t="s">
        <v>542</v>
      </c>
      <c r="L149">
        <v>1367</v>
      </c>
      <c r="N149">
        <v>1011</v>
      </c>
      <c r="O149" t="s">
        <v>378</v>
      </c>
      <c r="P149" t="s">
        <v>378</v>
      </c>
      <c r="Q149">
        <v>1</v>
      </c>
      <c r="W149">
        <v>0</v>
      </c>
      <c r="X149">
        <v>-1100498410</v>
      </c>
      <c r="Y149">
        <f t="shared" si="99"/>
        <v>2.4</v>
      </c>
      <c r="AA149">
        <v>0</v>
      </c>
      <c r="AB149">
        <v>27.19</v>
      </c>
      <c r="AC149">
        <v>0</v>
      </c>
      <c r="AD149">
        <v>0</v>
      </c>
      <c r="AE149">
        <v>0</v>
      </c>
      <c r="AF149">
        <v>2.36</v>
      </c>
      <c r="AG149">
        <v>0</v>
      </c>
      <c r="AH149">
        <v>0</v>
      </c>
      <c r="AI149">
        <v>1</v>
      </c>
      <c r="AJ149">
        <v>11.52</v>
      </c>
      <c r="AK149">
        <v>29.33</v>
      </c>
      <c r="AL149">
        <v>1</v>
      </c>
      <c r="AM149">
        <v>4</v>
      </c>
      <c r="AN149">
        <v>0</v>
      </c>
      <c r="AO149">
        <v>1</v>
      </c>
      <c r="AP149">
        <v>0</v>
      </c>
      <c r="AQ149">
        <v>0</v>
      </c>
      <c r="AR149">
        <v>0</v>
      </c>
      <c r="AS149" t="s">
        <v>3</v>
      </c>
      <c r="AT149">
        <v>2.4</v>
      </c>
      <c r="AU149" t="s">
        <v>3</v>
      </c>
      <c r="AV149">
        <v>0</v>
      </c>
      <c r="AW149">
        <v>2</v>
      </c>
      <c r="AX149">
        <v>145263361</v>
      </c>
      <c r="AY149">
        <v>1</v>
      </c>
      <c r="AZ149">
        <v>0</v>
      </c>
      <c r="BA149">
        <v>162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ROUND(Y149*Source!I104,9)</f>
        <v>9.048</v>
      </c>
      <c r="CY149">
        <f t="shared" si="105"/>
        <v>27.19</v>
      </c>
      <c r="CZ149">
        <f t="shared" si="106"/>
        <v>2.36</v>
      </c>
      <c r="DA149">
        <f t="shared" si="107"/>
        <v>11.52</v>
      </c>
      <c r="DB149">
        <f t="shared" si="100"/>
        <v>5.66</v>
      </c>
      <c r="DC149">
        <f t="shared" si="101"/>
        <v>0</v>
      </c>
      <c r="DD149" t="s">
        <v>3</v>
      </c>
      <c r="DE149" t="s">
        <v>3</v>
      </c>
      <c r="DF149">
        <f t="shared" si="102"/>
        <v>0</v>
      </c>
      <c r="DG149">
        <f t="shared" si="108"/>
        <v>246.02</v>
      </c>
      <c r="DH149">
        <f t="shared" si="103"/>
        <v>0</v>
      </c>
      <c r="DI149">
        <f t="shared" si="104"/>
        <v>0</v>
      </c>
      <c r="DJ149">
        <f t="shared" si="109"/>
        <v>246.02</v>
      </c>
      <c r="DK149">
        <v>0</v>
      </c>
      <c r="DL149" t="s">
        <v>3</v>
      </c>
      <c r="DM149">
        <v>0</v>
      </c>
      <c r="DN149" t="s">
        <v>3</v>
      </c>
      <c r="DO149">
        <v>0</v>
      </c>
    </row>
    <row r="150" spans="1:119" x14ac:dyDescent="0.2">
      <c r="A150">
        <f>ROW(Source!A104)</f>
        <v>104</v>
      </c>
      <c r="B150">
        <v>145262827</v>
      </c>
      <c r="C150">
        <v>145263339</v>
      </c>
      <c r="D150">
        <v>140771005</v>
      </c>
      <c r="E150">
        <v>1</v>
      </c>
      <c r="F150">
        <v>1</v>
      </c>
      <c r="G150">
        <v>1</v>
      </c>
      <c r="H150">
        <v>3</v>
      </c>
      <c r="I150" t="s">
        <v>451</v>
      </c>
      <c r="J150" t="s">
        <v>452</v>
      </c>
      <c r="K150" t="s">
        <v>453</v>
      </c>
      <c r="L150">
        <v>1339</v>
      </c>
      <c r="N150">
        <v>1007</v>
      </c>
      <c r="O150" t="s">
        <v>404</v>
      </c>
      <c r="P150" t="s">
        <v>404</v>
      </c>
      <c r="Q150">
        <v>1</v>
      </c>
      <c r="W150">
        <v>0</v>
      </c>
      <c r="X150">
        <v>-1761807714</v>
      </c>
      <c r="Y150">
        <f t="shared" si="99"/>
        <v>0.6</v>
      </c>
      <c r="AA150">
        <v>52.75</v>
      </c>
      <c r="AB150">
        <v>0</v>
      </c>
      <c r="AC150">
        <v>0</v>
      </c>
      <c r="AD150">
        <v>0</v>
      </c>
      <c r="AE150">
        <v>6.22</v>
      </c>
      <c r="AF150">
        <v>0</v>
      </c>
      <c r="AG150">
        <v>0</v>
      </c>
      <c r="AH150">
        <v>0</v>
      </c>
      <c r="AI150">
        <v>8.48</v>
      </c>
      <c r="AJ150">
        <v>1</v>
      </c>
      <c r="AK150">
        <v>1</v>
      </c>
      <c r="AL150">
        <v>1</v>
      </c>
      <c r="AM150">
        <v>4</v>
      </c>
      <c r="AN150">
        <v>0</v>
      </c>
      <c r="AO150">
        <v>1</v>
      </c>
      <c r="AP150">
        <v>0</v>
      </c>
      <c r="AQ150">
        <v>0</v>
      </c>
      <c r="AR150">
        <v>0</v>
      </c>
      <c r="AS150" t="s">
        <v>3</v>
      </c>
      <c r="AT150">
        <v>0.6</v>
      </c>
      <c r="AU150" t="s">
        <v>3</v>
      </c>
      <c r="AV150">
        <v>0</v>
      </c>
      <c r="AW150">
        <v>2</v>
      </c>
      <c r="AX150">
        <v>145263362</v>
      </c>
      <c r="AY150">
        <v>1</v>
      </c>
      <c r="AZ150">
        <v>0</v>
      </c>
      <c r="BA150">
        <v>163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ROUND(Y150*Source!I104,9)</f>
        <v>2.262</v>
      </c>
      <c r="CY150">
        <f>AA150</f>
        <v>52.75</v>
      </c>
      <c r="CZ150">
        <f>AE150</f>
        <v>6.22</v>
      </c>
      <c r="DA150">
        <f>AI150</f>
        <v>8.48</v>
      </c>
      <c r="DB150">
        <f t="shared" si="100"/>
        <v>3.73</v>
      </c>
      <c r="DC150">
        <f t="shared" si="101"/>
        <v>0</v>
      </c>
      <c r="DD150" t="s">
        <v>3</v>
      </c>
      <c r="DE150" t="s">
        <v>3</v>
      </c>
      <c r="DF150">
        <f>ROUND(ROUND(AE150*AI150,2)*CX150,2)</f>
        <v>119.32</v>
      </c>
      <c r="DG150">
        <f t="shared" ref="DG150:DG155" si="110">ROUND(ROUND(AF150,2)*CX150,2)</f>
        <v>0</v>
      </c>
      <c r="DH150">
        <f>ROUND(ROUND(AG150,2)*CX150,2)</f>
        <v>0</v>
      </c>
      <c r="DI150">
        <f t="shared" si="104"/>
        <v>0</v>
      </c>
      <c r="DJ150">
        <f>DF150</f>
        <v>119.32</v>
      </c>
      <c r="DK150">
        <v>0</v>
      </c>
      <c r="DL150" t="s">
        <v>3</v>
      </c>
      <c r="DM150">
        <v>0</v>
      </c>
      <c r="DN150" t="s">
        <v>3</v>
      </c>
      <c r="DO150">
        <v>0</v>
      </c>
    </row>
    <row r="151" spans="1:119" x14ac:dyDescent="0.2">
      <c r="A151">
        <f>ROW(Source!A104)</f>
        <v>104</v>
      </c>
      <c r="B151">
        <v>145262827</v>
      </c>
      <c r="C151">
        <v>145263339</v>
      </c>
      <c r="D151">
        <v>140771011</v>
      </c>
      <c r="E151">
        <v>1</v>
      </c>
      <c r="F151">
        <v>1</v>
      </c>
      <c r="G151">
        <v>1</v>
      </c>
      <c r="H151">
        <v>3</v>
      </c>
      <c r="I151" t="s">
        <v>454</v>
      </c>
      <c r="J151" t="s">
        <v>455</v>
      </c>
      <c r="K151" t="s">
        <v>456</v>
      </c>
      <c r="L151">
        <v>1346</v>
      </c>
      <c r="N151">
        <v>1009</v>
      </c>
      <c r="O151" t="s">
        <v>457</v>
      </c>
      <c r="P151" t="s">
        <v>457</v>
      </c>
      <c r="Q151">
        <v>1</v>
      </c>
      <c r="W151">
        <v>0</v>
      </c>
      <c r="X151">
        <v>-2118006079</v>
      </c>
      <c r="Y151">
        <f t="shared" si="99"/>
        <v>0.2</v>
      </c>
      <c r="AA151">
        <v>51.64</v>
      </c>
      <c r="AB151">
        <v>0</v>
      </c>
      <c r="AC151">
        <v>0</v>
      </c>
      <c r="AD151">
        <v>0</v>
      </c>
      <c r="AE151">
        <v>6.09</v>
      </c>
      <c r="AF151">
        <v>0</v>
      </c>
      <c r="AG151">
        <v>0</v>
      </c>
      <c r="AH151">
        <v>0</v>
      </c>
      <c r="AI151">
        <v>8.48</v>
      </c>
      <c r="AJ151">
        <v>1</v>
      </c>
      <c r="AK151">
        <v>1</v>
      </c>
      <c r="AL151">
        <v>1</v>
      </c>
      <c r="AM151">
        <v>4</v>
      </c>
      <c r="AN151">
        <v>0</v>
      </c>
      <c r="AO151">
        <v>1</v>
      </c>
      <c r="AP151">
        <v>0</v>
      </c>
      <c r="AQ151">
        <v>0</v>
      </c>
      <c r="AR151">
        <v>0</v>
      </c>
      <c r="AS151" t="s">
        <v>3</v>
      </c>
      <c r="AT151">
        <v>0.2</v>
      </c>
      <c r="AU151" t="s">
        <v>3</v>
      </c>
      <c r="AV151">
        <v>0</v>
      </c>
      <c r="AW151">
        <v>2</v>
      </c>
      <c r="AX151">
        <v>145263363</v>
      </c>
      <c r="AY151">
        <v>1</v>
      </c>
      <c r="AZ151">
        <v>0</v>
      </c>
      <c r="BA151">
        <v>164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ROUND(Y151*Source!I104,9)</f>
        <v>0.754</v>
      </c>
      <c r="CY151">
        <f>AA151</f>
        <v>51.64</v>
      </c>
      <c r="CZ151">
        <f>AE151</f>
        <v>6.09</v>
      </c>
      <c r="DA151">
        <f>AI151</f>
        <v>8.48</v>
      </c>
      <c r="DB151">
        <f t="shared" si="100"/>
        <v>1.22</v>
      </c>
      <c r="DC151">
        <f t="shared" si="101"/>
        <v>0</v>
      </c>
      <c r="DD151" t="s">
        <v>3</v>
      </c>
      <c r="DE151" t="s">
        <v>3</v>
      </c>
      <c r="DF151">
        <f>ROUND(ROUND(AE151*AI151,2)*CX151,2)</f>
        <v>38.94</v>
      </c>
      <c r="DG151">
        <f t="shared" si="110"/>
        <v>0</v>
      </c>
      <c r="DH151">
        <f>ROUND(ROUND(AG151,2)*CX151,2)</f>
        <v>0</v>
      </c>
      <c r="DI151">
        <f t="shared" si="104"/>
        <v>0</v>
      </c>
      <c r="DJ151">
        <f>DF151</f>
        <v>38.94</v>
      </c>
      <c r="DK151">
        <v>0</v>
      </c>
      <c r="DL151" t="s">
        <v>3</v>
      </c>
      <c r="DM151">
        <v>0</v>
      </c>
      <c r="DN151" t="s">
        <v>3</v>
      </c>
      <c r="DO151">
        <v>0</v>
      </c>
    </row>
    <row r="152" spans="1:119" x14ac:dyDescent="0.2">
      <c r="A152">
        <f>ROW(Source!A104)</f>
        <v>104</v>
      </c>
      <c r="B152">
        <v>145262827</v>
      </c>
      <c r="C152">
        <v>145263339</v>
      </c>
      <c r="D152">
        <v>140773788</v>
      </c>
      <c r="E152">
        <v>1</v>
      </c>
      <c r="F152">
        <v>1</v>
      </c>
      <c r="G152">
        <v>1</v>
      </c>
      <c r="H152">
        <v>3</v>
      </c>
      <c r="I152" t="s">
        <v>512</v>
      </c>
      <c r="J152" t="s">
        <v>513</v>
      </c>
      <c r="K152" t="s">
        <v>514</v>
      </c>
      <c r="L152">
        <v>1348</v>
      </c>
      <c r="N152">
        <v>1009</v>
      </c>
      <c r="O152" t="s">
        <v>206</v>
      </c>
      <c r="P152" t="s">
        <v>206</v>
      </c>
      <c r="Q152">
        <v>1000</v>
      </c>
      <c r="W152">
        <v>0</v>
      </c>
      <c r="X152">
        <v>1238940307</v>
      </c>
      <c r="Y152">
        <f t="shared" si="99"/>
        <v>1.9E-2</v>
      </c>
      <c r="AA152">
        <v>82807.199999999997</v>
      </c>
      <c r="AB152">
        <v>0</v>
      </c>
      <c r="AC152">
        <v>0</v>
      </c>
      <c r="AD152">
        <v>0</v>
      </c>
      <c r="AE152">
        <v>9765</v>
      </c>
      <c r="AF152">
        <v>0</v>
      </c>
      <c r="AG152">
        <v>0</v>
      </c>
      <c r="AH152">
        <v>0</v>
      </c>
      <c r="AI152">
        <v>8.48</v>
      </c>
      <c r="AJ152">
        <v>1</v>
      </c>
      <c r="AK152">
        <v>1</v>
      </c>
      <c r="AL152">
        <v>1</v>
      </c>
      <c r="AM152">
        <v>4</v>
      </c>
      <c r="AN152">
        <v>0</v>
      </c>
      <c r="AO152">
        <v>1</v>
      </c>
      <c r="AP152">
        <v>0</v>
      </c>
      <c r="AQ152">
        <v>0</v>
      </c>
      <c r="AR152">
        <v>0</v>
      </c>
      <c r="AS152" t="s">
        <v>3</v>
      </c>
      <c r="AT152">
        <v>1.9E-2</v>
      </c>
      <c r="AU152" t="s">
        <v>3</v>
      </c>
      <c r="AV152">
        <v>0</v>
      </c>
      <c r="AW152">
        <v>2</v>
      </c>
      <c r="AX152">
        <v>145263364</v>
      </c>
      <c r="AY152">
        <v>1</v>
      </c>
      <c r="AZ152">
        <v>0</v>
      </c>
      <c r="BA152">
        <v>165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ROUND(Y152*Source!I104,9)</f>
        <v>7.1629999999999999E-2</v>
      </c>
      <c r="CY152">
        <f>AA152</f>
        <v>82807.199999999997</v>
      </c>
      <c r="CZ152">
        <f>AE152</f>
        <v>9765</v>
      </c>
      <c r="DA152">
        <f>AI152</f>
        <v>8.48</v>
      </c>
      <c r="DB152">
        <f t="shared" si="100"/>
        <v>185.54</v>
      </c>
      <c r="DC152">
        <f t="shared" si="101"/>
        <v>0</v>
      </c>
      <c r="DD152" t="s">
        <v>3</v>
      </c>
      <c r="DE152" t="s">
        <v>3</v>
      </c>
      <c r="DF152">
        <f>ROUND(ROUND(AE152*AI152,2)*CX152,2)</f>
        <v>5931.48</v>
      </c>
      <c r="DG152">
        <f t="shared" si="110"/>
        <v>0</v>
      </c>
      <c r="DH152">
        <f>ROUND(ROUND(AG152,2)*CX152,2)</f>
        <v>0</v>
      </c>
      <c r="DI152">
        <f t="shared" si="104"/>
        <v>0</v>
      </c>
      <c r="DJ152">
        <f>DF152</f>
        <v>5931.48</v>
      </c>
      <c r="DK152">
        <v>0</v>
      </c>
      <c r="DL152" t="s">
        <v>3</v>
      </c>
      <c r="DM152">
        <v>0</v>
      </c>
      <c r="DN152" t="s">
        <v>3</v>
      </c>
      <c r="DO152">
        <v>0</v>
      </c>
    </row>
    <row r="153" spans="1:119" x14ac:dyDescent="0.2">
      <c r="A153">
        <f>ROW(Source!A104)</f>
        <v>104</v>
      </c>
      <c r="B153">
        <v>145262827</v>
      </c>
      <c r="C153">
        <v>145263339</v>
      </c>
      <c r="D153">
        <v>140765022</v>
      </c>
      <c r="E153">
        <v>70</v>
      </c>
      <c r="F153">
        <v>1</v>
      </c>
      <c r="G153">
        <v>1</v>
      </c>
      <c r="H153">
        <v>3</v>
      </c>
      <c r="I153" t="s">
        <v>515</v>
      </c>
      <c r="J153" t="s">
        <v>3</v>
      </c>
      <c r="K153" t="s">
        <v>516</v>
      </c>
      <c r="L153">
        <v>1374</v>
      </c>
      <c r="N153">
        <v>1013</v>
      </c>
      <c r="O153" t="s">
        <v>517</v>
      </c>
      <c r="P153" t="s">
        <v>517</v>
      </c>
      <c r="Q153">
        <v>1</v>
      </c>
      <c r="W153">
        <v>0</v>
      </c>
      <c r="X153">
        <v>-1731369543</v>
      </c>
      <c r="Y153">
        <f t="shared" si="99"/>
        <v>24.44</v>
      </c>
      <c r="AA153">
        <v>8.48</v>
      </c>
      <c r="AB153">
        <v>0</v>
      </c>
      <c r="AC153">
        <v>0</v>
      </c>
      <c r="AD153">
        <v>0</v>
      </c>
      <c r="AE153">
        <v>1</v>
      </c>
      <c r="AF153">
        <v>0</v>
      </c>
      <c r="AG153">
        <v>0</v>
      </c>
      <c r="AH153">
        <v>0</v>
      </c>
      <c r="AI153">
        <v>8.48</v>
      </c>
      <c r="AJ153">
        <v>1</v>
      </c>
      <c r="AK153">
        <v>1</v>
      </c>
      <c r="AL153">
        <v>1</v>
      </c>
      <c r="AM153">
        <v>4</v>
      </c>
      <c r="AN153">
        <v>0</v>
      </c>
      <c r="AO153">
        <v>1</v>
      </c>
      <c r="AP153">
        <v>0</v>
      </c>
      <c r="AQ153">
        <v>0</v>
      </c>
      <c r="AR153">
        <v>0</v>
      </c>
      <c r="AS153" t="s">
        <v>3</v>
      </c>
      <c r="AT153">
        <v>24.44</v>
      </c>
      <c r="AU153" t="s">
        <v>3</v>
      </c>
      <c r="AV153">
        <v>0</v>
      </c>
      <c r="AW153">
        <v>2</v>
      </c>
      <c r="AX153">
        <v>145263365</v>
      </c>
      <c r="AY153">
        <v>1</v>
      </c>
      <c r="AZ153">
        <v>0</v>
      </c>
      <c r="BA153">
        <v>166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ROUND(Y153*Source!I104,9)</f>
        <v>92.138800000000003</v>
      </c>
      <c r="CY153">
        <f>AA153</f>
        <v>8.48</v>
      </c>
      <c r="CZ153">
        <f>AE153</f>
        <v>1</v>
      </c>
      <c r="DA153">
        <f>AI153</f>
        <v>8.48</v>
      </c>
      <c r="DB153">
        <f t="shared" si="100"/>
        <v>24.44</v>
      </c>
      <c r="DC153">
        <f t="shared" si="101"/>
        <v>0</v>
      </c>
      <c r="DD153" t="s">
        <v>3</v>
      </c>
      <c r="DE153" t="s">
        <v>3</v>
      </c>
      <c r="DF153">
        <f>ROUND(ROUND(AE153*AI153,2)*CX153,2)</f>
        <v>781.34</v>
      </c>
      <c r="DG153">
        <f t="shared" si="110"/>
        <v>0</v>
      </c>
      <c r="DH153">
        <f>ROUND(ROUND(AG153,2)*CX153,2)</f>
        <v>0</v>
      </c>
      <c r="DI153">
        <f t="shared" si="104"/>
        <v>0</v>
      </c>
      <c r="DJ153">
        <f>DF153</f>
        <v>781.34</v>
      </c>
      <c r="DK153">
        <v>0</v>
      </c>
      <c r="DL153" t="s">
        <v>3</v>
      </c>
      <c r="DM153">
        <v>0</v>
      </c>
      <c r="DN153" t="s">
        <v>3</v>
      </c>
      <c r="DO153">
        <v>0</v>
      </c>
    </row>
    <row r="154" spans="1:119" x14ac:dyDescent="0.2">
      <c r="A154">
        <f>ROW(Source!A107)</f>
        <v>107</v>
      </c>
      <c r="B154">
        <v>145262827</v>
      </c>
      <c r="C154">
        <v>145263368</v>
      </c>
      <c r="D154">
        <v>140760060</v>
      </c>
      <c r="E154">
        <v>70</v>
      </c>
      <c r="F154">
        <v>1</v>
      </c>
      <c r="G154">
        <v>1</v>
      </c>
      <c r="H154">
        <v>1</v>
      </c>
      <c r="I154" t="s">
        <v>551</v>
      </c>
      <c r="J154" t="s">
        <v>3</v>
      </c>
      <c r="K154" t="s">
        <v>552</v>
      </c>
      <c r="L154">
        <v>1191</v>
      </c>
      <c r="N154">
        <v>1013</v>
      </c>
      <c r="O154" t="s">
        <v>374</v>
      </c>
      <c r="P154" t="s">
        <v>374</v>
      </c>
      <c r="Q154">
        <v>1</v>
      </c>
      <c r="W154">
        <v>0</v>
      </c>
      <c r="X154">
        <v>-981676222</v>
      </c>
      <c r="Y154">
        <f>(AT154*1.15)</f>
        <v>6.1064999999999987</v>
      </c>
      <c r="AA154">
        <v>0</v>
      </c>
      <c r="AB154">
        <v>0</v>
      </c>
      <c r="AC154">
        <v>0</v>
      </c>
      <c r="AD154">
        <v>312.36</v>
      </c>
      <c r="AE154">
        <v>0</v>
      </c>
      <c r="AF154">
        <v>0</v>
      </c>
      <c r="AG154">
        <v>0</v>
      </c>
      <c r="AH154">
        <v>10.65</v>
      </c>
      <c r="AI154">
        <v>1</v>
      </c>
      <c r="AJ154">
        <v>1</v>
      </c>
      <c r="AK154">
        <v>1</v>
      </c>
      <c r="AL154">
        <v>29.33</v>
      </c>
      <c r="AM154">
        <v>4</v>
      </c>
      <c r="AN154">
        <v>0</v>
      </c>
      <c r="AO154">
        <v>1</v>
      </c>
      <c r="AP154">
        <v>1</v>
      </c>
      <c r="AQ154">
        <v>0</v>
      </c>
      <c r="AR154">
        <v>0</v>
      </c>
      <c r="AS154" t="s">
        <v>3</v>
      </c>
      <c r="AT154">
        <v>5.31</v>
      </c>
      <c r="AU154" t="s">
        <v>149</v>
      </c>
      <c r="AV154">
        <v>1</v>
      </c>
      <c r="AW154">
        <v>2</v>
      </c>
      <c r="AX154">
        <v>145263377</v>
      </c>
      <c r="AY154">
        <v>1</v>
      </c>
      <c r="AZ154">
        <v>0</v>
      </c>
      <c r="BA154">
        <v>167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ROUND(Y154*Source!I107,9)</f>
        <v>154.31125499999999</v>
      </c>
      <c r="CY154">
        <f>AD154</f>
        <v>312.36</v>
      </c>
      <c r="CZ154">
        <f>AH154</f>
        <v>10.65</v>
      </c>
      <c r="DA154">
        <f>AL154</f>
        <v>29.33</v>
      </c>
      <c r="DB154">
        <f>ROUND((ROUND(AT154*CZ154,2)*1.15),2)</f>
        <v>65.03</v>
      </c>
      <c r="DC154">
        <f>ROUND((ROUND(AT154*AG154,2)*1.15),2)</f>
        <v>0</v>
      </c>
      <c r="DD154" t="s">
        <v>3</v>
      </c>
      <c r="DE154" t="s">
        <v>3</v>
      </c>
      <c r="DF154">
        <f t="shared" ref="DF154:DF159" si="111">ROUND(ROUND(AE154,2)*CX154,2)</f>
        <v>0</v>
      </c>
      <c r="DG154">
        <f t="shared" si="110"/>
        <v>0</v>
      </c>
      <c r="DH154">
        <f>ROUND(ROUND(AG154,2)*CX154,2)</f>
        <v>0</v>
      </c>
      <c r="DI154">
        <f>ROUND(ROUND(AH154*AL154,2)*CX154,2)</f>
        <v>48200.66</v>
      </c>
      <c r="DJ154">
        <f>DI154</f>
        <v>48200.66</v>
      </c>
      <c r="DK154">
        <v>0</v>
      </c>
      <c r="DL154" t="s">
        <v>3</v>
      </c>
      <c r="DM154">
        <v>0</v>
      </c>
      <c r="DN154" t="s">
        <v>3</v>
      </c>
      <c r="DO154">
        <v>0</v>
      </c>
    </row>
    <row r="155" spans="1:119" x14ac:dyDescent="0.2">
      <c r="A155">
        <f>ROW(Source!A107)</f>
        <v>107</v>
      </c>
      <c r="B155">
        <v>145262827</v>
      </c>
      <c r="C155">
        <v>145263368</v>
      </c>
      <c r="D155">
        <v>140760225</v>
      </c>
      <c r="E155">
        <v>70</v>
      </c>
      <c r="F155">
        <v>1</v>
      </c>
      <c r="G155">
        <v>1</v>
      </c>
      <c r="H155">
        <v>1</v>
      </c>
      <c r="I155" t="s">
        <v>381</v>
      </c>
      <c r="J155" t="s">
        <v>3</v>
      </c>
      <c r="K155" t="s">
        <v>382</v>
      </c>
      <c r="L155">
        <v>1191</v>
      </c>
      <c r="N155">
        <v>1013</v>
      </c>
      <c r="O155" t="s">
        <v>374</v>
      </c>
      <c r="P155" t="s">
        <v>374</v>
      </c>
      <c r="Q155">
        <v>1</v>
      </c>
      <c r="W155">
        <v>0</v>
      </c>
      <c r="X155">
        <v>-1417349443</v>
      </c>
      <c r="Y155">
        <f>(AT155*1.25)</f>
        <v>2.5000000000000001E-2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1</v>
      </c>
      <c r="AJ155">
        <v>1</v>
      </c>
      <c r="AK155">
        <v>29.33</v>
      </c>
      <c r="AL155">
        <v>1</v>
      </c>
      <c r="AM155">
        <v>4</v>
      </c>
      <c r="AN155">
        <v>0</v>
      </c>
      <c r="AO155">
        <v>1</v>
      </c>
      <c r="AP155">
        <v>1</v>
      </c>
      <c r="AQ155">
        <v>0</v>
      </c>
      <c r="AR155">
        <v>0</v>
      </c>
      <c r="AS155" t="s">
        <v>3</v>
      </c>
      <c r="AT155">
        <v>0.02</v>
      </c>
      <c r="AU155" t="s">
        <v>148</v>
      </c>
      <c r="AV155">
        <v>2</v>
      </c>
      <c r="AW155">
        <v>2</v>
      </c>
      <c r="AX155">
        <v>145263378</v>
      </c>
      <c r="AY155">
        <v>1</v>
      </c>
      <c r="AZ155">
        <v>0</v>
      </c>
      <c r="BA155">
        <v>168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ROUND(Y155*Source!I107,9)</f>
        <v>0.63175000000000003</v>
      </c>
      <c r="CY155">
        <f>AD155</f>
        <v>0</v>
      </c>
      <c r="CZ155">
        <f>AH155</f>
        <v>0</v>
      </c>
      <c r="DA155">
        <f>AL155</f>
        <v>1</v>
      </c>
      <c r="DB155">
        <f>ROUND((ROUND(AT155*CZ155,2)*1.25),2)</f>
        <v>0</v>
      </c>
      <c r="DC155">
        <f>ROUND((ROUND(AT155*AG155,2)*1.25),2)</f>
        <v>0</v>
      </c>
      <c r="DD155" t="s">
        <v>3</v>
      </c>
      <c r="DE155" t="s">
        <v>3</v>
      </c>
      <c r="DF155">
        <f t="shared" si="111"/>
        <v>0</v>
      </c>
      <c r="DG155">
        <f t="shared" si="110"/>
        <v>0</v>
      </c>
      <c r="DH155">
        <f>ROUND(ROUND(AG155*AK155,2)*CX155,2)</f>
        <v>0</v>
      </c>
      <c r="DI155">
        <f t="shared" ref="DI155:DI161" si="112">ROUND(ROUND(AH155,2)*CX155,2)</f>
        <v>0</v>
      </c>
      <c r="DJ155">
        <f>DI155</f>
        <v>0</v>
      </c>
      <c r="DK155">
        <v>0</v>
      </c>
      <c r="DL155" t="s">
        <v>3</v>
      </c>
      <c r="DM155">
        <v>0</v>
      </c>
      <c r="DN155" t="s">
        <v>3</v>
      </c>
      <c r="DO155">
        <v>0</v>
      </c>
    </row>
    <row r="156" spans="1:119" x14ac:dyDescent="0.2">
      <c r="A156">
        <f>ROW(Source!A107)</f>
        <v>107</v>
      </c>
      <c r="B156">
        <v>145262827</v>
      </c>
      <c r="C156">
        <v>145263368</v>
      </c>
      <c r="D156">
        <v>140923086</v>
      </c>
      <c r="E156">
        <v>1</v>
      </c>
      <c r="F156">
        <v>1</v>
      </c>
      <c r="G156">
        <v>1</v>
      </c>
      <c r="H156">
        <v>2</v>
      </c>
      <c r="I156" t="s">
        <v>553</v>
      </c>
      <c r="J156" t="s">
        <v>554</v>
      </c>
      <c r="K156" t="s">
        <v>555</v>
      </c>
      <c r="L156">
        <v>1367</v>
      </c>
      <c r="N156">
        <v>1011</v>
      </c>
      <c r="O156" t="s">
        <v>378</v>
      </c>
      <c r="P156" t="s">
        <v>378</v>
      </c>
      <c r="Q156">
        <v>1</v>
      </c>
      <c r="W156">
        <v>0</v>
      </c>
      <c r="X156">
        <v>208619310</v>
      </c>
      <c r="Y156">
        <f>(AT156*1.25)</f>
        <v>1.2500000000000001E-2</v>
      </c>
      <c r="AA156">
        <v>0</v>
      </c>
      <c r="AB156">
        <v>19.579999999999998</v>
      </c>
      <c r="AC156">
        <v>0</v>
      </c>
      <c r="AD156">
        <v>0</v>
      </c>
      <c r="AE156">
        <v>0</v>
      </c>
      <c r="AF156">
        <v>1.7</v>
      </c>
      <c r="AG156">
        <v>0</v>
      </c>
      <c r="AH156">
        <v>0</v>
      </c>
      <c r="AI156">
        <v>1</v>
      </c>
      <c r="AJ156">
        <v>11.52</v>
      </c>
      <c r="AK156">
        <v>29.33</v>
      </c>
      <c r="AL156">
        <v>1</v>
      </c>
      <c r="AM156">
        <v>4</v>
      </c>
      <c r="AN156">
        <v>0</v>
      </c>
      <c r="AO156">
        <v>1</v>
      </c>
      <c r="AP156">
        <v>1</v>
      </c>
      <c r="AQ156">
        <v>0</v>
      </c>
      <c r="AR156">
        <v>0</v>
      </c>
      <c r="AS156" t="s">
        <v>3</v>
      </c>
      <c r="AT156">
        <v>0.01</v>
      </c>
      <c r="AU156" t="s">
        <v>148</v>
      </c>
      <c r="AV156">
        <v>0</v>
      </c>
      <c r="AW156">
        <v>2</v>
      </c>
      <c r="AX156">
        <v>145263379</v>
      </c>
      <c r="AY156">
        <v>1</v>
      </c>
      <c r="AZ156">
        <v>0</v>
      </c>
      <c r="BA156">
        <v>169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ROUND(Y156*Source!I107,9)</f>
        <v>0.31587500000000002</v>
      </c>
      <c r="CY156">
        <f>AB156</f>
        <v>19.579999999999998</v>
      </c>
      <c r="CZ156">
        <f>AF156</f>
        <v>1.7</v>
      </c>
      <c r="DA156">
        <f>AJ156</f>
        <v>11.52</v>
      </c>
      <c r="DB156">
        <f>ROUND((ROUND(AT156*CZ156,2)*1.25),2)</f>
        <v>0.03</v>
      </c>
      <c r="DC156">
        <f>ROUND((ROUND(AT156*AG156,2)*1.25),2)</f>
        <v>0</v>
      </c>
      <c r="DD156" t="s">
        <v>3</v>
      </c>
      <c r="DE156" t="s">
        <v>3</v>
      </c>
      <c r="DF156">
        <f t="shared" si="111"/>
        <v>0</v>
      </c>
      <c r="DG156">
        <f>ROUND(ROUND(AF156*AJ156,2)*CX156,2)</f>
        <v>6.18</v>
      </c>
      <c r="DH156">
        <f>ROUND(ROUND(AG156*AK156,2)*CX156,2)</f>
        <v>0</v>
      </c>
      <c r="DI156">
        <f t="shared" si="112"/>
        <v>0</v>
      </c>
      <c r="DJ156">
        <f>DG156</f>
        <v>6.18</v>
      </c>
      <c r="DK156">
        <v>0</v>
      </c>
      <c r="DL156" t="s">
        <v>3</v>
      </c>
      <c r="DM156">
        <v>0</v>
      </c>
      <c r="DN156" t="s">
        <v>3</v>
      </c>
      <c r="DO156">
        <v>0</v>
      </c>
    </row>
    <row r="157" spans="1:119" x14ac:dyDescent="0.2">
      <c r="A157">
        <f>ROW(Source!A107)</f>
        <v>107</v>
      </c>
      <c r="B157">
        <v>145262827</v>
      </c>
      <c r="C157">
        <v>145263368</v>
      </c>
      <c r="D157">
        <v>140923105</v>
      </c>
      <c r="E157">
        <v>1</v>
      </c>
      <c r="F157">
        <v>1</v>
      </c>
      <c r="G157">
        <v>1</v>
      </c>
      <c r="H157">
        <v>2</v>
      </c>
      <c r="I157" t="s">
        <v>556</v>
      </c>
      <c r="J157" t="s">
        <v>557</v>
      </c>
      <c r="K157" t="s">
        <v>558</v>
      </c>
      <c r="L157">
        <v>1367</v>
      </c>
      <c r="N157">
        <v>1011</v>
      </c>
      <c r="O157" t="s">
        <v>378</v>
      </c>
      <c r="P157" t="s">
        <v>378</v>
      </c>
      <c r="Q157">
        <v>1</v>
      </c>
      <c r="W157">
        <v>0</v>
      </c>
      <c r="X157">
        <v>-896236776</v>
      </c>
      <c r="Y157">
        <f>(AT157*1.25)</f>
        <v>1.2500000000000001E-2</v>
      </c>
      <c r="AA157">
        <v>0</v>
      </c>
      <c r="AB157">
        <v>1036.68</v>
      </c>
      <c r="AC157">
        <v>295.06</v>
      </c>
      <c r="AD157">
        <v>0</v>
      </c>
      <c r="AE157">
        <v>0</v>
      </c>
      <c r="AF157">
        <v>89.99</v>
      </c>
      <c r="AG157">
        <v>10.06</v>
      </c>
      <c r="AH157">
        <v>0</v>
      </c>
      <c r="AI157">
        <v>1</v>
      </c>
      <c r="AJ157">
        <v>11.52</v>
      </c>
      <c r="AK157">
        <v>29.33</v>
      </c>
      <c r="AL157">
        <v>1</v>
      </c>
      <c r="AM157">
        <v>4</v>
      </c>
      <c r="AN157">
        <v>0</v>
      </c>
      <c r="AO157">
        <v>1</v>
      </c>
      <c r="AP157">
        <v>1</v>
      </c>
      <c r="AQ157">
        <v>0</v>
      </c>
      <c r="AR157">
        <v>0</v>
      </c>
      <c r="AS157" t="s">
        <v>3</v>
      </c>
      <c r="AT157">
        <v>0.01</v>
      </c>
      <c r="AU157" t="s">
        <v>148</v>
      </c>
      <c r="AV157">
        <v>0</v>
      </c>
      <c r="AW157">
        <v>2</v>
      </c>
      <c r="AX157">
        <v>145263380</v>
      </c>
      <c r="AY157">
        <v>1</v>
      </c>
      <c r="AZ157">
        <v>0</v>
      </c>
      <c r="BA157">
        <v>170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ROUND(Y157*Source!I107,9)</f>
        <v>0.31587500000000002</v>
      </c>
      <c r="CY157">
        <f>AB157</f>
        <v>1036.68</v>
      </c>
      <c r="CZ157">
        <f>AF157</f>
        <v>89.99</v>
      </c>
      <c r="DA157">
        <f>AJ157</f>
        <v>11.52</v>
      </c>
      <c r="DB157">
        <f>ROUND((ROUND(AT157*CZ157,2)*1.25),2)</f>
        <v>1.1299999999999999</v>
      </c>
      <c r="DC157">
        <f>ROUND((ROUND(AT157*AG157,2)*1.25),2)</f>
        <v>0.13</v>
      </c>
      <c r="DD157" t="s">
        <v>3</v>
      </c>
      <c r="DE157" t="s">
        <v>3</v>
      </c>
      <c r="DF157">
        <f t="shared" si="111"/>
        <v>0</v>
      </c>
      <c r="DG157">
        <f>ROUND(ROUND(AF157*AJ157,2)*CX157,2)</f>
        <v>327.45999999999998</v>
      </c>
      <c r="DH157">
        <f>ROUND(ROUND(AG157*AK157,2)*CX157,2)</f>
        <v>93.2</v>
      </c>
      <c r="DI157">
        <f t="shared" si="112"/>
        <v>0</v>
      </c>
      <c r="DJ157">
        <f>DG157</f>
        <v>327.45999999999998</v>
      </c>
      <c r="DK157">
        <v>0</v>
      </c>
      <c r="DL157" t="s">
        <v>3</v>
      </c>
      <c r="DM157">
        <v>0</v>
      </c>
      <c r="DN157" t="s">
        <v>3</v>
      </c>
      <c r="DO157">
        <v>0</v>
      </c>
    </row>
    <row r="158" spans="1:119" x14ac:dyDescent="0.2">
      <c r="A158">
        <f>ROW(Source!A107)</f>
        <v>107</v>
      </c>
      <c r="B158">
        <v>145262827</v>
      </c>
      <c r="C158">
        <v>145263368</v>
      </c>
      <c r="D158">
        <v>140923885</v>
      </c>
      <c r="E158">
        <v>1</v>
      </c>
      <c r="F158">
        <v>1</v>
      </c>
      <c r="G158">
        <v>1</v>
      </c>
      <c r="H158">
        <v>2</v>
      </c>
      <c r="I158" t="s">
        <v>386</v>
      </c>
      <c r="J158" t="s">
        <v>387</v>
      </c>
      <c r="K158" t="s">
        <v>388</v>
      </c>
      <c r="L158">
        <v>1367</v>
      </c>
      <c r="N158">
        <v>1011</v>
      </c>
      <c r="O158" t="s">
        <v>378</v>
      </c>
      <c r="P158" t="s">
        <v>378</v>
      </c>
      <c r="Q158">
        <v>1</v>
      </c>
      <c r="W158">
        <v>0</v>
      </c>
      <c r="X158">
        <v>509054691</v>
      </c>
      <c r="Y158">
        <f>(AT158*1.25)</f>
        <v>1.2500000000000001E-2</v>
      </c>
      <c r="AA158">
        <v>0</v>
      </c>
      <c r="AB158">
        <v>756.98</v>
      </c>
      <c r="AC158">
        <v>340.23</v>
      </c>
      <c r="AD158">
        <v>0</v>
      </c>
      <c r="AE158">
        <v>0</v>
      </c>
      <c r="AF158">
        <v>65.709999999999994</v>
      </c>
      <c r="AG158">
        <v>11.6</v>
      </c>
      <c r="AH158">
        <v>0</v>
      </c>
      <c r="AI158">
        <v>1</v>
      </c>
      <c r="AJ158">
        <v>11.52</v>
      </c>
      <c r="AK158">
        <v>29.33</v>
      </c>
      <c r="AL158">
        <v>1</v>
      </c>
      <c r="AM158">
        <v>4</v>
      </c>
      <c r="AN158">
        <v>0</v>
      </c>
      <c r="AO158">
        <v>1</v>
      </c>
      <c r="AP158">
        <v>1</v>
      </c>
      <c r="AQ158">
        <v>0</v>
      </c>
      <c r="AR158">
        <v>0</v>
      </c>
      <c r="AS158" t="s">
        <v>3</v>
      </c>
      <c r="AT158">
        <v>0.01</v>
      </c>
      <c r="AU158" t="s">
        <v>148</v>
      </c>
      <c r="AV158">
        <v>0</v>
      </c>
      <c r="AW158">
        <v>2</v>
      </c>
      <c r="AX158">
        <v>145263381</v>
      </c>
      <c r="AY158">
        <v>1</v>
      </c>
      <c r="AZ158">
        <v>0</v>
      </c>
      <c r="BA158">
        <v>171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ROUND(Y158*Source!I107,9)</f>
        <v>0.31587500000000002</v>
      </c>
      <c r="CY158">
        <f>AB158</f>
        <v>756.98</v>
      </c>
      <c r="CZ158">
        <f>AF158</f>
        <v>65.709999999999994</v>
      </c>
      <c r="DA158">
        <f>AJ158</f>
        <v>11.52</v>
      </c>
      <c r="DB158">
        <f>ROUND((ROUND(AT158*CZ158,2)*1.25),2)</f>
        <v>0.83</v>
      </c>
      <c r="DC158">
        <f>ROUND((ROUND(AT158*AG158,2)*1.25),2)</f>
        <v>0.15</v>
      </c>
      <c r="DD158" t="s">
        <v>3</v>
      </c>
      <c r="DE158" t="s">
        <v>3</v>
      </c>
      <c r="DF158">
        <f t="shared" si="111"/>
        <v>0</v>
      </c>
      <c r="DG158">
        <f>ROUND(ROUND(AF158*AJ158,2)*CX158,2)</f>
        <v>239.11</v>
      </c>
      <c r="DH158">
        <f>ROUND(ROUND(AG158*AK158,2)*CX158,2)</f>
        <v>107.47</v>
      </c>
      <c r="DI158">
        <f t="shared" si="112"/>
        <v>0</v>
      </c>
      <c r="DJ158">
        <f>DG158</f>
        <v>239.11</v>
      </c>
      <c r="DK158">
        <v>0</v>
      </c>
      <c r="DL158" t="s">
        <v>3</v>
      </c>
      <c r="DM158">
        <v>0</v>
      </c>
      <c r="DN158" t="s">
        <v>3</v>
      </c>
      <c r="DO158">
        <v>0</v>
      </c>
    </row>
    <row r="159" spans="1:119" x14ac:dyDescent="0.2">
      <c r="A159">
        <f>ROW(Source!A107)</f>
        <v>107</v>
      </c>
      <c r="B159">
        <v>145262827</v>
      </c>
      <c r="C159">
        <v>145263368</v>
      </c>
      <c r="D159">
        <v>140924526</v>
      </c>
      <c r="E159">
        <v>1</v>
      </c>
      <c r="F159">
        <v>1</v>
      </c>
      <c r="G159">
        <v>1</v>
      </c>
      <c r="H159">
        <v>2</v>
      </c>
      <c r="I159" t="s">
        <v>559</v>
      </c>
      <c r="J159" t="s">
        <v>560</v>
      </c>
      <c r="K159" t="s">
        <v>561</v>
      </c>
      <c r="L159">
        <v>1367</v>
      </c>
      <c r="N159">
        <v>1011</v>
      </c>
      <c r="O159" t="s">
        <v>378</v>
      </c>
      <c r="P159" t="s">
        <v>378</v>
      </c>
      <c r="Q159">
        <v>1</v>
      </c>
      <c r="W159">
        <v>0</v>
      </c>
      <c r="X159">
        <v>-1745017968</v>
      </c>
      <c r="Y159">
        <f>(AT159*1.25)</f>
        <v>1.4000000000000001</v>
      </c>
      <c r="AA159">
        <v>0</v>
      </c>
      <c r="AB159">
        <v>78.569999999999993</v>
      </c>
      <c r="AC159">
        <v>0</v>
      </c>
      <c r="AD159">
        <v>0</v>
      </c>
      <c r="AE159">
        <v>0</v>
      </c>
      <c r="AF159">
        <v>6.82</v>
      </c>
      <c r="AG159">
        <v>0</v>
      </c>
      <c r="AH159">
        <v>0</v>
      </c>
      <c r="AI159">
        <v>1</v>
      </c>
      <c r="AJ159">
        <v>11.52</v>
      </c>
      <c r="AK159">
        <v>29.33</v>
      </c>
      <c r="AL159">
        <v>1</v>
      </c>
      <c r="AM159">
        <v>4</v>
      </c>
      <c r="AN159">
        <v>0</v>
      </c>
      <c r="AO159">
        <v>1</v>
      </c>
      <c r="AP159">
        <v>1</v>
      </c>
      <c r="AQ159">
        <v>0</v>
      </c>
      <c r="AR159">
        <v>0</v>
      </c>
      <c r="AS159" t="s">
        <v>3</v>
      </c>
      <c r="AT159">
        <v>1.1200000000000001</v>
      </c>
      <c r="AU159" t="s">
        <v>148</v>
      </c>
      <c r="AV159">
        <v>0</v>
      </c>
      <c r="AW159">
        <v>2</v>
      </c>
      <c r="AX159">
        <v>145263382</v>
      </c>
      <c r="AY159">
        <v>1</v>
      </c>
      <c r="AZ159">
        <v>0</v>
      </c>
      <c r="BA159">
        <v>172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ROUND(Y159*Source!I107,9)</f>
        <v>35.378</v>
      </c>
      <c r="CY159">
        <f>AB159</f>
        <v>78.569999999999993</v>
      </c>
      <c r="CZ159">
        <f>AF159</f>
        <v>6.82</v>
      </c>
      <c r="DA159">
        <f>AJ159</f>
        <v>11.52</v>
      </c>
      <c r="DB159">
        <f>ROUND((ROUND(AT159*CZ159,2)*1.25),2)</f>
        <v>9.5500000000000007</v>
      </c>
      <c r="DC159">
        <f>ROUND((ROUND(AT159*AG159,2)*1.25),2)</f>
        <v>0</v>
      </c>
      <c r="DD159" t="s">
        <v>3</v>
      </c>
      <c r="DE159" t="s">
        <v>3</v>
      </c>
      <c r="DF159">
        <f t="shared" si="111"/>
        <v>0</v>
      </c>
      <c r="DG159">
        <f>ROUND(ROUND(AF159*AJ159,2)*CX159,2)</f>
        <v>2779.65</v>
      </c>
      <c r="DH159">
        <f>ROUND(ROUND(AG159*AK159,2)*CX159,2)</f>
        <v>0</v>
      </c>
      <c r="DI159">
        <f t="shared" si="112"/>
        <v>0</v>
      </c>
      <c r="DJ159">
        <f>DG159</f>
        <v>2779.65</v>
      </c>
      <c r="DK159">
        <v>0</v>
      </c>
      <c r="DL159" t="s">
        <v>3</v>
      </c>
      <c r="DM159">
        <v>0</v>
      </c>
      <c r="DN159" t="s">
        <v>3</v>
      </c>
      <c r="DO159">
        <v>0</v>
      </c>
    </row>
    <row r="160" spans="1:119" x14ac:dyDescent="0.2">
      <c r="A160">
        <f>ROW(Source!A107)</f>
        <v>107</v>
      </c>
      <c r="B160">
        <v>145262827</v>
      </c>
      <c r="C160">
        <v>145263368</v>
      </c>
      <c r="D160">
        <v>140804058</v>
      </c>
      <c r="E160">
        <v>1</v>
      </c>
      <c r="F160">
        <v>1</v>
      </c>
      <c r="G160">
        <v>1</v>
      </c>
      <c r="H160">
        <v>3</v>
      </c>
      <c r="I160" t="s">
        <v>480</v>
      </c>
      <c r="J160" t="s">
        <v>481</v>
      </c>
      <c r="K160" t="s">
        <v>482</v>
      </c>
      <c r="L160">
        <v>1348</v>
      </c>
      <c r="N160">
        <v>1009</v>
      </c>
      <c r="O160" t="s">
        <v>206</v>
      </c>
      <c r="P160" t="s">
        <v>206</v>
      </c>
      <c r="Q160">
        <v>1000</v>
      </c>
      <c r="W160">
        <v>0</v>
      </c>
      <c r="X160">
        <v>264248573</v>
      </c>
      <c r="Y160">
        <f>AT160</f>
        <v>8.9999999999999993E-3</v>
      </c>
      <c r="AA160">
        <v>132457.60000000001</v>
      </c>
      <c r="AB160">
        <v>0</v>
      </c>
      <c r="AC160">
        <v>0</v>
      </c>
      <c r="AD160">
        <v>0</v>
      </c>
      <c r="AE160">
        <v>15620</v>
      </c>
      <c r="AF160">
        <v>0</v>
      </c>
      <c r="AG160">
        <v>0</v>
      </c>
      <c r="AH160">
        <v>0</v>
      </c>
      <c r="AI160">
        <v>8.48</v>
      </c>
      <c r="AJ160">
        <v>1</v>
      </c>
      <c r="AK160">
        <v>1</v>
      </c>
      <c r="AL160">
        <v>1</v>
      </c>
      <c r="AM160">
        <v>4</v>
      </c>
      <c r="AN160">
        <v>0</v>
      </c>
      <c r="AO160">
        <v>1</v>
      </c>
      <c r="AP160">
        <v>0</v>
      </c>
      <c r="AQ160">
        <v>0</v>
      </c>
      <c r="AR160">
        <v>0</v>
      </c>
      <c r="AS160" t="s">
        <v>3</v>
      </c>
      <c r="AT160">
        <v>8.9999999999999993E-3</v>
      </c>
      <c r="AU160" t="s">
        <v>3</v>
      </c>
      <c r="AV160">
        <v>0</v>
      </c>
      <c r="AW160">
        <v>2</v>
      </c>
      <c r="AX160">
        <v>145263383</v>
      </c>
      <c r="AY160">
        <v>1</v>
      </c>
      <c r="AZ160">
        <v>0</v>
      </c>
      <c r="BA160">
        <v>173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ROUND(Y160*Source!I107,9)</f>
        <v>0.22742999999999999</v>
      </c>
      <c r="CY160">
        <f>AA160</f>
        <v>132457.60000000001</v>
      </c>
      <c r="CZ160">
        <f>AE160</f>
        <v>15620</v>
      </c>
      <c r="DA160">
        <f>AI160</f>
        <v>8.48</v>
      </c>
      <c r="DB160">
        <f>ROUND(ROUND(AT160*CZ160,2),2)</f>
        <v>140.58000000000001</v>
      </c>
      <c r="DC160">
        <f>ROUND(ROUND(AT160*AG160,2),2)</f>
        <v>0</v>
      </c>
      <c r="DD160" t="s">
        <v>3</v>
      </c>
      <c r="DE160" t="s">
        <v>3</v>
      </c>
      <c r="DF160">
        <f>ROUND(ROUND(AE160*AI160,2)*CX160,2)</f>
        <v>30124.83</v>
      </c>
      <c r="DG160">
        <f>ROUND(ROUND(AF160,2)*CX160,2)</f>
        <v>0</v>
      </c>
      <c r="DH160">
        <f>ROUND(ROUND(AG160,2)*CX160,2)</f>
        <v>0</v>
      </c>
      <c r="DI160">
        <f t="shared" si="112"/>
        <v>0</v>
      </c>
      <c r="DJ160">
        <f>DF160</f>
        <v>30124.83</v>
      </c>
      <c r="DK160">
        <v>0</v>
      </c>
      <c r="DL160" t="s">
        <v>3</v>
      </c>
      <c r="DM160">
        <v>0</v>
      </c>
      <c r="DN160" t="s">
        <v>3</v>
      </c>
      <c r="DO160">
        <v>0</v>
      </c>
    </row>
    <row r="161" spans="1:119" x14ac:dyDescent="0.2">
      <c r="A161">
        <f>ROW(Source!A107)</f>
        <v>107</v>
      </c>
      <c r="B161">
        <v>145262827</v>
      </c>
      <c r="C161">
        <v>145263368</v>
      </c>
      <c r="D161">
        <v>140805125</v>
      </c>
      <c r="E161">
        <v>1</v>
      </c>
      <c r="F161">
        <v>1</v>
      </c>
      <c r="G161">
        <v>1</v>
      </c>
      <c r="H161">
        <v>3</v>
      </c>
      <c r="I161" t="s">
        <v>562</v>
      </c>
      <c r="J161" t="s">
        <v>563</v>
      </c>
      <c r="K161" t="s">
        <v>564</v>
      </c>
      <c r="L161">
        <v>1348</v>
      </c>
      <c r="N161">
        <v>1009</v>
      </c>
      <c r="O161" t="s">
        <v>206</v>
      </c>
      <c r="P161" t="s">
        <v>206</v>
      </c>
      <c r="Q161">
        <v>1000</v>
      </c>
      <c r="W161">
        <v>0</v>
      </c>
      <c r="X161">
        <v>151166323</v>
      </c>
      <c r="Y161">
        <f>AT161</f>
        <v>1.5E-3</v>
      </c>
      <c r="AA161">
        <v>64787.199999999997</v>
      </c>
      <c r="AB161">
        <v>0</v>
      </c>
      <c r="AC161">
        <v>0</v>
      </c>
      <c r="AD161">
        <v>0</v>
      </c>
      <c r="AE161">
        <v>7640</v>
      </c>
      <c r="AF161">
        <v>0</v>
      </c>
      <c r="AG161">
        <v>0</v>
      </c>
      <c r="AH161">
        <v>0</v>
      </c>
      <c r="AI161">
        <v>8.48</v>
      </c>
      <c r="AJ161">
        <v>1</v>
      </c>
      <c r="AK161">
        <v>1</v>
      </c>
      <c r="AL161">
        <v>1</v>
      </c>
      <c r="AM161">
        <v>4</v>
      </c>
      <c r="AN161">
        <v>0</v>
      </c>
      <c r="AO161">
        <v>1</v>
      </c>
      <c r="AP161">
        <v>0</v>
      </c>
      <c r="AQ161">
        <v>0</v>
      </c>
      <c r="AR161">
        <v>0</v>
      </c>
      <c r="AS161" t="s">
        <v>3</v>
      </c>
      <c r="AT161">
        <v>1.5E-3</v>
      </c>
      <c r="AU161" t="s">
        <v>3</v>
      </c>
      <c r="AV161">
        <v>0</v>
      </c>
      <c r="AW161">
        <v>2</v>
      </c>
      <c r="AX161">
        <v>145263384</v>
      </c>
      <c r="AY161">
        <v>1</v>
      </c>
      <c r="AZ161">
        <v>0</v>
      </c>
      <c r="BA161">
        <v>174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ROUND(Y161*Source!I107,9)</f>
        <v>3.7905000000000001E-2</v>
      </c>
      <c r="CY161">
        <f>AA161</f>
        <v>64787.199999999997</v>
      </c>
      <c r="CZ161">
        <f>AE161</f>
        <v>7640</v>
      </c>
      <c r="DA161">
        <f>AI161</f>
        <v>8.48</v>
      </c>
      <c r="DB161">
        <f>ROUND(ROUND(AT161*CZ161,2),2)</f>
        <v>11.46</v>
      </c>
      <c r="DC161">
        <f>ROUND(ROUND(AT161*AG161,2),2)</f>
        <v>0</v>
      </c>
      <c r="DD161" t="s">
        <v>3</v>
      </c>
      <c r="DE161" t="s">
        <v>3</v>
      </c>
      <c r="DF161">
        <f>ROUND(ROUND(AE161*AI161,2)*CX161,2)</f>
        <v>2455.7600000000002</v>
      </c>
      <c r="DG161">
        <f>ROUND(ROUND(AF161,2)*CX161,2)</f>
        <v>0</v>
      </c>
      <c r="DH161">
        <f>ROUND(ROUND(AG161,2)*CX161,2)</f>
        <v>0</v>
      </c>
      <c r="DI161">
        <f t="shared" si="112"/>
        <v>0</v>
      </c>
      <c r="DJ161">
        <f>DF161</f>
        <v>2455.7600000000002</v>
      </c>
      <c r="DK161">
        <v>0</v>
      </c>
      <c r="DL161" t="s">
        <v>3</v>
      </c>
      <c r="DM161">
        <v>0</v>
      </c>
      <c r="DN161" t="s">
        <v>3</v>
      </c>
      <c r="DO161">
        <v>0</v>
      </c>
    </row>
    <row r="162" spans="1:119" x14ac:dyDescent="0.2">
      <c r="A162">
        <f>ROW(Source!A108)</f>
        <v>108</v>
      </c>
      <c r="B162">
        <v>145262827</v>
      </c>
      <c r="C162">
        <v>145263385</v>
      </c>
      <c r="D162">
        <v>140760001</v>
      </c>
      <c r="E162">
        <v>70</v>
      </c>
      <c r="F162">
        <v>1</v>
      </c>
      <c r="G162">
        <v>1</v>
      </c>
      <c r="H162">
        <v>1</v>
      </c>
      <c r="I162" t="s">
        <v>379</v>
      </c>
      <c r="J162" t="s">
        <v>3</v>
      </c>
      <c r="K162" t="s">
        <v>380</v>
      </c>
      <c r="L162">
        <v>1191</v>
      </c>
      <c r="N162">
        <v>1013</v>
      </c>
      <c r="O162" t="s">
        <v>374</v>
      </c>
      <c r="P162" t="s">
        <v>374</v>
      </c>
      <c r="Q162">
        <v>1</v>
      </c>
      <c r="W162">
        <v>0</v>
      </c>
      <c r="X162">
        <v>1893946532</v>
      </c>
      <c r="Y162">
        <f>((AT162*2)*1.15)</f>
        <v>4.8989999999999991</v>
      </c>
      <c r="AA162">
        <v>0</v>
      </c>
      <c r="AB162">
        <v>0</v>
      </c>
      <c r="AC162">
        <v>0</v>
      </c>
      <c r="AD162">
        <v>266.02</v>
      </c>
      <c r="AE162">
        <v>0</v>
      </c>
      <c r="AF162">
        <v>0</v>
      </c>
      <c r="AG162">
        <v>0</v>
      </c>
      <c r="AH162">
        <v>9.07</v>
      </c>
      <c r="AI162">
        <v>1</v>
      </c>
      <c r="AJ162">
        <v>1</v>
      </c>
      <c r="AK162">
        <v>1</v>
      </c>
      <c r="AL162">
        <v>29.33</v>
      </c>
      <c r="AM162">
        <v>4</v>
      </c>
      <c r="AN162">
        <v>0</v>
      </c>
      <c r="AO162">
        <v>1</v>
      </c>
      <c r="AP162">
        <v>1</v>
      </c>
      <c r="AQ162">
        <v>0</v>
      </c>
      <c r="AR162">
        <v>0</v>
      </c>
      <c r="AS162" t="s">
        <v>3</v>
      </c>
      <c r="AT162">
        <v>2.13</v>
      </c>
      <c r="AU162" t="s">
        <v>297</v>
      </c>
      <c r="AV162">
        <v>1</v>
      </c>
      <c r="AW162">
        <v>2</v>
      </c>
      <c r="AX162">
        <v>145263394</v>
      </c>
      <c r="AY162">
        <v>1</v>
      </c>
      <c r="AZ162">
        <v>0</v>
      </c>
      <c r="BA162">
        <v>175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ROUND(Y162*Source!I108,9)</f>
        <v>123.79773</v>
      </c>
      <c r="CY162">
        <f>AD162</f>
        <v>266.02</v>
      </c>
      <c r="CZ162">
        <f>AH162</f>
        <v>9.07</v>
      </c>
      <c r="DA162">
        <f>AL162</f>
        <v>29.33</v>
      </c>
      <c r="DB162">
        <f>ROUND(((ROUND(AT162*CZ162,2)*2)*1.15),2)</f>
        <v>44.44</v>
      </c>
      <c r="DC162">
        <f>ROUND(((ROUND(AT162*AG162,2)*2)*1.15),2)</f>
        <v>0</v>
      </c>
      <c r="DD162" t="s">
        <v>3</v>
      </c>
      <c r="DE162" t="s">
        <v>3</v>
      </c>
      <c r="DF162">
        <f t="shared" ref="DF162:DF167" si="113">ROUND(ROUND(AE162,2)*CX162,2)</f>
        <v>0</v>
      </c>
      <c r="DG162">
        <f>ROUND(ROUND(AF162,2)*CX162,2)</f>
        <v>0</v>
      </c>
      <c r="DH162">
        <f>ROUND(ROUND(AG162,2)*CX162,2)</f>
        <v>0</v>
      </c>
      <c r="DI162">
        <f>ROUND(ROUND(AH162*AL162,2)*CX162,2)</f>
        <v>32932.67</v>
      </c>
      <c r="DJ162">
        <f>DI162</f>
        <v>32932.67</v>
      </c>
      <c r="DK162">
        <v>0</v>
      </c>
      <c r="DL162" t="s">
        <v>3</v>
      </c>
      <c r="DM162">
        <v>0</v>
      </c>
      <c r="DN162" t="s">
        <v>3</v>
      </c>
      <c r="DO162">
        <v>0</v>
      </c>
    </row>
    <row r="163" spans="1:119" x14ac:dyDescent="0.2">
      <c r="A163">
        <f>ROW(Source!A108)</f>
        <v>108</v>
      </c>
      <c r="B163">
        <v>145262827</v>
      </c>
      <c r="C163">
        <v>145263385</v>
      </c>
      <c r="D163">
        <v>140760225</v>
      </c>
      <c r="E163">
        <v>70</v>
      </c>
      <c r="F163">
        <v>1</v>
      </c>
      <c r="G163">
        <v>1</v>
      </c>
      <c r="H163">
        <v>1</v>
      </c>
      <c r="I163" t="s">
        <v>381</v>
      </c>
      <c r="J163" t="s">
        <v>3</v>
      </c>
      <c r="K163" t="s">
        <v>382</v>
      </c>
      <c r="L163">
        <v>1191</v>
      </c>
      <c r="N163">
        <v>1013</v>
      </c>
      <c r="O163" t="s">
        <v>374</v>
      </c>
      <c r="P163" t="s">
        <v>374</v>
      </c>
      <c r="Q163">
        <v>1</v>
      </c>
      <c r="W163">
        <v>0</v>
      </c>
      <c r="X163">
        <v>-1417349443</v>
      </c>
      <c r="Y163">
        <f>((AT163*2)*1.25)</f>
        <v>0.05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1</v>
      </c>
      <c r="AJ163">
        <v>1</v>
      </c>
      <c r="AK163">
        <v>29.33</v>
      </c>
      <c r="AL163">
        <v>1</v>
      </c>
      <c r="AM163">
        <v>4</v>
      </c>
      <c r="AN163">
        <v>0</v>
      </c>
      <c r="AO163">
        <v>1</v>
      </c>
      <c r="AP163">
        <v>1</v>
      </c>
      <c r="AQ163">
        <v>0</v>
      </c>
      <c r="AR163">
        <v>0</v>
      </c>
      <c r="AS163" t="s">
        <v>3</v>
      </c>
      <c r="AT163">
        <v>0.02</v>
      </c>
      <c r="AU163" t="s">
        <v>296</v>
      </c>
      <c r="AV163">
        <v>2</v>
      </c>
      <c r="AW163">
        <v>2</v>
      </c>
      <c r="AX163">
        <v>145263395</v>
      </c>
      <c r="AY163">
        <v>1</v>
      </c>
      <c r="AZ163">
        <v>0</v>
      </c>
      <c r="BA163">
        <v>176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ROUND(Y163*Source!I108,9)</f>
        <v>1.2635000000000001</v>
      </c>
      <c r="CY163">
        <f>AD163</f>
        <v>0</v>
      </c>
      <c r="CZ163">
        <f>AH163</f>
        <v>0</v>
      </c>
      <c r="DA163">
        <f>AL163</f>
        <v>1</v>
      </c>
      <c r="DB163">
        <f>ROUND(((ROUND(AT163*CZ163,2)*2)*1.25),2)</f>
        <v>0</v>
      </c>
      <c r="DC163">
        <f>ROUND(((ROUND(AT163*AG163,2)*2)*1.25),2)</f>
        <v>0</v>
      </c>
      <c r="DD163" t="s">
        <v>3</v>
      </c>
      <c r="DE163" t="s">
        <v>3</v>
      </c>
      <c r="DF163">
        <f t="shared" si="113"/>
        <v>0</v>
      </c>
      <c r="DG163">
        <f>ROUND(ROUND(AF163,2)*CX163,2)</f>
        <v>0</v>
      </c>
      <c r="DH163">
        <f>ROUND(ROUND(AG163*AK163,2)*CX163,2)</f>
        <v>0</v>
      </c>
      <c r="DI163">
        <f>ROUND(ROUND(AH163,2)*CX163,2)</f>
        <v>0</v>
      </c>
      <c r="DJ163">
        <f>DI163</f>
        <v>0</v>
      </c>
      <c r="DK163">
        <v>0</v>
      </c>
      <c r="DL163" t="s">
        <v>3</v>
      </c>
      <c r="DM163">
        <v>0</v>
      </c>
      <c r="DN163" t="s">
        <v>3</v>
      </c>
      <c r="DO163">
        <v>0</v>
      </c>
    </row>
    <row r="164" spans="1:119" x14ac:dyDescent="0.2">
      <c r="A164">
        <f>ROW(Source!A108)</f>
        <v>108</v>
      </c>
      <c r="B164">
        <v>145262827</v>
      </c>
      <c r="C164">
        <v>145263385</v>
      </c>
      <c r="D164">
        <v>140923086</v>
      </c>
      <c r="E164">
        <v>1</v>
      </c>
      <c r="F164">
        <v>1</v>
      </c>
      <c r="G164">
        <v>1</v>
      </c>
      <c r="H164">
        <v>2</v>
      </c>
      <c r="I164" t="s">
        <v>553</v>
      </c>
      <c r="J164" t="s">
        <v>554</v>
      </c>
      <c r="K164" t="s">
        <v>555</v>
      </c>
      <c r="L164">
        <v>1367</v>
      </c>
      <c r="N164">
        <v>1011</v>
      </c>
      <c r="O164" t="s">
        <v>378</v>
      </c>
      <c r="P164" t="s">
        <v>378</v>
      </c>
      <c r="Q164">
        <v>1</v>
      </c>
      <c r="W164">
        <v>0</v>
      </c>
      <c r="X164">
        <v>208619310</v>
      </c>
      <c r="Y164">
        <f>((AT164*2)*1.25)</f>
        <v>2.5000000000000001E-2</v>
      </c>
      <c r="AA164">
        <v>0</v>
      </c>
      <c r="AB164">
        <v>19.579999999999998</v>
      </c>
      <c r="AC164">
        <v>0</v>
      </c>
      <c r="AD164">
        <v>0</v>
      </c>
      <c r="AE164">
        <v>0</v>
      </c>
      <c r="AF164">
        <v>1.7</v>
      </c>
      <c r="AG164">
        <v>0</v>
      </c>
      <c r="AH164">
        <v>0</v>
      </c>
      <c r="AI164">
        <v>1</v>
      </c>
      <c r="AJ164">
        <v>11.52</v>
      </c>
      <c r="AK164">
        <v>29.33</v>
      </c>
      <c r="AL164">
        <v>1</v>
      </c>
      <c r="AM164">
        <v>4</v>
      </c>
      <c r="AN164">
        <v>0</v>
      </c>
      <c r="AO164">
        <v>1</v>
      </c>
      <c r="AP164">
        <v>1</v>
      </c>
      <c r="AQ164">
        <v>0</v>
      </c>
      <c r="AR164">
        <v>0</v>
      </c>
      <c r="AS164" t="s">
        <v>3</v>
      </c>
      <c r="AT164">
        <v>0.01</v>
      </c>
      <c r="AU164" t="s">
        <v>296</v>
      </c>
      <c r="AV164">
        <v>0</v>
      </c>
      <c r="AW164">
        <v>2</v>
      </c>
      <c r="AX164">
        <v>145263396</v>
      </c>
      <c r="AY164">
        <v>1</v>
      </c>
      <c r="AZ164">
        <v>0</v>
      </c>
      <c r="BA164">
        <v>177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ROUND(Y164*Source!I108,9)</f>
        <v>0.63175000000000003</v>
      </c>
      <c r="CY164">
        <f>AB164</f>
        <v>19.579999999999998</v>
      </c>
      <c r="CZ164">
        <f>AF164</f>
        <v>1.7</v>
      </c>
      <c r="DA164">
        <f>AJ164</f>
        <v>11.52</v>
      </c>
      <c r="DB164">
        <f>ROUND(((ROUND(AT164*CZ164,2)*2)*1.25),2)</f>
        <v>0.05</v>
      </c>
      <c r="DC164">
        <f>ROUND(((ROUND(AT164*AG164,2)*2)*1.25),2)</f>
        <v>0</v>
      </c>
      <c r="DD164" t="s">
        <v>3</v>
      </c>
      <c r="DE164" t="s">
        <v>3</v>
      </c>
      <c r="DF164">
        <f t="shared" si="113"/>
        <v>0</v>
      </c>
      <c r="DG164">
        <f>ROUND(ROUND(AF164*AJ164,2)*CX164,2)</f>
        <v>12.37</v>
      </c>
      <c r="DH164">
        <f>ROUND(ROUND(AG164*AK164,2)*CX164,2)</f>
        <v>0</v>
      </c>
      <c r="DI164">
        <f>ROUND(ROUND(AH164,2)*CX164,2)</f>
        <v>0</v>
      </c>
      <c r="DJ164">
        <f>DG164</f>
        <v>12.37</v>
      </c>
      <c r="DK164">
        <v>0</v>
      </c>
      <c r="DL164" t="s">
        <v>3</v>
      </c>
      <c r="DM164">
        <v>0</v>
      </c>
      <c r="DN164" t="s">
        <v>3</v>
      </c>
      <c r="DO164">
        <v>0</v>
      </c>
    </row>
    <row r="165" spans="1:119" x14ac:dyDescent="0.2">
      <c r="A165">
        <f>ROW(Source!A108)</f>
        <v>108</v>
      </c>
      <c r="B165">
        <v>145262827</v>
      </c>
      <c r="C165">
        <v>145263385</v>
      </c>
      <c r="D165">
        <v>140923105</v>
      </c>
      <c r="E165">
        <v>1</v>
      </c>
      <c r="F165">
        <v>1</v>
      </c>
      <c r="G165">
        <v>1</v>
      </c>
      <c r="H165">
        <v>2</v>
      </c>
      <c r="I165" t="s">
        <v>556</v>
      </c>
      <c r="J165" t="s">
        <v>557</v>
      </c>
      <c r="K165" t="s">
        <v>558</v>
      </c>
      <c r="L165">
        <v>1367</v>
      </c>
      <c r="N165">
        <v>1011</v>
      </c>
      <c r="O165" t="s">
        <v>378</v>
      </c>
      <c r="P165" t="s">
        <v>378</v>
      </c>
      <c r="Q165">
        <v>1</v>
      </c>
      <c r="W165">
        <v>0</v>
      </c>
      <c r="X165">
        <v>-896236776</v>
      </c>
      <c r="Y165">
        <f>((AT165*2)*1.25)</f>
        <v>2.5000000000000001E-2</v>
      </c>
      <c r="AA165">
        <v>0</v>
      </c>
      <c r="AB165">
        <v>1036.68</v>
      </c>
      <c r="AC165">
        <v>295.06</v>
      </c>
      <c r="AD165">
        <v>0</v>
      </c>
      <c r="AE165">
        <v>0</v>
      </c>
      <c r="AF165">
        <v>89.99</v>
      </c>
      <c r="AG165">
        <v>10.06</v>
      </c>
      <c r="AH165">
        <v>0</v>
      </c>
      <c r="AI165">
        <v>1</v>
      </c>
      <c r="AJ165">
        <v>11.52</v>
      </c>
      <c r="AK165">
        <v>29.33</v>
      </c>
      <c r="AL165">
        <v>1</v>
      </c>
      <c r="AM165">
        <v>4</v>
      </c>
      <c r="AN165">
        <v>0</v>
      </c>
      <c r="AO165">
        <v>1</v>
      </c>
      <c r="AP165">
        <v>1</v>
      </c>
      <c r="AQ165">
        <v>0</v>
      </c>
      <c r="AR165">
        <v>0</v>
      </c>
      <c r="AS165" t="s">
        <v>3</v>
      </c>
      <c r="AT165">
        <v>0.01</v>
      </c>
      <c r="AU165" t="s">
        <v>296</v>
      </c>
      <c r="AV165">
        <v>0</v>
      </c>
      <c r="AW165">
        <v>2</v>
      </c>
      <c r="AX165">
        <v>145263397</v>
      </c>
      <c r="AY165">
        <v>1</v>
      </c>
      <c r="AZ165">
        <v>0</v>
      </c>
      <c r="BA165">
        <v>178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ROUND(Y165*Source!I108,9)</f>
        <v>0.63175000000000003</v>
      </c>
      <c r="CY165">
        <f>AB165</f>
        <v>1036.68</v>
      </c>
      <c r="CZ165">
        <f>AF165</f>
        <v>89.99</v>
      </c>
      <c r="DA165">
        <f>AJ165</f>
        <v>11.52</v>
      </c>
      <c r="DB165">
        <f>ROUND(((ROUND(AT165*CZ165,2)*2)*1.25),2)</f>
        <v>2.25</v>
      </c>
      <c r="DC165">
        <f>ROUND(((ROUND(AT165*AG165,2)*2)*1.25),2)</f>
        <v>0.25</v>
      </c>
      <c r="DD165" t="s">
        <v>3</v>
      </c>
      <c r="DE165" t="s">
        <v>3</v>
      </c>
      <c r="DF165">
        <f t="shared" si="113"/>
        <v>0</v>
      </c>
      <c r="DG165">
        <f>ROUND(ROUND(AF165*AJ165,2)*CX165,2)</f>
        <v>654.91999999999996</v>
      </c>
      <c r="DH165">
        <f>ROUND(ROUND(AG165*AK165,2)*CX165,2)</f>
        <v>186.4</v>
      </c>
      <c r="DI165">
        <f>ROUND(ROUND(AH165,2)*CX165,2)</f>
        <v>0</v>
      </c>
      <c r="DJ165">
        <f>DG165</f>
        <v>654.91999999999996</v>
      </c>
      <c r="DK165">
        <v>0</v>
      </c>
      <c r="DL165" t="s">
        <v>3</v>
      </c>
      <c r="DM165">
        <v>0</v>
      </c>
      <c r="DN165" t="s">
        <v>3</v>
      </c>
      <c r="DO165">
        <v>0</v>
      </c>
    </row>
    <row r="166" spans="1:119" x14ac:dyDescent="0.2">
      <c r="A166">
        <f>ROW(Source!A108)</f>
        <v>108</v>
      </c>
      <c r="B166">
        <v>145262827</v>
      </c>
      <c r="C166">
        <v>145263385</v>
      </c>
      <c r="D166">
        <v>140923885</v>
      </c>
      <c r="E166">
        <v>1</v>
      </c>
      <c r="F166">
        <v>1</v>
      </c>
      <c r="G166">
        <v>1</v>
      </c>
      <c r="H166">
        <v>2</v>
      </c>
      <c r="I166" t="s">
        <v>386</v>
      </c>
      <c r="J166" t="s">
        <v>387</v>
      </c>
      <c r="K166" t="s">
        <v>388</v>
      </c>
      <c r="L166">
        <v>1367</v>
      </c>
      <c r="N166">
        <v>1011</v>
      </c>
      <c r="O166" t="s">
        <v>378</v>
      </c>
      <c r="P166" t="s">
        <v>378</v>
      </c>
      <c r="Q166">
        <v>1</v>
      </c>
      <c r="W166">
        <v>0</v>
      </c>
      <c r="X166">
        <v>509054691</v>
      </c>
      <c r="Y166">
        <f>((AT166*2)*1.25)</f>
        <v>2.5000000000000001E-2</v>
      </c>
      <c r="AA166">
        <v>0</v>
      </c>
      <c r="AB166">
        <v>756.98</v>
      </c>
      <c r="AC166">
        <v>340.23</v>
      </c>
      <c r="AD166">
        <v>0</v>
      </c>
      <c r="AE166">
        <v>0</v>
      </c>
      <c r="AF166">
        <v>65.709999999999994</v>
      </c>
      <c r="AG166">
        <v>11.6</v>
      </c>
      <c r="AH166">
        <v>0</v>
      </c>
      <c r="AI166">
        <v>1</v>
      </c>
      <c r="AJ166">
        <v>11.52</v>
      </c>
      <c r="AK166">
        <v>29.33</v>
      </c>
      <c r="AL166">
        <v>1</v>
      </c>
      <c r="AM166">
        <v>4</v>
      </c>
      <c r="AN166">
        <v>0</v>
      </c>
      <c r="AO166">
        <v>1</v>
      </c>
      <c r="AP166">
        <v>1</v>
      </c>
      <c r="AQ166">
        <v>0</v>
      </c>
      <c r="AR166">
        <v>0</v>
      </c>
      <c r="AS166" t="s">
        <v>3</v>
      </c>
      <c r="AT166">
        <v>0.01</v>
      </c>
      <c r="AU166" t="s">
        <v>296</v>
      </c>
      <c r="AV166">
        <v>0</v>
      </c>
      <c r="AW166">
        <v>2</v>
      </c>
      <c r="AX166">
        <v>145263398</v>
      </c>
      <c r="AY166">
        <v>1</v>
      </c>
      <c r="AZ166">
        <v>0</v>
      </c>
      <c r="BA166">
        <v>179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ROUND(Y166*Source!I108,9)</f>
        <v>0.63175000000000003</v>
      </c>
      <c r="CY166">
        <f>AB166</f>
        <v>756.98</v>
      </c>
      <c r="CZ166">
        <f>AF166</f>
        <v>65.709999999999994</v>
      </c>
      <c r="DA166">
        <f>AJ166</f>
        <v>11.52</v>
      </c>
      <c r="DB166">
        <f>ROUND(((ROUND(AT166*CZ166,2)*2)*1.25),2)</f>
        <v>1.65</v>
      </c>
      <c r="DC166">
        <f>ROUND(((ROUND(AT166*AG166,2)*2)*1.25),2)</f>
        <v>0.3</v>
      </c>
      <c r="DD166" t="s">
        <v>3</v>
      </c>
      <c r="DE166" t="s">
        <v>3</v>
      </c>
      <c r="DF166">
        <f t="shared" si="113"/>
        <v>0</v>
      </c>
      <c r="DG166">
        <f>ROUND(ROUND(AF166*AJ166,2)*CX166,2)</f>
        <v>478.22</v>
      </c>
      <c r="DH166">
        <f>ROUND(ROUND(AG166*AK166,2)*CX166,2)</f>
        <v>214.94</v>
      </c>
      <c r="DI166">
        <f>ROUND(ROUND(AH166,2)*CX166,2)</f>
        <v>0</v>
      </c>
      <c r="DJ166">
        <f>DG166</f>
        <v>478.22</v>
      </c>
      <c r="DK166">
        <v>0</v>
      </c>
      <c r="DL166" t="s">
        <v>3</v>
      </c>
      <c r="DM166">
        <v>0</v>
      </c>
      <c r="DN166" t="s">
        <v>3</v>
      </c>
      <c r="DO166">
        <v>0</v>
      </c>
    </row>
    <row r="167" spans="1:119" x14ac:dyDescent="0.2">
      <c r="A167">
        <f>ROW(Source!A108)</f>
        <v>108</v>
      </c>
      <c r="B167">
        <v>145262827</v>
      </c>
      <c r="C167">
        <v>145263385</v>
      </c>
      <c r="D167">
        <v>140924526</v>
      </c>
      <c r="E167">
        <v>1</v>
      </c>
      <c r="F167">
        <v>1</v>
      </c>
      <c r="G167">
        <v>1</v>
      </c>
      <c r="H167">
        <v>2</v>
      </c>
      <c r="I167" t="s">
        <v>559</v>
      </c>
      <c r="J167" t="s">
        <v>560</v>
      </c>
      <c r="K167" t="s">
        <v>561</v>
      </c>
      <c r="L167">
        <v>1367</v>
      </c>
      <c r="N167">
        <v>1011</v>
      </c>
      <c r="O167" t="s">
        <v>378</v>
      </c>
      <c r="P167" t="s">
        <v>378</v>
      </c>
      <c r="Q167">
        <v>1</v>
      </c>
      <c r="W167">
        <v>0</v>
      </c>
      <c r="X167">
        <v>-1745017968</v>
      </c>
      <c r="Y167">
        <f>((AT167*2)*1.25)</f>
        <v>1.625</v>
      </c>
      <c r="AA167">
        <v>0</v>
      </c>
      <c r="AB167">
        <v>78.569999999999993</v>
      </c>
      <c r="AC167">
        <v>0</v>
      </c>
      <c r="AD167">
        <v>0</v>
      </c>
      <c r="AE167">
        <v>0</v>
      </c>
      <c r="AF167">
        <v>6.82</v>
      </c>
      <c r="AG167">
        <v>0</v>
      </c>
      <c r="AH167">
        <v>0</v>
      </c>
      <c r="AI167">
        <v>1</v>
      </c>
      <c r="AJ167">
        <v>11.52</v>
      </c>
      <c r="AK167">
        <v>29.33</v>
      </c>
      <c r="AL167">
        <v>1</v>
      </c>
      <c r="AM167">
        <v>4</v>
      </c>
      <c r="AN167">
        <v>0</v>
      </c>
      <c r="AO167">
        <v>1</v>
      </c>
      <c r="AP167">
        <v>1</v>
      </c>
      <c r="AQ167">
        <v>0</v>
      </c>
      <c r="AR167">
        <v>0</v>
      </c>
      <c r="AS167" t="s">
        <v>3</v>
      </c>
      <c r="AT167">
        <v>0.65</v>
      </c>
      <c r="AU167" t="s">
        <v>296</v>
      </c>
      <c r="AV167">
        <v>0</v>
      </c>
      <c r="AW167">
        <v>2</v>
      </c>
      <c r="AX167">
        <v>145263399</v>
      </c>
      <c r="AY167">
        <v>1</v>
      </c>
      <c r="AZ167">
        <v>0</v>
      </c>
      <c r="BA167">
        <v>180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ROUND(Y167*Source!I108,9)</f>
        <v>41.063749999999999</v>
      </c>
      <c r="CY167">
        <f>AB167</f>
        <v>78.569999999999993</v>
      </c>
      <c r="CZ167">
        <f>AF167</f>
        <v>6.82</v>
      </c>
      <c r="DA167">
        <f>AJ167</f>
        <v>11.52</v>
      </c>
      <c r="DB167">
        <f>ROUND(((ROUND(AT167*CZ167,2)*2)*1.25),2)</f>
        <v>11.08</v>
      </c>
      <c r="DC167">
        <f>ROUND(((ROUND(AT167*AG167,2)*2)*1.25),2)</f>
        <v>0</v>
      </c>
      <c r="DD167" t="s">
        <v>3</v>
      </c>
      <c r="DE167" t="s">
        <v>3</v>
      </c>
      <c r="DF167">
        <f t="shared" si="113"/>
        <v>0</v>
      </c>
      <c r="DG167">
        <f>ROUND(ROUND(AF167*AJ167,2)*CX167,2)</f>
        <v>3226.38</v>
      </c>
      <c r="DH167">
        <f>ROUND(ROUND(AG167*AK167,2)*CX167,2)</f>
        <v>0</v>
      </c>
      <c r="DI167">
        <f>ROUND(ROUND(AH167,2)*CX167,2)</f>
        <v>0</v>
      </c>
      <c r="DJ167">
        <f>DG167</f>
        <v>3226.38</v>
      </c>
      <c r="DK167">
        <v>0</v>
      </c>
      <c r="DL167" t="s">
        <v>3</v>
      </c>
      <c r="DM167">
        <v>0</v>
      </c>
      <c r="DN167" t="s">
        <v>3</v>
      </c>
      <c r="DO167">
        <v>0</v>
      </c>
    </row>
    <row r="168" spans="1:119" x14ac:dyDescent="0.2">
      <c r="A168">
        <f>ROW(Source!A108)</f>
        <v>108</v>
      </c>
      <c r="B168">
        <v>145262827</v>
      </c>
      <c r="C168">
        <v>145263385</v>
      </c>
      <c r="D168">
        <v>140804609</v>
      </c>
      <c r="E168">
        <v>1</v>
      </c>
      <c r="F168">
        <v>1</v>
      </c>
      <c r="G168">
        <v>1</v>
      </c>
      <c r="H168">
        <v>3</v>
      </c>
      <c r="I168" t="s">
        <v>565</v>
      </c>
      <c r="J168" t="s">
        <v>566</v>
      </c>
      <c r="K168" t="s">
        <v>567</v>
      </c>
      <c r="L168">
        <v>1348</v>
      </c>
      <c r="N168">
        <v>1009</v>
      </c>
      <c r="O168" t="s">
        <v>206</v>
      </c>
      <c r="P168" t="s">
        <v>206</v>
      </c>
      <c r="Q168">
        <v>1000</v>
      </c>
      <c r="W168">
        <v>0</v>
      </c>
      <c r="X168">
        <v>499358224</v>
      </c>
      <c r="Y168">
        <f>AT168</f>
        <v>8.9999999999999993E-3</v>
      </c>
      <c r="AA168">
        <v>121373.14</v>
      </c>
      <c r="AB168">
        <v>0</v>
      </c>
      <c r="AC168">
        <v>0</v>
      </c>
      <c r="AD168">
        <v>0</v>
      </c>
      <c r="AE168">
        <v>14312.87</v>
      </c>
      <c r="AF168">
        <v>0</v>
      </c>
      <c r="AG168">
        <v>0</v>
      </c>
      <c r="AH168">
        <v>0</v>
      </c>
      <c r="AI168">
        <v>8.48</v>
      </c>
      <c r="AJ168">
        <v>1</v>
      </c>
      <c r="AK168">
        <v>1</v>
      </c>
      <c r="AL168">
        <v>1</v>
      </c>
      <c r="AM168">
        <v>4</v>
      </c>
      <c r="AN168">
        <v>0</v>
      </c>
      <c r="AO168">
        <v>1</v>
      </c>
      <c r="AP168">
        <v>1</v>
      </c>
      <c r="AQ168">
        <v>0</v>
      </c>
      <c r="AR168">
        <v>0</v>
      </c>
      <c r="AS168" t="s">
        <v>3</v>
      </c>
      <c r="AT168">
        <v>8.9999999999999993E-3</v>
      </c>
      <c r="AU168" t="s">
        <v>3</v>
      </c>
      <c r="AV168">
        <v>0</v>
      </c>
      <c r="AW168">
        <v>2</v>
      </c>
      <c r="AX168">
        <v>145263400</v>
      </c>
      <c r="AY168">
        <v>1</v>
      </c>
      <c r="AZ168">
        <v>2048</v>
      </c>
      <c r="BA168">
        <v>181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ROUND(Y168*Source!I108,9)</f>
        <v>0.22742999999999999</v>
      </c>
      <c r="CY168">
        <f>AA168</f>
        <v>121373.14</v>
      </c>
      <c r="CZ168">
        <f>AE168</f>
        <v>14312.87</v>
      </c>
      <c r="DA168">
        <f>AI168</f>
        <v>8.48</v>
      </c>
      <c r="DB168">
        <f>ROUND((ROUND(AT168*CZ168,2)*2),2)</f>
        <v>257.64</v>
      </c>
      <c r="DC168">
        <f>ROUND(ROUND(AT168*AG168,2),2)</f>
        <v>0</v>
      </c>
      <c r="DD168" t="s">
        <v>295</v>
      </c>
      <c r="DE168" t="s">
        <v>3</v>
      </c>
      <c r="DF168">
        <f>ROUND((ROUND(AE168*AI168,2)*2)*CX168,2)</f>
        <v>55207.79</v>
      </c>
      <c r="DG168">
        <f>ROUND((ROUND(AF168,2)*2)*CX168,2)</f>
        <v>0</v>
      </c>
      <c r="DH168">
        <f>ROUND(ROUND(AG168,2)*CX168,2)</f>
        <v>0</v>
      </c>
      <c r="DI168">
        <f>ROUND((ROUND(AH168,2)*2)*CX168,2)</f>
        <v>0</v>
      </c>
      <c r="DJ168">
        <f>DF168</f>
        <v>55207.79</v>
      </c>
      <c r="DK168">
        <v>0</v>
      </c>
      <c r="DL168" t="s">
        <v>3</v>
      </c>
      <c r="DM168">
        <v>0</v>
      </c>
      <c r="DN168" t="s">
        <v>3</v>
      </c>
      <c r="DO168">
        <v>0</v>
      </c>
    </row>
    <row r="169" spans="1:119" x14ac:dyDescent="0.2">
      <c r="A169">
        <f>ROW(Source!A108)</f>
        <v>108</v>
      </c>
      <c r="B169">
        <v>145262827</v>
      </c>
      <c r="C169">
        <v>145263385</v>
      </c>
      <c r="D169">
        <v>140805221</v>
      </c>
      <c r="E169">
        <v>1</v>
      </c>
      <c r="F169">
        <v>1</v>
      </c>
      <c r="G169">
        <v>1</v>
      </c>
      <c r="H169">
        <v>3</v>
      </c>
      <c r="I169" t="s">
        <v>568</v>
      </c>
      <c r="J169" t="s">
        <v>569</v>
      </c>
      <c r="K169" t="s">
        <v>570</v>
      </c>
      <c r="L169">
        <v>1346</v>
      </c>
      <c r="N169">
        <v>1009</v>
      </c>
      <c r="O169" t="s">
        <v>457</v>
      </c>
      <c r="P169" t="s">
        <v>457</v>
      </c>
      <c r="Q169">
        <v>1</v>
      </c>
      <c r="W169">
        <v>0</v>
      </c>
      <c r="X169">
        <v>58056778</v>
      </c>
      <c r="Y169">
        <f>AT169</f>
        <v>1.4</v>
      </c>
      <c r="AA169">
        <v>56.56</v>
      </c>
      <c r="AB169">
        <v>0</v>
      </c>
      <c r="AC169">
        <v>0</v>
      </c>
      <c r="AD169">
        <v>0</v>
      </c>
      <c r="AE169">
        <v>6.67</v>
      </c>
      <c r="AF169">
        <v>0</v>
      </c>
      <c r="AG169">
        <v>0</v>
      </c>
      <c r="AH169">
        <v>0</v>
      </c>
      <c r="AI169">
        <v>8.48</v>
      </c>
      <c r="AJ169">
        <v>1</v>
      </c>
      <c r="AK169">
        <v>1</v>
      </c>
      <c r="AL169">
        <v>1</v>
      </c>
      <c r="AM169">
        <v>4</v>
      </c>
      <c r="AN169">
        <v>0</v>
      </c>
      <c r="AO169">
        <v>1</v>
      </c>
      <c r="AP169">
        <v>1</v>
      </c>
      <c r="AQ169">
        <v>0</v>
      </c>
      <c r="AR169">
        <v>0</v>
      </c>
      <c r="AS169" t="s">
        <v>3</v>
      </c>
      <c r="AT169">
        <v>1.4</v>
      </c>
      <c r="AU169" t="s">
        <v>3</v>
      </c>
      <c r="AV169">
        <v>0</v>
      </c>
      <c r="AW169">
        <v>2</v>
      </c>
      <c r="AX169">
        <v>145263401</v>
      </c>
      <c r="AY169">
        <v>1</v>
      </c>
      <c r="AZ169">
        <v>2048</v>
      </c>
      <c r="BA169">
        <v>182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ROUND(Y169*Source!I108,9)</f>
        <v>35.378</v>
      </c>
      <c r="CY169">
        <f>AA169</f>
        <v>56.56</v>
      </c>
      <c r="CZ169">
        <f>AE169</f>
        <v>6.67</v>
      </c>
      <c r="DA169">
        <f>AI169</f>
        <v>8.48</v>
      </c>
      <c r="DB169">
        <f>ROUND((ROUND(AT169*CZ169,2)*2),2)</f>
        <v>18.68</v>
      </c>
      <c r="DC169">
        <f>ROUND(ROUND(AT169*AG169,2),2)</f>
        <v>0</v>
      </c>
      <c r="DD169" t="s">
        <v>295</v>
      </c>
      <c r="DE169" t="s">
        <v>3</v>
      </c>
      <c r="DF169">
        <f>ROUND((ROUND(AE169*AI169,2)*2)*CX169,2)</f>
        <v>4001.96</v>
      </c>
      <c r="DG169">
        <f>ROUND((ROUND(AF169,2)*2)*CX169,2)</f>
        <v>0</v>
      </c>
      <c r="DH169">
        <f>ROUND(ROUND(AG169,2)*CX169,2)</f>
        <v>0</v>
      </c>
      <c r="DI169">
        <f>ROUND((ROUND(AH169,2)*2)*CX169,2)</f>
        <v>0</v>
      </c>
      <c r="DJ169">
        <f>DF169</f>
        <v>4001.96</v>
      </c>
      <c r="DK169">
        <v>0</v>
      </c>
      <c r="DL169" t="s">
        <v>3</v>
      </c>
      <c r="DM169">
        <v>0</v>
      </c>
      <c r="DN169" t="s">
        <v>3</v>
      </c>
      <c r="DO169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82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ROW(Source!A28)</f>
        <v>28</v>
      </c>
      <c r="B1">
        <v>145263008</v>
      </c>
      <c r="C1">
        <v>145263005</v>
      </c>
      <c r="D1">
        <v>140759935</v>
      </c>
      <c r="E1">
        <v>70</v>
      </c>
      <c r="F1">
        <v>1</v>
      </c>
      <c r="G1">
        <v>1</v>
      </c>
      <c r="H1">
        <v>1</v>
      </c>
      <c r="I1" t="s">
        <v>372</v>
      </c>
      <c r="J1" t="s">
        <v>3</v>
      </c>
      <c r="K1" t="s">
        <v>373</v>
      </c>
      <c r="L1">
        <v>1191</v>
      </c>
      <c r="N1">
        <v>1013</v>
      </c>
      <c r="O1" t="s">
        <v>374</v>
      </c>
      <c r="P1" t="s">
        <v>374</v>
      </c>
      <c r="Q1">
        <v>1</v>
      </c>
      <c r="X1">
        <v>14.38</v>
      </c>
      <c r="Y1">
        <v>0</v>
      </c>
      <c r="Z1">
        <v>0</v>
      </c>
      <c r="AA1">
        <v>0</v>
      </c>
      <c r="AB1">
        <v>7.8</v>
      </c>
      <c r="AC1">
        <v>0</v>
      </c>
      <c r="AD1">
        <v>1</v>
      </c>
      <c r="AE1">
        <v>1</v>
      </c>
      <c r="AF1" t="s">
        <v>3</v>
      </c>
      <c r="AG1">
        <v>14.38</v>
      </c>
      <c r="AH1">
        <v>2</v>
      </c>
      <c r="AI1">
        <v>145263006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ROW(Source!A28)</f>
        <v>28</v>
      </c>
      <c r="B2">
        <v>145263009</v>
      </c>
      <c r="C2">
        <v>145263005</v>
      </c>
      <c r="D2">
        <v>140923081</v>
      </c>
      <c r="E2">
        <v>1</v>
      </c>
      <c r="F2">
        <v>1</v>
      </c>
      <c r="G2">
        <v>1</v>
      </c>
      <c r="H2">
        <v>2</v>
      </c>
      <c r="I2" t="s">
        <v>375</v>
      </c>
      <c r="J2" t="s">
        <v>376</v>
      </c>
      <c r="K2" t="s">
        <v>377</v>
      </c>
      <c r="L2">
        <v>1367</v>
      </c>
      <c r="N2">
        <v>1011</v>
      </c>
      <c r="O2" t="s">
        <v>378</v>
      </c>
      <c r="P2" t="s">
        <v>378</v>
      </c>
      <c r="Q2">
        <v>1</v>
      </c>
      <c r="X2">
        <v>6.22</v>
      </c>
      <c r="Y2">
        <v>0</v>
      </c>
      <c r="Z2">
        <v>6.66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6.22</v>
      </c>
      <c r="AH2">
        <v>2</v>
      </c>
      <c r="AI2">
        <v>145263007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ROW(Source!A29)</f>
        <v>29</v>
      </c>
      <c r="B3">
        <v>145263025</v>
      </c>
      <c r="C3">
        <v>145263010</v>
      </c>
      <c r="D3">
        <v>140760001</v>
      </c>
      <c r="E3">
        <v>70</v>
      </c>
      <c r="F3">
        <v>1</v>
      </c>
      <c r="G3">
        <v>1</v>
      </c>
      <c r="H3">
        <v>1</v>
      </c>
      <c r="I3" t="s">
        <v>379</v>
      </c>
      <c r="J3" t="s">
        <v>3</v>
      </c>
      <c r="K3" t="s">
        <v>380</v>
      </c>
      <c r="L3">
        <v>1191</v>
      </c>
      <c r="N3">
        <v>1013</v>
      </c>
      <c r="O3" t="s">
        <v>374</v>
      </c>
      <c r="P3" t="s">
        <v>374</v>
      </c>
      <c r="Q3">
        <v>1</v>
      </c>
      <c r="X3">
        <v>206</v>
      </c>
      <c r="Y3">
        <v>0</v>
      </c>
      <c r="Z3">
        <v>0</v>
      </c>
      <c r="AA3">
        <v>0</v>
      </c>
      <c r="AB3">
        <v>9.07</v>
      </c>
      <c r="AC3">
        <v>0</v>
      </c>
      <c r="AD3">
        <v>1</v>
      </c>
      <c r="AE3">
        <v>1</v>
      </c>
      <c r="AF3" t="s">
        <v>39</v>
      </c>
      <c r="AG3">
        <v>164.8</v>
      </c>
      <c r="AH3">
        <v>2</v>
      </c>
      <c r="AI3">
        <v>145263011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ROW(Source!A29)</f>
        <v>29</v>
      </c>
      <c r="B4">
        <v>145263026</v>
      </c>
      <c r="C4">
        <v>145263010</v>
      </c>
      <c r="D4">
        <v>140760225</v>
      </c>
      <c r="E4">
        <v>70</v>
      </c>
      <c r="F4">
        <v>1</v>
      </c>
      <c r="G4">
        <v>1</v>
      </c>
      <c r="H4">
        <v>1</v>
      </c>
      <c r="I4" t="s">
        <v>381</v>
      </c>
      <c r="J4" t="s">
        <v>3</v>
      </c>
      <c r="K4" t="s">
        <v>382</v>
      </c>
      <c r="L4">
        <v>1191</v>
      </c>
      <c r="N4">
        <v>1013</v>
      </c>
      <c r="O4" t="s">
        <v>374</v>
      </c>
      <c r="P4" t="s">
        <v>374</v>
      </c>
      <c r="Q4">
        <v>1</v>
      </c>
      <c r="X4">
        <v>75.489999999999995</v>
      </c>
      <c r="Y4">
        <v>0</v>
      </c>
      <c r="Z4">
        <v>0</v>
      </c>
      <c r="AA4">
        <v>0</v>
      </c>
      <c r="AB4">
        <v>0</v>
      </c>
      <c r="AC4">
        <v>0</v>
      </c>
      <c r="AD4">
        <v>1</v>
      </c>
      <c r="AE4">
        <v>2</v>
      </c>
      <c r="AF4" t="s">
        <v>39</v>
      </c>
      <c r="AG4">
        <v>60.391999999999996</v>
      </c>
      <c r="AH4">
        <v>2</v>
      </c>
      <c r="AI4">
        <v>145263012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ROW(Source!A29)</f>
        <v>29</v>
      </c>
      <c r="B5">
        <v>145263027</v>
      </c>
      <c r="C5">
        <v>145263010</v>
      </c>
      <c r="D5">
        <v>140922959</v>
      </c>
      <c r="E5">
        <v>1</v>
      </c>
      <c r="F5">
        <v>1</v>
      </c>
      <c r="G5">
        <v>1</v>
      </c>
      <c r="H5">
        <v>2</v>
      </c>
      <c r="I5" t="s">
        <v>383</v>
      </c>
      <c r="J5" t="s">
        <v>384</v>
      </c>
      <c r="K5" t="s">
        <v>385</v>
      </c>
      <c r="L5">
        <v>1367</v>
      </c>
      <c r="N5">
        <v>1011</v>
      </c>
      <c r="O5" t="s">
        <v>378</v>
      </c>
      <c r="P5" t="s">
        <v>378</v>
      </c>
      <c r="Q5">
        <v>1</v>
      </c>
      <c r="X5">
        <v>37.21</v>
      </c>
      <c r="Y5">
        <v>0</v>
      </c>
      <c r="Z5">
        <v>290.01</v>
      </c>
      <c r="AA5">
        <v>25.1</v>
      </c>
      <c r="AB5">
        <v>0</v>
      </c>
      <c r="AC5">
        <v>0</v>
      </c>
      <c r="AD5">
        <v>1</v>
      </c>
      <c r="AE5">
        <v>0</v>
      </c>
      <c r="AF5" t="s">
        <v>39</v>
      </c>
      <c r="AG5">
        <v>29.768000000000001</v>
      </c>
      <c r="AH5">
        <v>2</v>
      </c>
      <c r="AI5">
        <v>145263013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ROW(Source!A29)</f>
        <v>29</v>
      </c>
      <c r="B6">
        <v>145263028</v>
      </c>
      <c r="C6">
        <v>145263010</v>
      </c>
      <c r="D6">
        <v>140923885</v>
      </c>
      <c r="E6">
        <v>1</v>
      </c>
      <c r="F6">
        <v>1</v>
      </c>
      <c r="G6">
        <v>1</v>
      </c>
      <c r="H6">
        <v>2</v>
      </c>
      <c r="I6" t="s">
        <v>386</v>
      </c>
      <c r="J6" t="s">
        <v>387</v>
      </c>
      <c r="K6" t="s">
        <v>388</v>
      </c>
      <c r="L6">
        <v>1367</v>
      </c>
      <c r="N6">
        <v>1011</v>
      </c>
      <c r="O6" t="s">
        <v>378</v>
      </c>
      <c r="P6" t="s">
        <v>378</v>
      </c>
      <c r="Q6">
        <v>1</v>
      </c>
      <c r="X6">
        <v>1.07</v>
      </c>
      <c r="Y6">
        <v>0</v>
      </c>
      <c r="Z6">
        <v>65.709999999999994</v>
      </c>
      <c r="AA6">
        <v>11.6</v>
      </c>
      <c r="AB6">
        <v>0</v>
      </c>
      <c r="AC6">
        <v>0</v>
      </c>
      <c r="AD6">
        <v>1</v>
      </c>
      <c r="AE6">
        <v>0</v>
      </c>
      <c r="AF6" t="s">
        <v>39</v>
      </c>
      <c r="AG6">
        <v>0.85600000000000009</v>
      </c>
      <c r="AH6">
        <v>2</v>
      </c>
      <c r="AI6">
        <v>145263014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ROW(Source!A29)</f>
        <v>29</v>
      </c>
      <c r="B7">
        <v>145263029</v>
      </c>
      <c r="C7">
        <v>145263010</v>
      </c>
      <c r="D7">
        <v>140924098</v>
      </c>
      <c r="E7">
        <v>1</v>
      </c>
      <c r="F7">
        <v>1</v>
      </c>
      <c r="G7">
        <v>1</v>
      </c>
      <c r="H7">
        <v>2</v>
      </c>
      <c r="I7" t="s">
        <v>389</v>
      </c>
      <c r="J7" t="s">
        <v>390</v>
      </c>
      <c r="K7" t="s">
        <v>391</v>
      </c>
      <c r="L7">
        <v>1367</v>
      </c>
      <c r="N7">
        <v>1011</v>
      </c>
      <c r="O7" t="s">
        <v>378</v>
      </c>
      <c r="P7" t="s">
        <v>378</v>
      </c>
      <c r="Q7">
        <v>1</v>
      </c>
      <c r="X7">
        <v>10.54</v>
      </c>
      <c r="Y7">
        <v>0</v>
      </c>
      <c r="Z7">
        <v>8.1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39</v>
      </c>
      <c r="AG7">
        <v>8.4320000000000004</v>
      </c>
      <c r="AH7">
        <v>2</v>
      </c>
      <c r="AI7">
        <v>145263015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ROW(Source!A29)</f>
        <v>29</v>
      </c>
      <c r="B8">
        <v>145263030</v>
      </c>
      <c r="C8">
        <v>145263010</v>
      </c>
      <c r="D8">
        <v>140773170</v>
      </c>
      <c r="E8">
        <v>1</v>
      </c>
      <c r="F8">
        <v>1</v>
      </c>
      <c r="G8">
        <v>1</v>
      </c>
      <c r="H8">
        <v>3</v>
      </c>
      <c r="I8" t="s">
        <v>392</v>
      </c>
      <c r="J8" t="s">
        <v>393</v>
      </c>
      <c r="K8" t="s">
        <v>394</v>
      </c>
      <c r="L8">
        <v>1327</v>
      </c>
      <c r="N8">
        <v>1005</v>
      </c>
      <c r="O8" t="s">
        <v>158</v>
      </c>
      <c r="P8" t="s">
        <v>158</v>
      </c>
      <c r="Q8">
        <v>1</v>
      </c>
      <c r="X8">
        <v>62.9</v>
      </c>
      <c r="Y8">
        <v>3.62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38</v>
      </c>
      <c r="AG8">
        <v>0</v>
      </c>
      <c r="AH8">
        <v>2</v>
      </c>
      <c r="AI8">
        <v>145263016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ROW(Source!A29)</f>
        <v>29</v>
      </c>
      <c r="B9">
        <v>145263031</v>
      </c>
      <c r="C9">
        <v>145263010</v>
      </c>
      <c r="D9">
        <v>140773798</v>
      </c>
      <c r="E9">
        <v>1</v>
      </c>
      <c r="F9">
        <v>1</v>
      </c>
      <c r="G9">
        <v>1</v>
      </c>
      <c r="H9">
        <v>3</v>
      </c>
      <c r="I9" t="s">
        <v>395</v>
      </c>
      <c r="J9" t="s">
        <v>396</v>
      </c>
      <c r="K9" t="s">
        <v>397</v>
      </c>
      <c r="L9">
        <v>1348</v>
      </c>
      <c r="N9">
        <v>1009</v>
      </c>
      <c r="O9" t="s">
        <v>206</v>
      </c>
      <c r="P9" t="s">
        <v>206</v>
      </c>
      <c r="Q9">
        <v>1000</v>
      </c>
      <c r="X9">
        <v>0.03</v>
      </c>
      <c r="Y9">
        <v>9424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38</v>
      </c>
      <c r="AG9">
        <v>0</v>
      </c>
      <c r="AH9">
        <v>2</v>
      </c>
      <c r="AI9">
        <v>145263017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ROW(Source!A29)</f>
        <v>29</v>
      </c>
      <c r="B10">
        <v>145263032</v>
      </c>
      <c r="C10">
        <v>145263010</v>
      </c>
      <c r="D10">
        <v>140775118</v>
      </c>
      <c r="E10">
        <v>1</v>
      </c>
      <c r="F10">
        <v>1</v>
      </c>
      <c r="G10">
        <v>1</v>
      </c>
      <c r="H10">
        <v>3</v>
      </c>
      <c r="I10" t="s">
        <v>398</v>
      </c>
      <c r="J10" t="s">
        <v>399</v>
      </c>
      <c r="K10" t="s">
        <v>400</v>
      </c>
      <c r="L10">
        <v>1348</v>
      </c>
      <c r="N10">
        <v>1009</v>
      </c>
      <c r="O10" t="s">
        <v>206</v>
      </c>
      <c r="P10" t="s">
        <v>206</v>
      </c>
      <c r="Q10">
        <v>1000</v>
      </c>
      <c r="X10">
        <v>2.9999999999999997E-4</v>
      </c>
      <c r="Y10">
        <v>11978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38</v>
      </c>
      <c r="AG10">
        <v>0</v>
      </c>
      <c r="AH10">
        <v>2</v>
      </c>
      <c r="AI10">
        <v>145263018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ROW(Source!A29)</f>
        <v>29</v>
      </c>
      <c r="B11">
        <v>145263033</v>
      </c>
      <c r="C11">
        <v>145263010</v>
      </c>
      <c r="D11">
        <v>140761051</v>
      </c>
      <c r="E11">
        <v>70</v>
      </c>
      <c r="F11">
        <v>1</v>
      </c>
      <c r="G11">
        <v>1</v>
      </c>
      <c r="H11">
        <v>3</v>
      </c>
      <c r="I11" t="s">
        <v>571</v>
      </c>
      <c r="J11" t="s">
        <v>3</v>
      </c>
      <c r="K11" t="s">
        <v>572</v>
      </c>
      <c r="L11">
        <v>1339</v>
      </c>
      <c r="N11">
        <v>1007</v>
      </c>
      <c r="O11" t="s">
        <v>404</v>
      </c>
      <c r="P11" t="s">
        <v>404</v>
      </c>
      <c r="Q11">
        <v>1</v>
      </c>
      <c r="X11">
        <v>6.6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 t="s">
        <v>38</v>
      </c>
      <c r="AG11">
        <v>0</v>
      </c>
      <c r="AH11">
        <v>3</v>
      </c>
      <c r="AI11">
        <v>-1</v>
      </c>
      <c r="AJ11" t="s">
        <v>3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ROW(Source!A29)</f>
        <v>29</v>
      </c>
      <c r="B12">
        <v>145263034</v>
      </c>
      <c r="C12">
        <v>145263010</v>
      </c>
      <c r="D12">
        <v>140778126</v>
      </c>
      <c r="E12">
        <v>1</v>
      </c>
      <c r="F12">
        <v>1</v>
      </c>
      <c r="G12">
        <v>1</v>
      </c>
      <c r="H12">
        <v>3</v>
      </c>
      <c r="I12" t="s">
        <v>401</v>
      </c>
      <c r="J12" t="s">
        <v>402</v>
      </c>
      <c r="K12" t="s">
        <v>403</v>
      </c>
      <c r="L12">
        <v>1339</v>
      </c>
      <c r="N12">
        <v>1007</v>
      </c>
      <c r="O12" t="s">
        <v>404</v>
      </c>
      <c r="P12" t="s">
        <v>404</v>
      </c>
      <c r="Q12">
        <v>1</v>
      </c>
      <c r="X12">
        <v>0.2</v>
      </c>
      <c r="Y12">
        <v>517.91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38</v>
      </c>
      <c r="AG12">
        <v>0</v>
      </c>
      <c r="AH12">
        <v>2</v>
      </c>
      <c r="AI12">
        <v>145263019</v>
      </c>
      <c r="AJ12">
        <v>11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ROW(Source!A29)</f>
        <v>29</v>
      </c>
      <c r="B13">
        <v>145263035</v>
      </c>
      <c r="C13">
        <v>145263010</v>
      </c>
      <c r="D13">
        <v>140761547</v>
      </c>
      <c r="E13">
        <v>70</v>
      </c>
      <c r="F13">
        <v>1</v>
      </c>
      <c r="G13">
        <v>1</v>
      </c>
      <c r="H13">
        <v>3</v>
      </c>
      <c r="I13" t="s">
        <v>573</v>
      </c>
      <c r="J13" t="s">
        <v>3</v>
      </c>
      <c r="K13" t="s">
        <v>574</v>
      </c>
      <c r="L13">
        <v>1371</v>
      </c>
      <c r="N13">
        <v>1013</v>
      </c>
      <c r="O13" t="s">
        <v>162</v>
      </c>
      <c r="P13" t="s">
        <v>162</v>
      </c>
      <c r="Q13">
        <v>1</v>
      </c>
      <c r="X13">
        <v>100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 t="s">
        <v>38</v>
      </c>
      <c r="AG13">
        <v>0</v>
      </c>
      <c r="AH13">
        <v>3</v>
      </c>
      <c r="AI13">
        <v>-1</v>
      </c>
      <c r="AJ13" t="s">
        <v>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ROW(Source!A29)</f>
        <v>29</v>
      </c>
      <c r="B14">
        <v>145263036</v>
      </c>
      <c r="C14">
        <v>145263010</v>
      </c>
      <c r="D14">
        <v>140789846</v>
      </c>
      <c r="E14">
        <v>1</v>
      </c>
      <c r="F14">
        <v>1</v>
      </c>
      <c r="G14">
        <v>1</v>
      </c>
      <c r="H14">
        <v>3</v>
      </c>
      <c r="I14" t="s">
        <v>405</v>
      </c>
      <c r="J14" t="s">
        <v>406</v>
      </c>
      <c r="K14" t="s">
        <v>407</v>
      </c>
      <c r="L14">
        <v>1348</v>
      </c>
      <c r="N14">
        <v>1009</v>
      </c>
      <c r="O14" t="s">
        <v>206</v>
      </c>
      <c r="P14" t="s">
        <v>206</v>
      </c>
      <c r="Q14">
        <v>1000</v>
      </c>
      <c r="X14">
        <v>0.06</v>
      </c>
      <c r="Y14">
        <v>10045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38</v>
      </c>
      <c r="AG14">
        <v>0</v>
      </c>
      <c r="AH14">
        <v>2</v>
      </c>
      <c r="AI14">
        <v>145263020</v>
      </c>
      <c r="AJ14">
        <v>12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ROW(Source!A29)</f>
        <v>29</v>
      </c>
      <c r="B15">
        <v>145263037</v>
      </c>
      <c r="C15">
        <v>145263010</v>
      </c>
      <c r="D15">
        <v>140792339</v>
      </c>
      <c r="E15">
        <v>1</v>
      </c>
      <c r="F15">
        <v>1</v>
      </c>
      <c r="G15">
        <v>1</v>
      </c>
      <c r="H15">
        <v>3</v>
      </c>
      <c r="I15" t="s">
        <v>408</v>
      </c>
      <c r="J15" t="s">
        <v>409</v>
      </c>
      <c r="K15" t="s">
        <v>410</v>
      </c>
      <c r="L15">
        <v>1348</v>
      </c>
      <c r="N15">
        <v>1009</v>
      </c>
      <c r="O15" t="s">
        <v>206</v>
      </c>
      <c r="P15" t="s">
        <v>206</v>
      </c>
      <c r="Q15">
        <v>1000</v>
      </c>
      <c r="X15">
        <v>1.4800000000000001E-2</v>
      </c>
      <c r="Y15">
        <v>4455.2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38</v>
      </c>
      <c r="AG15">
        <v>0</v>
      </c>
      <c r="AH15">
        <v>2</v>
      </c>
      <c r="AI15">
        <v>145263021</v>
      </c>
      <c r="AJ15">
        <v>13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ROW(Source!A29)</f>
        <v>29</v>
      </c>
      <c r="B16">
        <v>145263038</v>
      </c>
      <c r="C16">
        <v>145263010</v>
      </c>
      <c r="D16">
        <v>140796538</v>
      </c>
      <c r="E16">
        <v>1</v>
      </c>
      <c r="F16">
        <v>1</v>
      </c>
      <c r="G16">
        <v>1</v>
      </c>
      <c r="H16">
        <v>3</v>
      </c>
      <c r="I16" t="s">
        <v>411</v>
      </c>
      <c r="J16" t="s">
        <v>412</v>
      </c>
      <c r="K16" t="s">
        <v>413</v>
      </c>
      <c r="L16">
        <v>1339</v>
      </c>
      <c r="N16">
        <v>1007</v>
      </c>
      <c r="O16" t="s">
        <v>404</v>
      </c>
      <c r="P16" t="s">
        <v>404</v>
      </c>
      <c r="Q16">
        <v>1</v>
      </c>
      <c r="X16">
        <v>0.29899999999999999</v>
      </c>
      <c r="Y16">
        <v>1010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38</v>
      </c>
      <c r="AG16">
        <v>0</v>
      </c>
      <c r="AH16">
        <v>2</v>
      </c>
      <c r="AI16">
        <v>145263022</v>
      </c>
      <c r="AJ16">
        <v>14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ROW(Source!A29)</f>
        <v>29</v>
      </c>
      <c r="B17">
        <v>145263039</v>
      </c>
      <c r="C17">
        <v>145263010</v>
      </c>
      <c r="D17">
        <v>140798964</v>
      </c>
      <c r="E17">
        <v>1</v>
      </c>
      <c r="F17">
        <v>1</v>
      </c>
      <c r="G17">
        <v>1</v>
      </c>
      <c r="H17">
        <v>3</v>
      </c>
      <c r="I17" t="s">
        <v>414</v>
      </c>
      <c r="J17" t="s">
        <v>415</v>
      </c>
      <c r="K17" t="s">
        <v>416</v>
      </c>
      <c r="L17">
        <v>1327</v>
      </c>
      <c r="N17">
        <v>1005</v>
      </c>
      <c r="O17" t="s">
        <v>158</v>
      </c>
      <c r="P17" t="s">
        <v>158</v>
      </c>
      <c r="Q17">
        <v>1</v>
      </c>
      <c r="X17">
        <v>56.2</v>
      </c>
      <c r="Y17">
        <v>6.78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38</v>
      </c>
      <c r="AG17">
        <v>0</v>
      </c>
      <c r="AH17">
        <v>2</v>
      </c>
      <c r="AI17">
        <v>145263023</v>
      </c>
      <c r="AJ17">
        <v>15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ROW(Source!A29)</f>
        <v>29</v>
      </c>
      <c r="B18">
        <v>145263040</v>
      </c>
      <c r="C18">
        <v>145263010</v>
      </c>
      <c r="D18">
        <v>140804289</v>
      </c>
      <c r="E18">
        <v>1</v>
      </c>
      <c r="F18">
        <v>1</v>
      </c>
      <c r="G18">
        <v>1</v>
      </c>
      <c r="H18">
        <v>3</v>
      </c>
      <c r="I18" t="s">
        <v>417</v>
      </c>
      <c r="J18" t="s">
        <v>418</v>
      </c>
      <c r="K18" t="s">
        <v>419</v>
      </c>
      <c r="L18">
        <v>1348</v>
      </c>
      <c r="N18">
        <v>1009</v>
      </c>
      <c r="O18" t="s">
        <v>206</v>
      </c>
      <c r="P18" t="s">
        <v>206</v>
      </c>
      <c r="Q18">
        <v>1000</v>
      </c>
      <c r="X18">
        <v>0.01</v>
      </c>
      <c r="Y18">
        <v>17796.96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38</v>
      </c>
      <c r="AG18">
        <v>0</v>
      </c>
      <c r="AH18">
        <v>2</v>
      </c>
      <c r="AI18">
        <v>145263024</v>
      </c>
      <c r="AJ18">
        <v>16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ROW(Source!A30)</f>
        <v>30</v>
      </c>
      <c r="B19">
        <v>145263058</v>
      </c>
      <c r="C19">
        <v>145263041</v>
      </c>
      <c r="D19">
        <v>140760001</v>
      </c>
      <c r="E19">
        <v>70</v>
      </c>
      <c r="F19">
        <v>1</v>
      </c>
      <c r="G19">
        <v>1</v>
      </c>
      <c r="H19">
        <v>1</v>
      </c>
      <c r="I19" t="s">
        <v>379</v>
      </c>
      <c r="J19" t="s">
        <v>3</v>
      </c>
      <c r="K19" t="s">
        <v>380</v>
      </c>
      <c r="L19">
        <v>1191</v>
      </c>
      <c r="N19">
        <v>1013</v>
      </c>
      <c r="O19" t="s">
        <v>374</v>
      </c>
      <c r="P19" t="s">
        <v>374</v>
      </c>
      <c r="Q19">
        <v>1</v>
      </c>
      <c r="X19">
        <v>276</v>
      </c>
      <c r="Y19">
        <v>0</v>
      </c>
      <c r="Z19">
        <v>0</v>
      </c>
      <c r="AA19">
        <v>0</v>
      </c>
      <c r="AB19">
        <v>9.07</v>
      </c>
      <c r="AC19">
        <v>0</v>
      </c>
      <c r="AD19">
        <v>1</v>
      </c>
      <c r="AE19">
        <v>1</v>
      </c>
      <c r="AF19" t="s">
        <v>39</v>
      </c>
      <c r="AG19">
        <v>220.8</v>
      </c>
      <c r="AH19">
        <v>2</v>
      </c>
      <c r="AI19">
        <v>145263042</v>
      </c>
      <c r="AJ19">
        <v>17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ROW(Source!A30)</f>
        <v>30</v>
      </c>
      <c r="B20">
        <v>145263059</v>
      </c>
      <c r="C20">
        <v>145263041</v>
      </c>
      <c r="D20">
        <v>140760225</v>
      </c>
      <c r="E20">
        <v>70</v>
      </c>
      <c r="F20">
        <v>1</v>
      </c>
      <c r="G20">
        <v>1</v>
      </c>
      <c r="H20">
        <v>1</v>
      </c>
      <c r="I20" t="s">
        <v>381</v>
      </c>
      <c r="J20" t="s">
        <v>3</v>
      </c>
      <c r="K20" t="s">
        <v>382</v>
      </c>
      <c r="L20">
        <v>1191</v>
      </c>
      <c r="N20">
        <v>1013</v>
      </c>
      <c r="O20" t="s">
        <v>374</v>
      </c>
      <c r="P20" t="s">
        <v>374</v>
      </c>
      <c r="Q20">
        <v>1</v>
      </c>
      <c r="X20">
        <v>96.34</v>
      </c>
      <c r="Y20">
        <v>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2</v>
      </c>
      <c r="AF20" t="s">
        <v>39</v>
      </c>
      <c r="AG20">
        <v>77.072000000000003</v>
      </c>
      <c r="AH20">
        <v>2</v>
      </c>
      <c r="AI20">
        <v>145263043</v>
      </c>
      <c r="AJ20">
        <v>18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ROW(Source!A30)</f>
        <v>30</v>
      </c>
      <c r="B21">
        <v>145263060</v>
      </c>
      <c r="C21">
        <v>145263041</v>
      </c>
      <c r="D21">
        <v>140922959</v>
      </c>
      <c r="E21">
        <v>1</v>
      </c>
      <c r="F21">
        <v>1</v>
      </c>
      <c r="G21">
        <v>1</v>
      </c>
      <c r="H21">
        <v>2</v>
      </c>
      <c r="I21" t="s">
        <v>383</v>
      </c>
      <c r="J21" t="s">
        <v>384</v>
      </c>
      <c r="K21" t="s">
        <v>385</v>
      </c>
      <c r="L21">
        <v>1367</v>
      </c>
      <c r="N21">
        <v>1011</v>
      </c>
      <c r="O21" t="s">
        <v>378</v>
      </c>
      <c r="P21" t="s">
        <v>378</v>
      </c>
      <c r="Q21">
        <v>1</v>
      </c>
      <c r="X21">
        <v>42.75</v>
      </c>
      <c r="Y21">
        <v>0</v>
      </c>
      <c r="Z21">
        <v>290.01</v>
      </c>
      <c r="AA21">
        <v>25.1</v>
      </c>
      <c r="AB21">
        <v>0</v>
      </c>
      <c r="AC21">
        <v>0</v>
      </c>
      <c r="AD21">
        <v>1</v>
      </c>
      <c r="AE21">
        <v>0</v>
      </c>
      <c r="AF21" t="s">
        <v>39</v>
      </c>
      <c r="AG21">
        <v>34.200000000000003</v>
      </c>
      <c r="AH21">
        <v>2</v>
      </c>
      <c r="AI21">
        <v>145263044</v>
      </c>
      <c r="AJ21">
        <v>19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ROW(Source!A30)</f>
        <v>30</v>
      </c>
      <c r="B22">
        <v>145263061</v>
      </c>
      <c r="C22">
        <v>145263041</v>
      </c>
      <c r="D22">
        <v>140923885</v>
      </c>
      <c r="E22">
        <v>1</v>
      </c>
      <c r="F22">
        <v>1</v>
      </c>
      <c r="G22">
        <v>1</v>
      </c>
      <c r="H22">
        <v>2</v>
      </c>
      <c r="I22" t="s">
        <v>386</v>
      </c>
      <c r="J22" t="s">
        <v>387</v>
      </c>
      <c r="K22" t="s">
        <v>388</v>
      </c>
      <c r="L22">
        <v>1367</v>
      </c>
      <c r="N22">
        <v>1011</v>
      </c>
      <c r="O22" t="s">
        <v>378</v>
      </c>
      <c r="P22" t="s">
        <v>378</v>
      </c>
      <c r="Q22">
        <v>1</v>
      </c>
      <c r="X22">
        <v>0.41</v>
      </c>
      <c r="Y22">
        <v>0</v>
      </c>
      <c r="Z22">
        <v>65.709999999999994</v>
      </c>
      <c r="AA22">
        <v>11.6</v>
      </c>
      <c r="AB22">
        <v>0</v>
      </c>
      <c r="AC22">
        <v>0</v>
      </c>
      <c r="AD22">
        <v>1</v>
      </c>
      <c r="AE22">
        <v>0</v>
      </c>
      <c r="AF22" t="s">
        <v>39</v>
      </c>
      <c r="AG22">
        <v>0.32800000000000001</v>
      </c>
      <c r="AH22">
        <v>2</v>
      </c>
      <c r="AI22">
        <v>145263045</v>
      </c>
      <c r="AJ22">
        <v>20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ROW(Source!A30)</f>
        <v>30</v>
      </c>
      <c r="B23">
        <v>145263062</v>
      </c>
      <c r="C23">
        <v>145263041</v>
      </c>
      <c r="D23">
        <v>140923902</v>
      </c>
      <c r="E23">
        <v>1</v>
      </c>
      <c r="F23">
        <v>1</v>
      </c>
      <c r="G23">
        <v>1</v>
      </c>
      <c r="H23">
        <v>2</v>
      </c>
      <c r="I23" t="s">
        <v>420</v>
      </c>
      <c r="J23" t="s">
        <v>421</v>
      </c>
      <c r="K23" t="s">
        <v>422</v>
      </c>
      <c r="L23">
        <v>1367</v>
      </c>
      <c r="N23">
        <v>1011</v>
      </c>
      <c r="O23" t="s">
        <v>378</v>
      </c>
      <c r="P23" t="s">
        <v>378</v>
      </c>
      <c r="Q23">
        <v>1</v>
      </c>
      <c r="X23">
        <v>10.43</v>
      </c>
      <c r="Y23">
        <v>0</v>
      </c>
      <c r="Z23">
        <v>94.38</v>
      </c>
      <c r="AA23">
        <v>13.5</v>
      </c>
      <c r="AB23">
        <v>0</v>
      </c>
      <c r="AC23">
        <v>0</v>
      </c>
      <c r="AD23">
        <v>1</v>
      </c>
      <c r="AE23">
        <v>0</v>
      </c>
      <c r="AF23" t="s">
        <v>39</v>
      </c>
      <c r="AG23">
        <v>8.3439999999999994</v>
      </c>
      <c r="AH23">
        <v>2</v>
      </c>
      <c r="AI23">
        <v>145263046</v>
      </c>
      <c r="AJ23">
        <v>21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ROW(Source!A30)</f>
        <v>30</v>
      </c>
      <c r="B24">
        <v>145263063</v>
      </c>
      <c r="C24">
        <v>145263041</v>
      </c>
      <c r="D24">
        <v>140923908</v>
      </c>
      <c r="E24">
        <v>1</v>
      </c>
      <c r="F24">
        <v>1</v>
      </c>
      <c r="G24">
        <v>1</v>
      </c>
      <c r="H24">
        <v>2</v>
      </c>
      <c r="I24" t="s">
        <v>423</v>
      </c>
      <c r="J24" t="s">
        <v>424</v>
      </c>
      <c r="K24" t="s">
        <v>425</v>
      </c>
      <c r="L24">
        <v>1367</v>
      </c>
      <c r="N24">
        <v>1011</v>
      </c>
      <c r="O24" t="s">
        <v>378</v>
      </c>
      <c r="P24" t="s">
        <v>378</v>
      </c>
      <c r="Q24">
        <v>1</v>
      </c>
      <c r="X24">
        <v>10.43</v>
      </c>
      <c r="Y24">
        <v>0</v>
      </c>
      <c r="Z24">
        <v>28.65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39</v>
      </c>
      <c r="AG24">
        <v>8.3439999999999994</v>
      </c>
      <c r="AH24">
        <v>2</v>
      </c>
      <c r="AI24">
        <v>145263047</v>
      </c>
      <c r="AJ24">
        <v>22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ROW(Source!A30)</f>
        <v>30</v>
      </c>
      <c r="B25">
        <v>145263064</v>
      </c>
      <c r="C25">
        <v>145263041</v>
      </c>
      <c r="D25">
        <v>140924098</v>
      </c>
      <c r="E25">
        <v>1</v>
      </c>
      <c r="F25">
        <v>1</v>
      </c>
      <c r="G25">
        <v>1</v>
      </c>
      <c r="H25">
        <v>2</v>
      </c>
      <c r="I25" t="s">
        <v>389</v>
      </c>
      <c r="J25" t="s">
        <v>390</v>
      </c>
      <c r="K25" t="s">
        <v>391</v>
      </c>
      <c r="L25">
        <v>1367</v>
      </c>
      <c r="N25">
        <v>1011</v>
      </c>
      <c r="O25" t="s">
        <v>378</v>
      </c>
      <c r="P25" t="s">
        <v>378</v>
      </c>
      <c r="Q25">
        <v>1</v>
      </c>
      <c r="X25">
        <v>10.4</v>
      </c>
      <c r="Y25">
        <v>0</v>
      </c>
      <c r="Z25">
        <v>8.1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39</v>
      </c>
      <c r="AG25">
        <v>8.32</v>
      </c>
      <c r="AH25">
        <v>2</v>
      </c>
      <c r="AI25">
        <v>145263048</v>
      </c>
      <c r="AJ25">
        <v>23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ROW(Source!A30)</f>
        <v>30</v>
      </c>
      <c r="B26">
        <v>145263065</v>
      </c>
      <c r="C26">
        <v>145263041</v>
      </c>
      <c r="D26">
        <v>140773170</v>
      </c>
      <c r="E26">
        <v>1</v>
      </c>
      <c r="F26">
        <v>1</v>
      </c>
      <c r="G26">
        <v>1</v>
      </c>
      <c r="H26">
        <v>3</v>
      </c>
      <c r="I26" t="s">
        <v>392</v>
      </c>
      <c r="J26" t="s">
        <v>393</v>
      </c>
      <c r="K26" t="s">
        <v>394</v>
      </c>
      <c r="L26">
        <v>1327</v>
      </c>
      <c r="N26">
        <v>1005</v>
      </c>
      <c r="O26" t="s">
        <v>158</v>
      </c>
      <c r="P26" t="s">
        <v>158</v>
      </c>
      <c r="Q26">
        <v>1</v>
      </c>
      <c r="X26">
        <v>60</v>
      </c>
      <c r="Y26">
        <v>3.62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38</v>
      </c>
      <c r="AG26">
        <v>0</v>
      </c>
      <c r="AH26">
        <v>2</v>
      </c>
      <c r="AI26">
        <v>145263049</v>
      </c>
      <c r="AJ26">
        <v>24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ROW(Source!A30)</f>
        <v>30</v>
      </c>
      <c r="B27">
        <v>145263066</v>
      </c>
      <c r="C27">
        <v>145263041</v>
      </c>
      <c r="D27">
        <v>140773798</v>
      </c>
      <c r="E27">
        <v>1</v>
      </c>
      <c r="F27">
        <v>1</v>
      </c>
      <c r="G27">
        <v>1</v>
      </c>
      <c r="H27">
        <v>3</v>
      </c>
      <c r="I27" t="s">
        <v>395</v>
      </c>
      <c r="J27" t="s">
        <v>396</v>
      </c>
      <c r="K27" t="s">
        <v>397</v>
      </c>
      <c r="L27">
        <v>1348</v>
      </c>
      <c r="N27">
        <v>1009</v>
      </c>
      <c r="O27" t="s">
        <v>206</v>
      </c>
      <c r="P27" t="s">
        <v>206</v>
      </c>
      <c r="Q27">
        <v>1000</v>
      </c>
      <c r="X27">
        <v>0.02</v>
      </c>
      <c r="Y27">
        <v>9424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38</v>
      </c>
      <c r="AG27">
        <v>0</v>
      </c>
      <c r="AH27">
        <v>2</v>
      </c>
      <c r="AI27">
        <v>145263050</v>
      </c>
      <c r="AJ27">
        <v>25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ROW(Source!A30)</f>
        <v>30</v>
      </c>
      <c r="B28">
        <v>145263067</v>
      </c>
      <c r="C28">
        <v>145263041</v>
      </c>
      <c r="D28">
        <v>140775118</v>
      </c>
      <c r="E28">
        <v>1</v>
      </c>
      <c r="F28">
        <v>1</v>
      </c>
      <c r="G28">
        <v>1</v>
      </c>
      <c r="H28">
        <v>3</v>
      </c>
      <c r="I28" t="s">
        <v>398</v>
      </c>
      <c r="J28" t="s">
        <v>399</v>
      </c>
      <c r="K28" t="s">
        <v>400</v>
      </c>
      <c r="L28">
        <v>1348</v>
      </c>
      <c r="N28">
        <v>1009</v>
      </c>
      <c r="O28" t="s">
        <v>206</v>
      </c>
      <c r="P28" t="s">
        <v>206</v>
      </c>
      <c r="Q28">
        <v>1000</v>
      </c>
      <c r="X28">
        <v>2.9999999999999997E-4</v>
      </c>
      <c r="Y28">
        <v>11978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38</v>
      </c>
      <c r="AG28">
        <v>0</v>
      </c>
      <c r="AH28">
        <v>2</v>
      </c>
      <c r="AI28">
        <v>145263051</v>
      </c>
      <c r="AJ28">
        <v>26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ROW(Source!A30)</f>
        <v>30</v>
      </c>
      <c r="B29">
        <v>145263068</v>
      </c>
      <c r="C29">
        <v>145263041</v>
      </c>
      <c r="D29">
        <v>140761051</v>
      </c>
      <c r="E29">
        <v>70</v>
      </c>
      <c r="F29">
        <v>1</v>
      </c>
      <c r="G29">
        <v>1</v>
      </c>
      <c r="H29">
        <v>3</v>
      </c>
      <c r="I29" t="s">
        <v>571</v>
      </c>
      <c r="J29" t="s">
        <v>3</v>
      </c>
      <c r="K29" t="s">
        <v>572</v>
      </c>
      <c r="L29">
        <v>1339</v>
      </c>
      <c r="N29">
        <v>1007</v>
      </c>
      <c r="O29" t="s">
        <v>404</v>
      </c>
      <c r="P29" t="s">
        <v>404</v>
      </c>
      <c r="Q29">
        <v>1</v>
      </c>
      <c r="X29">
        <v>8.5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 t="s">
        <v>38</v>
      </c>
      <c r="AG29">
        <v>0</v>
      </c>
      <c r="AH29">
        <v>3</v>
      </c>
      <c r="AI29">
        <v>-1</v>
      </c>
      <c r="AJ29" t="s">
        <v>3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ROW(Source!A30)</f>
        <v>30</v>
      </c>
      <c r="B30">
        <v>145263069</v>
      </c>
      <c r="C30">
        <v>145263041</v>
      </c>
      <c r="D30">
        <v>140778126</v>
      </c>
      <c r="E30">
        <v>1</v>
      </c>
      <c r="F30">
        <v>1</v>
      </c>
      <c r="G30">
        <v>1</v>
      </c>
      <c r="H30">
        <v>3</v>
      </c>
      <c r="I30" t="s">
        <v>401</v>
      </c>
      <c r="J30" t="s">
        <v>402</v>
      </c>
      <c r="K30" t="s">
        <v>403</v>
      </c>
      <c r="L30">
        <v>1339</v>
      </c>
      <c r="N30">
        <v>1007</v>
      </c>
      <c r="O30" t="s">
        <v>404</v>
      </c>
      <c r="P30" t="s">
        <v>404</v>
      </c>
      <c r="Q30">
        <v>1</v>
      </c>
      <c r="X30">
        <v>0.2</v>
      </c>
      <c r="Y30">
        <v>517.91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38</v>
      </c>
      <c r="AG30">
        <v>0</v>
      </c>
      <c r="AH30">
        <v>2</v>
      </c>
      <c r="AI30">
        <v>145263052</v>
      </c>
      <c r="AJ30">
        <v>27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ROW(Source!A30)</f>
        <v>30</v>
      </c>
      <c r="B31">
        <v>145263070</v>
      </c>
      <c r="C31">
        <v>145263041</v>
      </c>
      <c r="D31">
        <v>140761547</v>
      </c>
      <c r="E31">
        <v>70</v>
      </c>
      <c r="F31">
        <v>1</v>
      </c>
      <c r="G31">
        <v>1</v>
      </c>
      <c r="H31">
        <v>3</v>
      </c>
      <c r="I31" t="s">
        <v>573</v>
      </c>
      <c r="J31" t="s">
        <v>3</v>
      </c>
      <c r="K31" t="s">
        <v>574</v>
      </c>
      <c r="L31">
        <v>1371</v>
      </c>
      <c r="N31">
        <v>1013</v>
      </c>
      <c r="O31" t="s">
        <v>162</v>
      </c>
      <c r="P31" t="s">
        <v>162</v>
      </c>
      <c r="Q31">
        <v>1</v>
      </c>
      <c r="X31">
        <v>100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 t="s">
        <v>38</v>
      </c>
      <c r="AG31">
        <v>0</v>
      </c>
      <c r="AH31">
        <v>3</v>
      </c>
      <c r="AI31">
        <v>-1</v>
      </c>
      <c r="AJ31" t="s">
        <v>3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ROW(Source!A30)</f>
        <v>30</v>
      </c>
      <c r="B32">
        <v>145263071</v>
      </c>
      <c r="C32">
        <v>145263041</v>
      </c>
      <c r="D32">
        <v>140789846</v>
      </c>
      <c r="E32">
        <v>1</v>
      </c>
      <c r="F32">
        <v>1</v>
      </c>
      <c r="G32">
        <v>1</v>
      </c>
      <c r="H32">
        <v>3</v>
      </c>
      <c r="I32" t="s">
        <v>405</v>
      </c>
      <c r="J32" t="s">
        <v>406</v>
      </c>
      <c r="K32" t="s">
        <v>407</v>
      </c>
      <c r="L32">
        <v>1348</v>
      </c>
      <c r="N32">
        <v>1009</v>
      </c>
      <c r="O32" t="s">
        <v>206</v>
      </c>
      <c r="P32" t="s">
        <v>206</v>
      </c>
      <c r="Q32">
        <v>1000</v>
      </c>
      <c r="X32">
        <v>0.12</v>
      </c>
      <c r="Y32">
        <v>10045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38</v>
      </c>
      <c r="AG32">
        <v>0</v>
      </c>
      <c r="AH32">
        <v>2</v>
      </c>
      <c r="AI32">
        <v>145263053</v>
      </c>
      <c r="AJ32">
        <v>28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ROW(Source!A30)</f>
        <v>30</v>
      </c>
      <c r="B33">
        <v>145263072</v>
      </c>
      <c r="C33">
        <v>145263041</v>
      </c>
      <c r="D33">
        <v>140792339</v>
      </c>
      <c r="E33">
        <v>1</v>
      </c>
      <c r="F33">
        <v>1</v>
      </c>
      <c r="G33">
        <v>1</v>
      </c>
      <c r="H33">
        <v>3</v>
      </c>
      <c r="I33" t="s">
        <v>408</v>
      </c>
      <c r="J33" t="s">
        <v>409</v>
      </c>
      <c r="K33" t="s">
        <v>410</v>
      </c>
      <c r="L33">
        <v>1348</v>
      </c>
      <c r="N33">
        <v>1009</v>
      </c>
      <c r="O33" t="s">
        <v>206</v>
      </c>
      <c r="P33" t="s">
        <v>206</v>
      </c>
      <c r="Q33">
        <v>1000</v>
      </c>
      <c r="X33">
        <v>2.5399999999999999E-2</v>
      </c>
      <c r="Y33">
        <v>4455.2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38</v>
      </c>
      <c r="AG33">
        <v>0</v>
      </c>
      <c r="AH33">
        <v>2</v>
      </c>
      <c r="AI33">
        <v>145263054</v>
      </c>
      <c r="AJ33">
        <v>29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ROW(Source!A30)</f>
        <v>30</v>
      </c>
      <c r="B34">
        <v>145263073</v>
      </c>
      <c r="C34">
        <v>145263041</v>
      </c>
      <c r="D34">
        <v>140796538</v>
      </c>
      <c r="E34">
        <v>1</v>
      </c>
      <c r="F34">
        <v>1</v>
      </c>
      <c r="G34">
        <v>1</v>
      </c>
      <c r="H34">
        <v>3</v>
      </c>
      <c r="I34" t="s">
        <v>411</v>
      </c>
      <c r="J34" t="s">
        <v>412</v>
      </c>
      <c r="K34" t="s">
        <v>413</v>
      </c>
      <c r="L34">
        <v>1339</v>
      </c>
      <c r="N34">
        <v>1007</v>
      </c>
      <c r="O34" t="s">
        <v>404</v>
      </c>
      <c r="P34" t="s">
        <v>404</v>
      </c>
      <c r="Q34">
        <v>1</v>
      </c>
      <c r="X34">
        <v>0.432</v>
      </c>
      <c r="Y34">
        <v>1010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38</v>
      </c>
      <c r="AG34">
        <v>0</v>
      </c>
      <c r="AH34">
        <v>2</v>
      </c>
      <c r="AI34">
        <v>145263055</v>
      </c>
      <c r="AJ34">
        <v>30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ROW(Source!A30)</f>
        <v>30</v>
      </c>
      <c r="B35">
        <v>145263074</v>
      </c>
      <c r="C35">
        <v>145263041</v>
      </c>
      <c r="D35">
        <v>140798964</v>
      </c>
      <c r="E35">
        <v>1</v>
      </c>
      <c r="F35">
        <v>1</v>
      </c>
      <c r="G35">
        <v>1</v>
      </c>
      <c r="H35">
        <v>3</v>
      </c>
      <c r="I35" t="s">
        <v>414</v>
      </c>
      <c r="J35" t="s">
        <v>415</v>
      </c>
      <c r="K35" t="s">
        <v>416</v>
      </c>
      <c r="L35">
        <v>1327</v>
      </c>
      <c r="N35">
        <v>1005</v>
      </c>
      <c r="O35" t="s">
        <v>158</v>
      </c>
      <c r="P35" t="s">
        <v>158</v>
      </c>
      <c r="Q35">
        <v>1</v>
      </c>
      <c r="X35">
        <v>56.2</v>
      </c>
      <c r="Y35">
        <v>6.78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38</v>
      </c>
      <c r="AG35">
        <v>0</v>
      </c>
      <c r="AH35">
        <v>2</v>
      </c>
      <c r="AI35">
        <v>145263056</v>
      </c>
      <c r="AJ35">
        <v>31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ROW(Source!A30)</f>
        <v>30</v>
      </c>
      <c r="B36">
        <v>145263075</v>
      </c>
      <c r="C36">
        <v>145263041</v>
      </c>
      <c r="D36">
        <v>140804289</v>
      </c>
      <c r="E36">
        <v>1</v>
      </c>
      <c r="F36">
        <v>1</v>
      </c>
      <c r="G36">
        <v>1</v>
      </c>
      <c r="H36">
        <v>3</v>
      </c>
      <c r="I36" t="s">
        <v>417</v>
      </c>
      <c r="J36" t="s">
        <v>418</v>
      </c>
      <c r="K36" t="s">
        <v>419</v>
      </c>
      <c r="L36">
        <v>1348</v>
      </c>
      <c r="N36">
        <v>1009</v>
      </c>
      <c r="O36" t="s">
        <v>206</v>
      </c>
      <c r="P36" t="s">
        <v>206</v>
      </c>
      <c r="Q36">
        <v>1000</v>
      </c>
      <c r="X36">
        <v>0.01</v>
      </c>
      <c r="Y36">
        <v>17796.96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38</v>
      </c>
      <c r="AG36">
        <v>0</v>
      </c>
      <c r="AH36">
        <v>2</v>
      </c>
      <c r="AI36">
        <v>145263057</v>
      </c>
      <c r="AJ36">
        <v>32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ROW(Source!A31)</f>
        <v>31</v>
      </c>
      <c r="B37">
        <v>145263084</v>
      </c>
      <c r="C37">
        <v>145263076</v>
      </c>
      <c r="D37">
        <v>140760027</v>
      </c>
      <c r="E37">
        <v>70</v>
      </c>
      <c r="F37">
        <v>1</v>
      </c>
      <c r="G37">
        <v>1</v>
      </c>
      <c r="H37">
        <v>1</v>
      </c>
      <c r="I37" t="s">
        <v>426</v>
      </c>
      <c r="J37" t="s">
        <v>3</v>
      </c>
      <c r="K37" t="s">
        <v>427</v>
      </c>
      <c r="L37">
        <v>1191</v>
      </c>
      <c r="N37">
        <v>1013</v>
      </c>
      <c r="O37" t="s">
        <v>374</v>
      </c>
      <c r="P37" t="s">
        <v>374</v>
      </c>
      <c r="Q37">
        <v>1</v>
      </c>
      <c r="X37">
        <v>177</v>
      </c>
      <c r="Y37">
        <v>0</v>
      </c>
      <c r="Z37">
        <v>0</v>
      </c>
      <c r="AA37">
        <v>0</v>
      </c>
      <c r="AB37">
        <v>9.51</v>
      </c>
      <c r="AC37">
        <v>0</v>
      </c>
      <c r="AD37">
        <v>1</v>
      </c>
      <c r="AE37">
        <v>1</v>
      </c>
      <c r="AF37" t="s">
        <v>39</v>
      </c>
      <c r="AG37">
        <v>141.6</v>
      </c>
      <c r="AH37">
        <v>2</v>
      </c>
      <c r="AI37">
        <v>145263077</v>
      </c>
      <c r="AJ37">
        <v>33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ROW(Source!A31)</f>
        <v>31</v>
      </c>
      <c r="B38">
        <v>145263085</v>
      </c>
      <c r="C38">
        <v>145263076</v>
      </c>
      <c r="D38">
        <v>140760225</v>
      </c>
      <c r="E38">
        <v>70</v>
      </c>
      <c r="F38">
        <v>1</v>
      </c>
      <c r="G38">
        <v>1</v>
      </c>
      <c r="H38">
        <v>1</v>
      </c>
      <c r="I38" t="s">
        <v>381</v>
      </c>
      <c r="J38" t="s">
        <v>3</v>
      </c>
      <c r="K38" t="s">
        <v>382</v>
      </c>
      <c r="L38">
        <v>1191</v>
      </c>
      <c r="N38">
        <v>1013</v>
      </c>
      <c r="O38" t="s">
        <v>374</v>
      </c>
      <c r="P38" t="s">
        <v>374</v>
      </c>
      <c r="Q38">
        <v>1</v>
      </c>
      <c r="X38">
        <v>43.87</v>
      </c>
      <c r="Y38">
        <v>0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2</v>
      </c>
      <c r="AF38" t="s">
        <v>39</v>
      </c>
      <c r="AG38">
        <v>35.095999999999997</v>
      </c>
      <c r="AH38">
        <v>2</v>
      </c>
      <c r="AI38">
        <v>145263078</v>
      </c>
      <c r="AJ38">
        <v>34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ROW(Source!A31)</f>
        <v>31</v>
      </c>
      <c r="B39">
        <v>145263086</v>
      </c>
      <c r="C39">
        <v>145263076</v>
      </c>
      <c r="D39">
        <v>140922893</v>
      </c>
      <c r="E39">
        <v>1</v>
      </c>
      <c r="F39">
        <v>1</v>
      </c>
      <c r="G39">
        <v>1</v>
      </c>
      <c r="H39">
        <v>2</v>
      </c>
      <c r="I39" t="s">
        <v>428</v>
      </c>
      <c r="J39" t="s">
        <v>429</v>
      </c>
      <c r="K39" t="s">
        <v>430</v>
      </c>
      <c r="L39">
        <v>1367</v>
      </c>
      <c r="N39">
        <v>1011</v>
      </c>
      <c r="O39" t="s">
        <v>378</v>
      </c>
      <c r="P39" t="s">
        <v>378</v>
      </c>
      <c r="Q39">
        <v>1</v>
      </c>
      <c r="X39">
        <v>42.77</v>
      </c>
      <c r="Y39">
        <v>0</v>
      </c>
      <c r="Z39">
        <v>86.4</v>
      </c>
      <c r="AA39">
        <v>13.5</v>
      </c>
      <c r="AB39">
        <v>0</v>
      </c>
      <c r="AC39">
        <v>0</v>
      </c>
      <c r="AD39">
        <v>1</v>
      </c>
      <c r="AE39">
        <v>0</v>
      </c>
      <c r="AF39" t="s">
        <v>39</v>
      </c>
      <c r="AG39">
        <v>34.216000000000001</v>
      </c>
      <c r="AH39">
        <v>2</v>
      </c>
      <c r="AI39">
        <v>145263079</v>
      </c>
      <c r="AJ39">
        <v>35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ROW(Source!A31)</f>
        <v>31</v>
      </c>
      <c r="B40">
        <v>145263087</v>
      </c>
      <c r="C40">
        <v>145263076</v>
      </c>
      <c r="D40">
        <v>140923885</v>
      </c>
      <c r="E40">
        <v>1</v>
      </c>
      <c r="F40">
        <v>1</v>
      </c>
      <c r="G40">
        <v>1</v>
      </c>
      <c r="H40">
        <v>2</v>
      </c>
      <c r="I40" t="s">
        <v>386</v>
      </c>
      <c r="J40" t="s">
        <v>387</v>
      </c>
      <c r="K40" t="s">
        <v>388</v>
      </c>
      <c r="L40">
        <v>1367</v>
      </c>
      <c r="N40">
        <v>1011</v>
      </c>
      <c r="O40" t="s">
        <v>378</v>
      </c>
      <c r="P40" t="s">
        <v>378</v>
      </c>
      <c r="Q40">
        <v>1</v>
      </c>
      <c r="X40">
        <v>1.1000000000000001</v>
      </c>
      <c r="Y40">
        <v>0</v>
      </c>
      <c r="Z40">
        <v>65.709999999999994</v>
      </c>
      <c r="AA40">
        <v>11.6</v>
      </c>
      <c r="AB40">
        <v>0</v>
      </c>
      <c r="AC40">
        <v>0</v>
      </c>
      <c r="AD40">
        <v>1</v>
      </c>
      <c r="AE40">
        <v>0</v>
      </c>
      <c r="AF40" t="s">
        <v>39</v>
      </c>
      <c r="AG40">
        <v>0.88000000000000012</v>
      </c>
      <c r="AH40">
        <v>2</v>
      </c>
      <c r="AI40">
        <v>145263080</v>
      </c>
      <c r="AJ40">
        <v>36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ROW(Source!A31)</f>
        <v>31</v>
      </c>
      <c r="B41">
        <v>145263088</v>
      </c>
      <c r="C41">
        <v>145263076</v>
      </c>
      <c r="D41">
        <v>140924098</v>
      </c>
      <c r="E41">
        <v>1</v>
      </c>
      <c r="F41">
        <v>1</v>
      </c>
      <c r="G41">
        <v>1</v>
      </c>
      <c r="H41">
        <v>2</v>
      </c>
      <c r="I41" t="s">
        <v>389</v>
      </c>
      <c r="J41" t="s">
        <v>390</v>
      </c>
      <c r="K41" t="s">
        <v>391</v>
      </c>
      <c r="L41">
        <v>1367</v>
      </c>
      <c r="N41">
        <v>1011</v>
      </c>
      <c r="O41" t="s">
        <v>378</v>
      </c>
      <c r="P41" t="s">
        <v>378</v>
      </c>
      <c r="Q41">
        <v>1</v>
      </c>
      <c r="X41">
        <v>17.5</v>
      </c>
      <c r="Y41">
        <v>0</v>
      </c>
      <c r="Z41">
        <v>8.1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39</v>
      </c>
      <c r="AG41">
        <v>14</v>
      </c>
      <c r="AH41">
        <v>2</v>
      </c>
      <c r="AI41">
        <v>145263081</v>
      </c>
      <c r="AJ41">
        <v>37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ROW(Source!A31)</f>
        <v>31</v>
      </c>
      <c r="B42">
        <v>145263089</v>
      </c>
      <c r="C42">
        <v>145263076</v>
      </c>
      <c r="D42">
        <v>140773798</v>
      </c>
      <c r="E42">
        <v>1</v>
      </c>
      <c r="F42">
        <v>1</v>
      </c>
      <c r="G42">
        <v>1</v>
      </c>
      <c r="H42">
        <v>3</v>
      </c>
      <c r="I42" t="s">
        <v>395</v>
      </c>
      <c r="J42" t="s">
        <v>396</v>
      </c>
      <c r="K42" t="s">
        <v>397</v>
      </c>
      <c r="L42">
        <v>1348</v>
      </c>
      <c r="N42">
        <v>1009</v>
      </c>
      <c r="O42" t="s">
        <v>206</v>
      </c>
      <c r="P42" t="s">
        <v>206</v>
      </c>
      <c r="Q42">
        <v>1000</v>
      </c>
      <c r="X42">
        <v>0.03</v>
      </c>
      <c r="Y42">
        <v>9424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38</v>
      </c>
      <c r="AG42">
        <v>0</v>
      </c>
      <c r="AH42">
        <v>2</v>
      </c>
      <c r="AI42">
        <v>145263082</v>
      </c>
      <c r="AJ42">
        <v>38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ROW(Source!A31)</f>
        <v>31</v>
      </c>
      <c r="B43">
        <v>145263090</v>
      </c>
      <c r="C43">
        <v>145263076</v>
      </c>
      <c r="D43">
        <v>140761477</v>
      </c>
      <c r="E43">
        <v>70</v>
      </c>
      <c r="F43">
        <v>1</v>
      </c>
      <c r="G43">
        <v>1</v>
      </c>
      <c r="H43">
        <v>3</v>
      </c>
      <c r="I43" t="s">
        <v>575</v>
      </c>
      <c r="J43" t="s">
        <v>3</v>
      </c>
      <c r="K43" t="s">
        <v>574</v>
      </c>
      <c r="L43">
        <v>1371</v>
      </c>
      <c r="N43">
        <v>1013</v>
      </c>
      <c r="O43" t="s">
        <v>162</v>
      </c>
      <c r="P43" t="s">
        <v>162</v>
      </c>
      <c r="Q43">
        <v>1</v>
      </c>
      <c r="X43">
        <v>100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 t="s">
        <v>38</v>
      </c>
      <c r="AG43">
        <v>0</v>
      </c>
      <c r="AH43">
        <v>3</v>
      </c>
      <c r="AI43">
        <v>-1</v>
      </c>
      <c r="AJ43" t="s">
        <v>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ROW(Source!A31)</f>
        <v>31</v>
      </c>
      <c r="B44">
        <v>145263091</v>
      </c>
      <c r="C44">
        <v>145263076</v>
      </c>
      <c r="D44">
        <v>140789846</v>
      </c>
      <c r="E44">
        <v>1</v>
      </c>
      <c r="F44">
        <v>1</v>
      </c>
      <c r="G44">
        <v>1</v>
      </c>
      <c r="H44">
        <v>3</v>
      </c>
      <c r="I44" t="s">
        <v>405</v>
      </c>
      <c r="J44" t="s">
        <v>406</v>
      </c>
      <c r="K44" t="s">
        <v>407</v>
      </c>
      <c r="L44">
        <v>1348</v>
      </c>
      <c r="N44">
        <v>1009</v>
      </c>
      <c r="O44" t="s">
        <v>206</v>
      </c>
      <c r="P44" t="s">
        <v>206</v>
      </c>
      <c r="Q44">
        <v>1000</v>
      </c>
      <c r="X44">
        <v>0.16</v>
      </c>
      <c r="Y44">
        <v>10045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38</v>
      </c>
      <c r="AG44">
        <v>0</v>
      </c>
      <c r="AH44">
        <v>2</v>
      </c>
      <c r="AI44">
        <v>145263083</v>
      </c>
      <c r="AJ44">
        <v>39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ROW(Source!A73)</f>
        <v>73</v>
      </c>
      <c r="B45">
        <v>145263120</v>
      </c>
      <c r="C45">
        <v>145263098</v>
      </c>
      <c r="D45">
        <v>140759985</v>
      </c>
      <c r="E45">
        <v>70</v>
      </c>
      <c r="F45">
        <v>1</v>
      </c>
      <c r="G45">
        <v>1</v>
      </c>
      <c r="H45">
        <v>1</v>
      </c>
      <c r="I45" t="s">
        <v>431</v>
      </c>
      <c r="J45" t="s">
        <v>3</v>
      </c>
      <c r="K45" t="s">
        <v>432</v>
      </c>
      <c r="L45">
        <v>1191</v>
      </c>
      <c r="N45">
        <v>1013</v>
      </c>
      <c r="O45" t="s">
        <v>374</v>
      </c>
      <c r="P45" t="s">
        <v>374</v>
      </c>
      <c r="Q45">
        <v>1</v>
      </c>
      <c r="X45">
        <v>34.5</v>
      </c>
      <c r="Y45">
        <v>0</v>
      </c>
      <c r="Z45">
        <v>0</v>
      </c>
      <c r="AA45">
        <v>0</v>
      </c>
      <c r="AB45">
        <v>8.74</v>
      </c>
      <c r="AC45">
        <v>0</v>
      </c>
      <c r="AD45">
        <v>1</v>
      </c>
      <c r="AE45">
        <v>1</v>
      </c>
      <c r="AF45" t="s">
        <v>149</v>
      </c>
      <c r="AG45">
        <v>39.674999999999997</v>
      </c>
      <c r="AH45">
        <v>2</v>
      </c>
      <c r="AI45">
        <v>145263099</v>
      </c>
      <c r="AJ45">
        <v>40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ROW(Source!A73)</f>
        <v>73</v>
      </c>
      <c r="B46">
        <v>145263121</v>
      </c>
      <c r="C46">
        <v>145263098</v>
      </c>
      <c r="D46">
        <v>140760225</v>
      </c>
      <c r="E46">
        <v>70</v>
      </c>
      <c r="F46">
        <v>1</v>
      </c>
      <c r="G46">
        <v>1</v>
      </c>
      <c r="H46">
        <v>1</v>
      </c>
      <c r="I46" t="s">
        <v>381</v>
      </c>
      <c r="J46" t="s">
        <v>3</v>
      </c>
      <c r="K46" t="s">
        <v>382</v>
      </c>
      <c r="L46">
        <v>1191</v>
      </c>
      <c r="N46">
        <v>1013</v>
      </c>
      <c r="O46" t="s">
        <v>374</v>
      </c>
      <c r="P46" t="s">
        <v>374</v>
      </c>
      <c r="Q46">
        <v>1</v>
      </c>
      <c r="X46">
        <v>3.72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2</v>
      </c>
      <c r="AF46" t="s">
        <v>148</v>
      </c>
      <c r="AG46">
        <v>4.6500000000000004</v>
      </c>
      <c r="AH46">
        <v>2</v>
      </c>
      <c r="AI46">
        <v>145263100</v>
      </c>
      <c r="AJ46">
        <v>41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ROW(Source!A73)</f>
        <v>73</v>
      </c>
      <c r="B47">
        <v>145263122</v>
      </c>
      <c r="C47">
        <v>145263098</v>
      </c>
      <c r="D47">
        <v>140922906</v>
      </c>
      <c r="E47">
        <v>1</v>
      </c>
      <c r="F47">
        <v>1</v>
      </c>
      <c r="G47">
        <v>1</v>
      </c>
      <c r="H47">
        <v>2</v>
      </c>
      <c r="I47" t="s">
        <v>433</v>
      </c>
      <c r="J47" t="s">
        <v>434</v>
      </c>
      <c r="K47" t="s">
        <v>435</v>
      </c>
      <c r="L47">
        <v>1367</v>
      </c>
      <c r="N47">
        <v>1011</v>
      </c>
      <c r="O47" t="s">
        <v>378</v>
      </c>
      <c r="P47" t="s">
        <v>378</v>
      </c>
      <c r="Q47">
        <v>1</v>
      </c>
      <c r="X47">
        <v>0.04</v>
      </c>
      <c r="Y47">
        <v>0</v>
      </c>
      <c r="Z47">
        <v>120.24</v>
      </c>
      <c r="AA47">
        <v>15.42</v>
      </c>
      <c r="AB47">
        <v>0</v>
      </c>
      <c r="AC47">
        <v>0</v>
      </c>
      <c r="AD47">
        <v>1</v>
      </c>
      <c r="AE47">
        <v>0</v>
      </c>
      <c r="AF47" t="s">
        <v>148</v>
      </c>
      <c r="AG47">
        <v>0.05</v>
      </c>
      <c r="AH47">
        <v>2</v>
      </c>
      <c r="AI47">
        <v>145263101</v>
      </c>
      <c r="AJ47">
        <v>42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ROW(Source!A73)</f>
        <v>73</v>
      </c>
      <c r="B48">
        <v>145263123</v>
      </c>
      <c r="C48">
        <v>145263098</v>
      </c>
      <c r="D48">
        <v>140922951</v>
      </c>
      <c r="E48">
        <v>1</v>
      </c>
      <c r="F48">
        <v>1</v>
      </c>
      <c r="G48">
        <v>1</v>
      </c>
      <c r="H48">
        <v>2</v>
      </c>
      <c r="I48" t="s">
        <v>436</v>
      </c>
      <c r="J48" t="s">
        <v>437</v>
      </c>
      <c r="K48" t="s">
        <v>438</v>
      </c>
      <c r="L48">
        <v>1367</v>
      </c>
      <c r="N48">
        <v>1011</v>
      </c>
      <c r="O48" t="s">
        <v>378</v>
      </c>
      <c r="P48" t="s">
        <v>378</v>
      </c>
      <c r="Q48">
        <v>1</v>
      </c>
      <c r="X48">
        <v>0.23</v>
      </c>
      <c r="Y48">
        <v>0</v>
      </c>
      <c r="Z48">
        <v>115.4</v>
      </c>
      <c r="AA48">
        <v>13.5</v>
      </c>
      <c r="AB48">
        <v>0</v>
      </c>
      <c r="AC48">
        <v>0</v>
      </c>
      <c r="AD48">
        <v>1</v>
      </c>
      <c r="AE48">
        <v>0</v>
      </c>
      <c r="AF48" t="s">
        <v>148</v>
      </c>
      <c r="AG48">
        <v>0.28750000000000003</v>
      </c>
      <c r="AH48">
        <v>2</v>
      </c>
      <c r="AI48">
        <v>145263102</v>
      </c>
      <c r="AJ48">
        <v>43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ROW(Source!A73)</f>
        <v>73</v>
      </c>
      <c r="B49">
        <v>145263124</v>
      </c>
      <c r="C49">
        <v>145263098</v>
      </c>
      <c r="D49">
        <v>140922958</v>
      </c>
      <c r="E49">
        <v>1</v>
      </c>
      <c r="F49">
        <v>1</v>
      </c>
      <c r="G49">
        <v>1</v>
      </c>
      <c r="H49">
        <v>2</v>
      </c>
      <c r="I49" t="s">
        <v>439</v>
      </c>
      <c r="J49" t="s">
        <v>440</v>
      </c>
      <c r="K49" t="s">
        <v>441</v>
      </c>
      <c r="L49">
        <v>1367</v>
      </c>
      <c r="N49">
        <v>1011</v>
      </c>
      <c r="O49" t="s">
        <v>378</v>
      </c>
      <c r="P49" t="s">
        <v>378</v>
      </c>
      <c r="Q49">
        <v>1</v>
      </c>
      <c r="X49">
        <v>3.1</v>
      </c>
      <c r="Y49">
        <v>0</v>
      </c>
      <c r="Z49">
        <v>175.56</v>
      </c>
      <c r="AA49">
        <v>14.4</v>
      </c>
      <c r="AB49">
        <v>0</v>
      </c>
      <c r="AC49">
        <v>0</v>
      </c>
      <c r="AD49">
        <v>1</v>
      </c>
      <c r="AE49">
        <v>0</v>
      </c>
      <c r="AF49" t="s">
        <v>148</v>
      </c>
      <c r="AG49">
        <v>3.875</v>
      </c>
      <c r="AH49">
        <v>2</v>
      </c>
      <c r="AI49">
        <v>145263103</v>
      </c>
      <c r="AJ49">
        <v>44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ROW(Source!A73)</f>
        <v>73</v>
      </c>
      <c r="B50">
        <v>145263125</v>
      </c>
      <c r="C50">
        <v>145263098</v>
      </c>
      <c r="D50">
        <v>140923032</v>
      </c>
      <c r="E50">
        <v>1</v>
      </c>
      <c r="F50">
        <v>1</v>
      </c>
      <c r="G50">
        <v>1</v>
      </c>
      <c r="H50">
        <v>2</v>
      </c>
      <c r="I50" t="s">
        <v>442</v>
      </c>
      <c r="J50" t="s">
        <v>443</v>
      </c>
      <c r="K50" t="s">
        <v>444</v>
      </c>
      <c r="L50">
        <v>1367</v>
      </c>
      <c r="N50">
        <v>1011</v>
      </c>
      <c r="O50" t="s">
        <v>378</v>
      </c>
      <c r="P50" t="s">
        <v>378</v>
      </c>
      <c r="Q50">
        <v>1</v>
      </c>
      <c r="X50">
        <v>0.88</v>
      </c>
      <c r="Y50">
        <v>0</v>
      </c>
      <c r="Z50">
        <v>0.9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148</v>
      </c>
      <c r="AG50">
        <v>1.1000000000000001</v>
      </c>
      <c r="AH50">
        <v>2</v>
      </c>
      <c r="AI50">
        <v>145263104</v>
      </c>
      <c r="AJ50">
        <v>45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ROW(Source!A73)</f>
        <v>73</v>
      </c>
      <c r="B51">
        <v>145263126</v>
      </c>
      <c r="C51">
        <v>145263098</v>
      </c>
      <c r="D51">
        <v>140923885</v>
      </c>
      <c r="E51">
        <v>1</v>
      </c>
      <c r="F51">
        <v>1</v>
      </c>
      <c r="G51">
        <v>1</v>
      </c>
      <c r="H51">
        <v>2</v>
      </c>
      <c r="I51" t="s">
        <v>386</v>
      </c>
      <c r="J51" t="s">
        <v>387</v>
      </c>
      <c r="K51" t="s">
        <v>388</v>
      </c>
      <c r="L51">
        <v>1367</v>
      </c>
      <c r="N51">
        <v>1011</v>
      </c>
      <c r="O51" t="s">
        <v>378</v>
      </c>
      <c r="P51" t="s">
        <v>378</v>
      </c>
      <c r="Q51">
        <v>1</v>
      </c>
      <c r="X51">
        <v>0.35</v>
      </c>
      <c r="Y51">
        <v>0</v>
      </c>
      <c r="Z51">
        <v>65.709999999999994</v>
      </c>
      <c r="AA51">
        <v>11.6</v>
      </c>
      <c r="AB51">
        <v>0</v>
      </c>
      <c r="AC51">
        <v>0</v>
      </c>
      <c r="AD51">
        <v>1</v>
      </c>
      <c r="AE51">
        <v>0</v>
      </c>
      <c r="AF51" t="s">
        <v>148</v>
      </c>
      <c r="AG51">
        <v>0.4375</v>
      </c>
      <c r="AH51">
        <v>2</v>
      </c>
      <c r="AI51">
        <v>145263105</v>
      </c>
      <c r="AJ51">
        <v>46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ROW(Source!A73)</f>
        <v>73</v>
      </c>
      <c r="B52">
        <v>145263127</v>
      </c>
      <c r="C52">
        <v>145263098</v>
      </c>
      <c r="D52">
        <v>140924041</v>
      </c>
      <c r="E52">
        <v>1</v>
      </c>
      <c r="F52">
        <v>1</v>
      </c>
      <c r="G52">
        <v>1</v>
      </c>
      <c r="H52">
        <v>2</v>
      </c>
      <c r="I52" t="s">
        <v>445</v>
      </c>
      <c r="J52" t="s">
        <v>446</v>
      </c>
      <c r="K52" t="s">
        <v>447</v>
      </c>
      <c r="L52">
        <v>1367</v>
      </c>
      <c r="N52">
        <v>1011</v>
      </c>
      <c r="O52" t="s">
        <v>378</v>
      </c>
      <c r="P52" t="s">
        <v>378</v>
      </c>
      <c r="Q52">
        <v>1</v>
      </c>
      <c r="X52">
        <v>1.79</v>
      </c>
      <c r="Y52">
        <v>0</v>
      </c>
      <c r="Z52">
        <v>1.2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148</v>
      </c>
      <c r="AG52">
        <v>2.2374999999999998</v>
      </c>
      <c r="AH52">
        <v>2</v>
      </c>
      <c r="AI52">
        <v>145263106</v>
      </c>
      <c r="AJ52">
        <v>47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ROW(Source!A73)</f>
        <v>73</v>
      </c>
      <c r="B53">
        <v>145263128</v>
      </c>
      <c r="C53">
        <v>145263098</v>
      </c>
      <c r="D53">
        <v>140924084</v>
      </c>
      <c r="E53">
        <v>1</v>
      </c>
      <c r="F53">
        <v>1</v>
      </c>
      <c r="G53">
        <v>1</v>
      </c>
      <c r="H53">
        <v>2</v>
      </c>
      <c r="I53" t="s">
        <v>448</v>
      </c>
      <c r="J53" t="s">
        <v>449</v>
      </c>
      <c r="K53" t="s">
        <v>450</v>
      </c>
      <c r="L53">
        <v>1367</v>
      </c>
      <c r="N53">
        <v>1011</v>
      </c>
      <c r="O53" t="s">
        <v>378</v>
      </c>
      <c r="P53" t="s">
        <v>378</v>
      </c>
      <c r="Q53">
        <v>1</v>
      </c>
      <c r="X53">
        <v>0.42</v>
      </c>
      <c r="Y53">
        <v>0</v>
      </c>
      <c r="Z53">
        <v>12.31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148</v>
      </c>
      <c r="AG53">
        <v>0.52500000000000002</v>
      </c>
      <c r="AH53">
        <v>2</v>
      </c>
      <c r="AI53">
        <v>145263107</v>
      </c>
      <c r="AJ53">
        <v>48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ROW(Source!A73)</f>
        <v>73</v>
      </c>
      <c r="B54">
        <v>145263129</v>
      </c>
      <c r="C54">
        <v>145263098</v>
      </c>
      <c r="D54">
        <v>140771005</v>
      </c>
      <c r="E54">
        <v>1</v>
      </c>
      <c r="F54">
        <v>1</v>
      </c>
      <c r="G54">
        <v>1</v>
      </c>
      <c r="H54">
        <v>3</v>
      </c>
      <c r="I54" t="s">
        <v>451</v>
      </c>
      <c r="J54" t="s">
        <v>452</v>
      </c>
      <c r="K54" t="s">
        <v>453</v>
      </c>
      <c r="L54">
        <v>1339</v>
      </c>
      <c r="N54">
        <v>1007</v>
      </c>
      <c r="O54" t="s">
        <v>404</v>
      </c>
      <c r="P54" t="s">
        <v>404</v>
      </c>
      <c r="Q54">
        <v>1</v>
      </c>
      <c r="X54">
        <v>1.5</v>
      </c>
      <c r="Y54">
        <v>6.22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 t="s">
        <v>3</v>
      </c>
      <c r="AG54">
        <v>1.5</v>
      </c>
      <c r="AH54">
        <v>2</v>
      </c>
      <c r="AI54">
        <v>145263108</v>
      </c>
      <c r="AJ54">
        <v>49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ROW(Source!A73)</f>
        <v>73</v>
      </c>
      <c r="B55">
        <v>145263130</v>
      </c>
      <c r="C55">
        <v>145263098</v>
      </c>
      <c r="D55">
        <v>140771011</v>
      </c>
      <c r="E55">
        <v>1</v>
      </c>
      <c r="F55">
        <v>1</v>
      </c>
      <c r="G55">
        <v>1</v>
      </c>
      <c r="H55">
        <v>3</v>
      </c>
      <c r="I55" t="s">
        <v>454</v>
      </c>
      <c r="J55" t="s">
        <v>455</v>
      </c>
      <c r="K55" t="s">
        <v>456</v>
      </c>
      <c r="L55">
        <v>1346</v>
      </c>
      <c r="N55">
        <v>1009</v>
      </c>
      <c r="O55" t="s">
        <v>457</v>
      </c>
      <c r="P55" t="s">
        <v>457</v>
      </c>
      <c r="Q55">
        <v>1</v>
      </c>
      <c r="X55">
        <v>0.45</v>
      </c>
      <c r="Y55">
        <v>6.09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0.45</v>
      </c>
      <c r="AH55">
        <v>2</v>
      </c>
      <c r="AI55">
        <v>145263109</v>
      </c>
      <c r="AJ55">
        <v>50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ROW(Source!A73)</f>
        <v>73</v>
      </c>
      <c r="B56">
        <v>145263131</v>
      </c>
      <c r="C56">
        <v>145263098</v>
      </c>
      <c r="D56">
        <v>140773776</v>
      </c>
      <c r="E56">
        <v>1</v>
      </c>
      <c r="F56">
        <v>1</v>
      </c>
      <c r="G56">
        <v>1</v>
      </c>
      <c r="H56">
        <v>3</v>
      </c>
      <c r="I56" t="s">
        <v>458</v>
      </c>
      <c r="J56" t="s">
        <v>459</v>
      </c>
      <c r="K56" t="s">
        <v>460</v>
      </c>
      <c r="L56">
        <v>1348</v>
      </c>
      <c r="N56">
        <v>1009</v>
      </c>
      <c r="O56" t="s">
        <v>206</v>
      </c>
      <c r="P56" t="s">
        <v>206</v>
      </c>
      <c r="Q56">
        <v>1000</v>
      </c>
      <c r="X56">
        <v>6.0999999999999997E-4</v>
      </c>
      <c r="Y56">
        <v>10315.01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6.0999999999999997E-4</v>
      </c>
      <c r="AH56">
        <v>2</v>
      </c>
      <c r="AI56">
        <v>145263110</v>
      </c>
      <c r="AJ56">
        <v>51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ROW(Source!A73)</f>
        <v>73</v>
      </c>
      <c r="B57">
        <v>145263132</v>
      </c>
      <c r="C57">
        <v>145263098</v>
      </c>
      <c r="D57">
        <v>140775017</v>
      </c>
      <c r="E57">
        <v>1</v>
      </c>
      <c r="F57">
        <v>1</v>
      </c>
      <c r="G57">
        <v>1</v>
      </c>
      <c r="H57">
        <v>3</v>
      </c>
      <c r="I57" t="s">
        <v>461</v>
      </c>
      <c r="J57" t="s">
        <v>462</v>
      </c>
      <c r="K57" t="s">
        <v>463</v>
      </c>
      <c r="L57">
        <v>1346</v>
      </c>
      <c r="N57">
        <v>1009</v>
      </c>
      <c r="O57" t="s">
        <v>457</v>
      </c>
      <c r="P57" t="s">
        <v>457</v>
      </c>
      <c r="Q57">
        <v>1</v>
      </c>
      <c r="X57">
        <v>2.2999999999999998</v>
      </c>
      <c r="Y57">
        <v>9.0399999999999991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2.2999999999999998</v>
      </c>
      <c r="AH57">
        <v>2</v>
      </c>
      <c r="AI57">
        <v>145263111</v>
      </c>
      <c r="AJ57">
        <v>52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ROW(Source!A73)</f>
        <v>73</v>
      </c>
      <c r="B58">
        <v>145263133</v>
      </c>
      <c r="C58">
        <v>145263098</v>
      </c>
      <c r="D58">
        <v>140776229</v>
      </c>
      <c r="E58">
        <v>1</v>
      </c>
      <c r="F58">
        <v>1</v>
      </c>
      <c r="G58">
        <v>1</v>
      </c>
      <c r="H58">
        <v>3</v>
      </c>
      <c r="I58" t="s">
        <v>464</v>
      </c>
      <c r="J58" t="s">
        <v>465</v>
      </c>
      <c r="K58" t="s">
        <v>466</v>
      </c>
      <c r="L58">
        <v>1348</v>
      </c>
      <c r="N58">
        <v>1009</v>
      </c>
      <c r="O58" t="s">
        <v>206</v>
      </c>
      <c r="P58" t="s">
        <v>206</v>
      </c>
      <c r="Q58">
        <v>1000</v>
      </c>
      <c r="X58">
        <v>1.4999999999999999E-4</v>
      </c>
      <c r="Y58">
        <v>37900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1.4999999999999999E-4</v>
      </c>
      <c r="AH58">
        <v>2</v>
      </c>
      <c r="AI58">
        <v>145263112</v>
      </c>
      <c r="AJ58">
        <v>53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ROW(Source!A73)</f>
        <v>73</v>
      </c>
      <c r="B59">
        <v>145263134</v>
      </c>
      <c r="C59">
        <v>145263098</v>
      </c>
      <c r="D59">
        <v>140789856</v>
      </c>
      <c r="E59">
        <v>1</v>
      </c>
      <c r="F59">
        <v>1</v>
      </c>
      <c r="G59">
        <v>1</v>
      </c>
      <c r="H59">
        <v>3</v>
      </c>
      <c r="I59" t="s">
        <v>467</v>
      </c>
      <c r="J59" t="s">
        <v>468</v>
      </c>
      <c r="K59" t="s">
        <v>469</v>
      </c>
      <c r="L59">
        <v>1348</v>
      </c>
      <c r="N59">
        <v>1009</v>
      </c>
      <c r="O59" t="s">
        <v>206</v>
      </c>
      <c r="P59" t="s">
        <v>206</v>
      </c>
      <c r="Q59">
        <v>1000</v>
      </c>
      <c r="X59">
        <v>1.0999999999999999E-2</v>
      </c>
      <c r="Y59">
        <v>7712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1.0999999999999999E-2</v>
      </c>
      <c r="AH59">
        <v>2</v>
      </c>
      <c r="AI59">
        <v>145263113</v>
      </c>
      <c r="AJ59">
        <v>54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ROW(Source!A73)</f>
        <v>73</v>
      </c>
      <c r="B60">
        <v>145263135</v>
      </c>
      <c r="C60">
        <v>145263098</v>
      </c>
      <c r="D60">
        <v>140762183</v>
      </c>
      <c r="E60">
        <v>70</v>
      </c>
      <c r="F60">
        <v>1</v>
      </c>
      <c r="G60">
        <v>1</v>
      </c>
      <c r="H60">
        <v>3</v>
      </c>
      <c r="I60" t="s">
        <v>576</v>
      </c>
      <c r="J60" t="s">
        <v>3</v>
      </c>
      <c r="K60" t="s">
        <v>577</v>
      </c>
      <c r="L60">
        <v>1348</v>
      </c>
      <c r="N60">
        <v>1009</v>
      </c>
      <c r="O60" t="s">
        <v>206</v>
      </c>
      <c r="P60" t="s">
        <v>206</v>
      </c>
      <c r="Q60">
        <v>1000</v>
      </c>
      <c r="X60">
        <v>0</v>
      </c>
      <c r="Y60">
        <v>0</v>
      </c>
      <c r="Z60">
        <v>0</v>
      </c>
      <c r="AA60">
        <v>0</v>
      </c>
      <c r="AB60">
        <v>0</v>
      </c>
      <c r="AC60">
        <v>1</v>
      </c>
      <c r="AD60">
        <v>0</v>
      </c>
      <c r="AE60">
        <v>0</v>
      </c>
      <c r="AF60" t="s">
        <v>3</v>
      </c>
      <c r="AG60">
        <v>0</v>
      </c>
      <c r="AH60">
        <v>3</v>
      </c>
      <c r="AI60">
        <v>-1</v>
      </c>
      <c r="AJ60" t="s">
        <v>3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ROW(Source!A73)</f>
        <v>73</v>
      </c>
      <c r="B61">
        <v>145263136</v>
      </c>
      <c r="C61">
        <v>145263098</v>
      </c>
      <c r="D61">
        <v>140791984</v>
      </c>
      <c r="E61">
        <v>1</v>
      </c>
      <c r="F61">
        <v>1</v>
      </c>
      <c r="G61">
        <v>1</v>
      </c>
      <c r="H61">
        <v>3</v>
      </c>
      <c r="I61" t="s">
        <v>470</v>
      </c>
      <c r="J61" t="s">
        <v>471</v>
      </c>
      <c r="K61" t="s">
        <v>472</v>
      </c>
      <c r="L61">
        <v>1302</v>
      </c>
      <c r="N61">
        <v>1003</v>
      </c>
      <c r="O61" t="s">
        <v>473</v>
      </c>
      <c r="P61" t="s">
        <v>473</v>
      </c>
      <c r="Q61">
        <v>10</v>
      </c>
      <c r="X61">
        <v>1.4999999999999999E-2</v>
      </c>
      <c r="Y61">
        <v>50.24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1.4999999999999999E-2</v>
      </c>
      <c r="AH61">
        <v>2</v>
      </c>
      <c r="AI61">
        <v>145263114</v>
      </c>
      <c r="AJ61">
        <v>55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ROW(Source!A73)</f>
        <v>73</v>
      </c>
      <c r="B62">
        <v>145263137</v>
      </c>
      <c r="C62">
        <v>145263098</v>
      </c>
      <c r="D62">
        <v>140792339</v>
      </c>
      <c r="E62">
        <v>1</v>
      </c>
      <c r="F62">
        <v>1</v>
      </c>
      <c r="G62">
        <v>1</v>
      </c>
      <c r="H62">
        <v>3</v>
      </c>
      <c r="I62" t="s">
        <v>408</v>
      </c>
      <c r="J62" t="s">
        <v>409</v>
      </c>
      <c r="K62" t="s">
        <v>410</v>
      </c>
      <c r="L62">
        <v>1348</v>
      </c>
      <c r="N62">
        <v>1009</v>
      </c>
      <c r="O62" t="s">
        <v>206</v>
      </c>
      <c r="P62" t="s">
        <v>206</v>
      </c>
      <c r="Q62">
        <v>1000</v>
      </c>
      <c r="X62">
        <v>4.0000000000000003E-5</v>
      </c>
      <c r="Y62">
        <v>4455.2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3</v>
      </c>
      <c r="AG62">
        <v>4.0000000000000003E-5</v>
      </c>
      <c r="AH62">
        <v>2</v>
      </c>
      <c r="AI62">
        <v>145263115</v>
      </c>
      <c r="AJ62">
        <v>56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ROW(Source!A73)</f>
        <v>73</v>
      </c>
      <c r="B63">
        <v>145263138</v>
      </c>
      <c r="C63">
        <v>145263098</v>
      </c>
      <c r="D63">
        <v>140762341</v>
      </c>
      <c r="E63">
        <v>70</v>
      </c>
      <c r="F63">
        <v>1</v>
      </c>
      <c r="G63">
        <v>1</v>
      </c>
      <c r="H63">
        <v>3</v>
      </c>
      <c r="I63" t="s">
        <v>578</v>
      </c>
      <c r="J63" t="s">
        <v>3</v>
      </c>
      <c r="K63" t="s">
        <v>579</v>
      </c>
      <c r="L63">
        <v>1348</v>
      </c>
      <c r="N63">
        <v>1009</v>
      </c>
      <c r="O63" t="s">
        <v>206</v>
      </c>
      <c r="P63" t="s">
        <v>206</v>
      </c>
      <c r="Q63">
        <v>1000</v>
      </c>
      <c r="X63">
        <v>0</v>
      </c>
      <c r="Y63">
        <v>0</v>
      </c>
      <c r="Z63">
        <v>0</v>
      </c>
      <c r="AA63">
        <v>0</v>
      </c>
      <c r="AB63">
        <v>0</v>
      </c>
      <c r="AC63">
        <v>1</v>
      </c>
      <c r="AD63">
        <v>0</v>
      </c>
      <c r="AE63">
        <v>0</v>
      </c>
      <c r="AF63" t="s">
        <v>3</v>
      </c>
      <c r="AG63">
        <v>0</v>
      </c>
      <c r="AH63">
        <v>3</v>
      </c>
      <c r="AI63">
        <v>-1</v>
      </c>
      <c r="AJ63" t="s">
        <v>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ROW(Source!A73)</f>
        <v>73</v>
      </c>
      <c r="B64">
        <v>145263139</v>
      </c>
      <c r="C64">
        <v>145263098</v>
      </c>
      <c r="D64">
        <v>140793072</v>
      </c>
      <c r="E64">
        <v>1</v>
      </c>
      <c r="F64">
        <v>1</v>
      </c>
      <c r="G64">
        <v>1</v>
      </c>
      <c r="H64">
        <v>3</v>
      </c>
      <c r="I64" t="s">
        <v>474</v>
      </c>
      <c r="J64" t="s">
        <v>475</v>
      </c>
      <c r="K64" t="s">
        <v>476</v>
      </c>
      <c r="L64">
        <v>1348</v>
      </c>
      <c r="N64">
        <v>1009</v>
      </c>
      <c r="O64" t="s">
        <v>206</v>
      </c>
      <c r="P64" t="s">
        <v>206</v>
      </c>
      <c r="Q64">
        <v>1000</v>
      </c>
      <c r="X64">
        <v>2.97E-3</v>
      </c>
      <c r="Y64">
        <v>4920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2.97E-3</v>
      </c>
      <c r="AH64">
        <v>2</v>
      </c>
      <c r="AI64">
        <v>145263116</v>
      </c>
      <c r="AJ64">
        <v>57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ROW(Source!A73)</f>
        <v>73</v>
      </c>
      <c r="B65">
        <v>145263140</v>
      </c>
      <c r="C65">
        <v>145263098</v>
      </c>
      <c r="D65">
        <v>140796351</v>
      </c>
      <c r="E65">
        <v>1</v>
      </c>
      <c r="F65">
        <v>1</v>
      </c>
      <c r="G65">
        <v>1</v>
      </c>
      <c r="H65">
        <v>3</v>
      </c>
      <c r="I65" t="s">
        <v>477</v>
      </c>
      <c r="J65" t="s">
        <v>478</v>
      </c>
      <c r="K65" t="s">
        <v>479</v>
      </c>
      <c r="L65">
        <v>1339</v>
      </c>
      <c r="N65">
        <v>1007</v>
      </c>
      <c r="O65" t="s">
        <v>404</v>
      </c>
      <c r="P65" t="s">
        <v>404</v>
      </c>
      <c r="Q65">
        <v>1</v>
      </c>
      <c r="X65">
        <v>1.2999999999999999E-3</v>
      </c>
      <c r="Y65">
        <v>1700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1.2999999999999999E-3</v>
      </c>
      <c r="AH65">
        <v>2</v>
      </c>
      <c r="AI65">
        <v>145263117</v>
      </c>
      <c r="AJ65">
        <v>58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ROW(Source!A73)</f>
        <v>73</v>
      </c>
      <c r="B66">
        <v>145263141</v>
      </c>
      <c r="C66">
        <v>145263098</v>
      </c>
      <c r="D66">
        <v>140804058</v>
      </c>
      <c r="E66">
        <v>1</v>
      </c>
      <c r="F66">
        <v>1</v>
      </c>
      <c r="G66">
        <v>1</v>
      </c>
      <c r="H66">
        <v>3</v>
      </c>
      <c r="I66" t="s">
        <v>480</v>
      </c>
      <c r="J66" t="s">
        <v>481</v>
      </c>
      <c r="K66" t="s">
        <v>482</v>
      </c>
      <c r="L66">
        <v>1348</v>
      </c>
      <c r="N66">
        <v>1009</v>
      </c>
      <c r="O66" t="s">
        <v>206</v>
      </c>
      <c r="P66" t="s">
        <v>206</v>
      </c>
      <c r="Q66">
        <v>1000</v>
      </c>
      <c r="X66">
        <v>4.6999999999999999E-4</v>
      </c>
      <c r="Y66">
        <v>15620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4.6999999999999999E-4</v>
      </c>
      <c r="AH66">
        <v>2</v>
      </c>
      <c r="AI66">
        <v>145263118</v>
      </c>
      <c r="AJ66">
        <v>59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ROW(Source!A73)</f>
        <v>73</v>
      </c>
      <c r="B67">
        <v>145263142</v>
      </c>
      <c r="C67">
        <v>145263098</v>
      </c>
      <c r="D67">
        <v>140805182</v>
      </c>
      <c r="E67">
        <v>1</v>
      </c>
      <c r="F67">
        <v>1</v>
      </c>
      <c r="G67">
        <v>1</v>
      </c>
      <c r="H67">
        <v>3</v>
      </c>
      <c r="I67" t="s">
        <v>483</v>
      </c>
      <c r="J67" t="s">
        <v>484</v>
      </c>
      <c r="K67" t="s">
        <v>485</v>
      </c>
      <c r="L67">
        <v>1346</v>
      </c>
      <c r="N67">
        <v>1009</v>
      </c>
      <c r="O67" t="s">
        <v>457</v>
      </c>
      <c r="P67" t="s">
        <v>457</v>
      </c>
      <c r="Q67">
        <v>1</v>
      </c>
      <c r="X67">
        <v>0.09</v>
      </c>
      <c r="Y67">
        <v>9.42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3</v>
      </c>
      <c r="AG67">
        <v>0.09</v>
      </c>
      <c r="AH67">
        <v>2</v>
      </c>
      <c r="AI67">
        <v>145263119</v>
      </c>
      <c r="AJ67">
        <v>60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ROW(Source!A77)</f>
        <v>77</v>
      </c>
      <c r="B68">
        <v>145263156</v>
      </c>
      <c r="C68">
        <v>145263146</v>
      </c>
      <c r="D68">
        <v>140760001</v>
      </c>
      <c r="E68">
        <v>70</v>
      </c>
      <c r="F68">
        <v>1</v>
      </c>
      <c r="G68">
        <v>1</v>
      </c>
      <c r="H68">
        <v>1</v>
      </c>
      <c r="I68" t="s">
        <v>379</v>
      </c>
      <c r="J68" t="s">
        <v>3</v>
      </c>
      <c r="K68" t="s">
        <v>380</v>
      </c>
      <c r="L68">
        <v>1191</v>
      </c>
      <c r="N68">
        <v>1013</v>
      </c>
      <c r="O68" t="s">
        <v>374</v>
      </c>
      <c r="P68" t="s">
        <v>374</v>
      </c>
      <c r="Q68">
        <v>1</v>
      </c>
      <c r="X68">
        <v>143.94</v>
      </c>
      <c r="Y68">
        <v>0</v>
      </c>
      <c r="Z68">
        <v>0</v>
      </c>
      <c r="AA68">
        <v>0</v>
      </c>
      <c r="AB68">
        <v>9.07</v>
      </c>
      <c r="AC68">
        <v>0</v>
      </c>
      <c r="AD68">
        <v>1</v>
      </c>
      <c r="AE68">
        <v>1</v>
      </c>
      <c r="AF68" t="s">
        <v>172</v>
      </c>
      <c r="AG68">
        <v>177.94582499999999</v>
      </c>
      <c r="AH68">
        <v>2</v>
      </c>
      <c r="AI68">
        <v>145263147</v>
      </c>
      <c r="AJ68">
        <v>61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ROW(Source!A77)</f>
        <v>77</v>
      </c>
      <c r="B69">
        <v>145263157</v>
      </c>
      <c r="C69">
        <v>145263146</v>
      </c>
      <c r="D69">
        <v>140760225</v>
      </c>
      <c r="E69">
        <v>70</v>
      </c>
      <c r="F69">
        <v>1</v>
      </c>
      <c r="G69">
        <v>1</v>
      </c>
      <c r="H69">
        <v>1</v>
      </c>
      <c r="I69" t="s">
        <v>381</v>
      </c>
      <c r="J69" t="s">
        <v>3</v>
      </c>
      <c r="K69" t="s">
        <v>382</v>
      </c>
      <c r="L69">
        <v>1191</v>
      </c>
      <c r="N69">
        <v>1013</v>
      </c>
      <c r="O69" t="s">
        <v>374</v>
      </c>
      <c r="P69" t="s">
        <v>374</v>
      </c>
      <c r="Q69">
        <v>1</v>
      </c>
      <c r="X69">
        <v>0.19</v>
      </c>
      <c r="Y69">
        <v>0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2</v>
      </c>
      <c r="AF69" t="s">
        <v>148</v>
      </c>
      <c r="AG69">
        <v>0.23749999999999999</v>
      </c>
      <c r="AH69">
        <v>2</v>
      </c>
      <c r="AI69">
        <v>145263148</v>
      </c>
      <c r="AJ69">
        <v>62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ROW(Source!A77)</f>
        <v>77</v>
      </c>
      <c r="B70">
        <v>145263158</v>
      </c>
      <c r="C70">
        <v>145263146</v>
      </c>
      <c r="D70">
        <v>140922951</v>
      </c>
      <c r="E70">
        <v>1</v>
      </c>
      <c r="F70">
        <v>1</v>
      </c>
      <c r="G70">
        <v>1</v>
      </c>
      <c r="H70">
        <v>2</v>
      </c>
      <c r="I70" t="s">
        <v>436</v>
      </c>
      <c r="J70" t="s">
        <v>437</v>
      </c>
      <c r="K70" t="s">
        <v>438</v>
      </c>
      <c r="L70">
        <v>1367</v>
      </c>
      <c r="N70">
        <v>1011</v>
      </c>
      <c r="O70" t="s">
        <v>378</v>
      </c>
      <c r="P70" t="s">
        <v>378</v>
      </c>
      <c r="Q70">
        <v>1</v>
      </c>
      <c r="X70">
        <v>7.2999999999999995E-2</v>
      </c>
      <c r="Y70">
        <v>0</v>
      </c>
      <c r="Z70">
        <v>115.4</v>
      </c>
      <c r="AA70">
        <v>13.5</v>
      </c>
      <c r="AB70">
        <v>0</v>
      </c>
      <c r="AC70">
        <v>0</v>
      </c>
      <c r="AD70">
        <v>1</v>
      </c>
      <c r="AE70">
        <v>0</v>
      </c>
      <c r="AF70" t="s">
        <v>148</v>
      </c>
      <c r="AG70">
        <v>9.1249999999999998E-2</v>
      </c>
      <c r="AH70">
        <v>2</v>
      </c>
      <c r="AI70">
        <v>145263149</v>
      </c>
      <c r="AJ70">
        <v>63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ROW(Source!A77)</f>
        <v>77</v>
      </c>
      <c r="B71">
        <v>145263159</v>
      </c>
      <c r="C71">
        <v>145263146</v>
      </c>
      <c r="D71">
        <v>140923142</v>
      </c>
      <c r="E71">
        <v>1</v>
      </c>
      <c r="F71">
        <v>1</v>
      </c>
      <c r="G71">
        <v>1</v>
      </c>
      <c r="H71">
        <v>2</v>
      </c>
      <c r="I71" t="s">
        <v>486</v>
      </c>
      <c r="J71" t="s">
        <v>487</v>
      </c>
      <c r="K71" t="s">
        <v>488</v>
      </c>
      <c r="L71">
        <v>1367</v>
      </c>
      <c r="N71">
        <v>1011</v>
      </c>
      <c r="O71" t="s">
        <v>378</v>
      </c>
      <c r="P71" t="s">
        <v>378</v>
      </c>
      <c r="Q71">
        <v>1</v>
      </c>
      <c r="X71">
        <v>3.5999999999999997E-2</v>
      </c>
      <c r="Y71">
        <v>0</v>
      </c>
      <c r="Z71">
        <v>24.33</v>
      </c>
      <c r="AA71">
        <v>10.06</v>
      </c>
      <c r="AB71">
        <v>0</v>
      </c>
      <c r="AC71">
        <v>0</v>
      </c>
      <c r="AD71">
        <v>1</v>
      </c>
      <c r="AE71">
        <v>0</v>
      </c>
      <c r="AF71" t="s">
        <v>148</v>
      </c>
      <c r="AG71">
        <v>4.4999999999999998E-2</v>
      </c>
      <c r="AH71">
        <v>2</v>
      </c>
      <c r="AI71">
        <v>145263150</v>
      </c>
      <c r="AJ71">
        <v>64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ROW(Source!A77)</f>
        <v>77</v>
      </c>
      <c r="B72">
        <v>145263160</v>
      </c>
      <c r="C72">
        <v>145263146</v>
      </c>
      <c r="D72">
        <v>140923885</v>
      </c>
      <c r="E72">
        <v>1</v>
      </c>
      <c r="F72">
        <v>1</v>
      </c>
      <c r="G72">
        <v>1</v>
      </c>
      <c r="H72">
        <v>2</v>
      </c>
      <c r="I72" t="s">
        <v>386</v>
      </c>
      <c r="J72" t="s">
        <v>387</v>
      </c>
      <c r="K72" t="s">
        <v>388</v>
      </c>
      <c r="L72">
        <v>1367</v>
      </c>
      <c r="N72">
        <v>1011</v>
      </c>
      <c r="O72" t="s">
        <v>378</v>
      </c>
      <c r="P72" t="s">
        <v>378</v>
      </c>
      <c r="Q72">
        <v>1</v>
      </c>
      <c r="X72">
        <v>7.9000000000000001E-2</v>
      </c>
      <c r="Y72">
        <v>0</v>
      </c>
      <c r="Z72">
        <v>65.709999999999994</v>
      </c>
      <c r="AA72">
        <v>11.6</v>
      </c>
      <c r="AB72">
        <v>0</v>
      </c>
      <c r="AC72">
        <v>0</v>
      </c>
      <c r="AD72">
        <v>1</v>
      </c>
      <c r="AE72">
        <v>0</v>
      </c>
      <c r="AF72" t="s">
        <v>148</v>
      </c>
      <c r="AG72">
        <v>9.8750000000000004E-2</v>
      </c>
      <c r="AH72">
        <v>2</v>
      </c>
      <c r="AI72">
        <v>145263151</v>
      </c>
      <c r="AJ72">
        <v>65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ROW(Source!A77)</f>
        <v>77</v>
      </c>
      <c r="B73">
        <v>145263161</v>
      </c>
      <c r="C73">
        <v>145263146</v>
      </c>
      <c r="D73">
        <v>140775493</v>
      </c>
      <c r="E73">
        <v>1</v>
      </c>
      <c r="F73">
        <v>1</v>
      </c>
      <c r="G73">
        <v>1</v>
      </c>
      <c r="H73">
        <v>3</v>
      </c>
      <c r="I73" t="s">
        <v>489</v>
      </c>
      <c r="J73" t="s">
        <v>490</v>
      </c>
      <c r="K73" t="s">
        <v>491</v>
      </c>
      <c r="L73">
        <v>1425</v>
      </c>
      <c r="N73">
        <v>1013</v>
      </c>
      <c r="O73" t="s">
        <v>35</v>
      </c>
      <c r="P73" t="s">
        <v>35</v>
      </c>
      <c r="Q73">
        <v>1</v>
      </c>
      <c r="X73">
        <v>4.88</v>
      </c>
      <c r="Y73">
        <v>37.200000000000003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3</v>
      </c>
      <c r="AG73">
        <v>4.88</v>
      </c>
      <c r="AH73">
        <v>2</v>
      </c>
      <c r="AI73">
        <v>145263152</v>
      </c>
      <c r="AJ73">
        <v>66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ROW(Source!A77)</f>
        <v>77</v>
      </c>
      <c r="B74">
        <v>145263162</v>
      </c>
      <c r="C74">
        <v>145263146</v>
      </c>
      <c r="D74">
        <v>140798681</v>
      </c>
      <c r="E74">
        <v>1</v>
      </c>
      <c r="F74">
        <v>1</v>
      </c>
      <c r="G74">
        <v>1</v>
      </c>
      <c r="H74">
        <v>3</v>
      </c>
      <c r="I74" t="s">
        <v>179</v>
      </c>
      <c r="J74" t="s">
        <v>182</v>
      </c>
      <c r="K74" t="s">
        <v>180</v>
      </c>
      <c r="L74">
        <v>1301</v>
      </c>
      <c r="N74">
        <v>1003</v>
      </c>
      <c r="O74" t="s">
        <v>181</v>
      </c>
      <c r="P74" t="s">
        <v>181</v>
      </c>
      <c r="Q74">
        <v>1</v>
      </c>
      <c r="X74">
        <v>89</v>
      </c>
      <c r="Y74">
        <v>16.04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89</v>
      </c>
      <c r="AH74">
        <v>2</v>
      </c>
      <c r="AI74">
        <v>145263153</v>
      </c>
      <c r="AJ74">
        <v>67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ROW(Source!A77)</f>
        <v>77</v>
      </c>
      <c r="B75">
        <v>145263163</v>
      </c>
      <c r="C75">
        <v>145263146</v>
      </c>
      <c r="D75">
        <v>140798683</v>
      </c>
      <c r="E75">
        <v>1</v>
      </c>
      <c r="F75">
        <v>1</v>
      </c>
      <c r="G75">
        <v>1</v>
      </c>
      <c r="H75">
        <v>3</v>
      </c>
      <c r="I75" t="s">
        <v>580</v>
      </c>
      <c r="J75" t="s">
        <v>581</v>
      </c>
      <c r="K75" t="s">
        <v>582</v>
      </c>
      <c r="L75">
        <v>1371</v>
      </c>
      <c r="N75">
        <v>1013</v>
      </c>
      <c r="O75" t="s">
        <v>162</v>
      </c>
      <c r="P75" t="s">
        <v>162</v>
      </c>
      <c r="Q75">
        <v>1</v>
      </c>
      <c r="X75">
        <v>0</v>
      </c>
      <c r="Y75">
        <v>109.68</v>
      </c>
      <c r="Z75">
        <v>0</v>
      </c>
      <c r="AA75">
        <v>0</v>
      </c>
      <c r="AB75">
        <v>0</v>
      </c>
      <c r="AC75">
        <v>1</v>
      </c>
      <c r="AD75">
        <v>0</v>
      </c>
      <c r="AE75">
        <v>0</v>
      </c>
      <c r="AF75" t="s">
        <v>3</v>
      </c>
      <c r="AG75">
        <v>0</v>
      </c>
      <c r="AH75">
        <v>3</v>
      </c>
      <c r="AI75">
        <v>-1</v>
      </c>
      <c r="AJ75" t="s">
        <v>3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ROW(Source!A77)</f>
        <v>77</v>
      </c>
      <c r="B76">
        <v>145263164</v>
      </c>
      <c r="C76">
        <v>145263146</v>
      </c>
      <c r="D76">
        <v>140798684</v>
      </c>
      <c r="E76">
        <v>1</v>
      </c>
      <c r="F76">
        <v>1</v>
      </c>
      <c r="G76">
        <v>1</v>
      </c>
      <c r="H76">
        <v>3</v>
      </c>
      <c r="I76" t="s">
        <v>184</v>
      </c>
      <c r="J76" t="s">
        <v>186</v>
      </c>
      <c r="K76" t="s">
        <v>185</v>
      </c>
      <c r="L76">
        <v>1371</v>
      </c>
      <c r="N76">
        <v>1013</v>
      </c>
      <c r="O76" t="s">
        <v>162</v>
      </c>
      <c r="P76" t="s">
        <v>162</v>
      </c>
      <c r="Q76">
        <v>1</v>
      </c>
      <c r="X76">
        <v>13</v>
      </c>
      <c r="Y76">
        <v>31.64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3</v>
      </c>
      <c r="AG76">
        <v>13</v>
      </c>
      <c r="AH76">
        <v>2</v>
      </c>
      <c r="AI76">
        <v>145263154</v>
      </c>
      <c r="AJ76">
        <v>68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ROW(Source!A77)</f>
        <v>77</v>
      </c>
      <c r="B77">
        <v>145263165</v>
      </c>
      <c r="C77">
        <v>145263146</v>
      </c>
      <c r="D77">
        <v>140798685</v>
      </c>
      <c r="E77">
        <v>1</v>
      </c>
      <c r="F77">
        <v>1</v>
      </c>
      <c r="G77">
        <v>1</v>
      </c>
      <c r="H77">
        <v>3</v>
      </c>
      <c r="I77" t="s">
        <v>583</v>
      </c>
      <c r="J77" t="s">
        <v>584</v>
      </c>
      <c r="K77" t="s">
        <v>585</v>
      </c>
      <c r="L77">
        <v>1371</v>
      </c>
      <c r="N77">
        <v>1013</v>
      </c>
      <c r="O77" t="s">
        <v>162</v>
      </c>
      <c r="P77" t="s">
        <v>162</v>
      </c>
      <c r="Q77">
        <v>1</v>
      </c>
      <c r="X77">
        <v>0</v>
      </c>
      <c r="Y77">
        <v>26.59</v>
      </c>
      <c r="Z77">
        <v>0</v>
      </c>
      <c r="AA77">
        <v>0</v>
      </c>
      <c r="AB77">
        <v>0</v>
      </c>
      <c r="AC77">
        <v>1</v>
      </c>
      <c r="AD77">
        <v>0</v>
      </c>
      <c r="AE77">
        <v>0</v>
      </c>
      <c r="AF77" t="s">
        <v>3</v>
      </c>
      <c r="AG77">
        <v>0</v>
      </c>
      <c r="AH77">
        <v>3</v>
      </c>
      <c r="AI77">
        <v>-1</v>
      </c>
      <c r="AJ77" t="s">
        <v>3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ROW(Source!A77)</f>
        <v>77</v>
      </c>
      <c r="B78">
        <v>145263166</v>
      </c>
      <c r="C78">
        <v>145263146</v>
      </c>
      <c r="D78">
        <v>140798686</v>
      </c>
      <c r="E78">
        <v>1</v>
      </c>
      <c r="F78">
        <v>1</v>
      </c>
      <c r="G78">
        <v>1</v>
      </c>
      <c r="H78">
        <v>3</v>
      </c>
      <c r="I78" t="s">
        <v>586</v>
      </c>
      <c r="J78" t="s">
        <v>587</v>
      </c>
      <c r="K78" t="s">
        <v>588</v>
      </c>
      <c r="L78">
        <v>1371</v>
      </c>
      <c r="N78">
        <v>1013</v>
      </c>
      <c r="O78" t="s">
        <v>162</v>
      </c>
      <c r="P78" t="s">
        <v>162</v>
      </c>
      <c r="Q78">
        <v>1</v>
      </c>
      <c r="X78">
        <v>0</v>
      </c>
      <c r="Y78">
        <v>19.89</v>
      </c>
      <c r="Z78">
        <v>0</v>
      </c>
      <c r="AA78">
        <v>0</v>
      </c>
      <c r="AB78">
        <v>0</v>
      </c>
      <c r="AC78">
        <v>1</v>
      </c>
      <c r="AD78">
        <v>0</v>
      </c>
      <c r="AE78">
        <v>0</v>
      </c>
      <c r="AF78" t="s">
        <v>3</v>
      </c>
      <c r="AG78">
        <v>0</v>
      </c>
      <c r="AH78">
        <v>3</v>
      </c>
      <c r="AI78">
        <v>-1</v>
      </c>
      <c r="AJ78" t="s">
        <v>3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ROW(Source!A77)</f>
        <v>77</v>
      </c>
      <c r="B79">
        <v>145263167</v>
      </c>
      <c r="C79">
        <v>145263146</v>
      </c>
      <c r="D79">
        <v>140798706</v>
      </c>
      <c r="E79">
        <v>1</v>
      </c>
      <c r="F79">
        <v>1</v>
      </c>
      <c r="G79">
        <v>1</v>
      </c>
      <c r="H79">
        <v>3</v>
      </c>
      <c r="I79" t="s">
        <v>188</v>
      </c>
      <c r="J79" t="s">
        <v>190</v>
      </c>
      <c r="K79" t="s">
        <v>189</v>
      </c>
      <c r="L79">
        <v>1371</v>
      </c>
      <c r="N79">
        <v>1013</v>
      </c>
      <c r="O79" t="s">
        <v>162</v>
      </c>
      <c r="P79" t="s">
        <v>162</v>
      </c>
      <c r="Q79">
        <v>1</v>
      </c>
      <c r="X79">
        <v>163</v>
      </c>
      <c r="Y79">
        <v>128.85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163</v>
      </c>
      <c r="AH79">
        <v>2</v>
      </c>
      <c r="AI79">
        <v>145263155</v>
      </c>
      <c r="AJ79">
        <v>69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ROW(Source!A85)</f>
        <v>85</v>
      </c>
      <c r="B80">
        <v>145263190</v>
      </c>
      <c r="C80">
        <v>145263175</v>
      </c>
      <c r="D80">
        <v>140760022</v>
      </c>
      <c r="E80">
        <v>70</v>
      </c>
      <c r="F80">
        <v>1</v>
      </c>
      <c r="G80">
        <v>1</v>
      </c>
      <c r="H80">
        <v>1</v>
      </c>
      <c r="I80" t="s">
        <v>492</v>
      </c>
      <c r="J80" t="s">
        <v>3</v>
      </c>
      <c r="K80" t="s">
        <v>493</v>
      </c>
      <c r="L80">
        <v>1191</v>
      </c>
      <c r="N80">
        <v>1013</v>
      </c>
      <c r="O80" t="s">
        <v>374</v>
      </c>
      <c r="P80" t="s">
        <v>374</v>
      </c>
      <c r="Q80">
        <v>1</v>
      </c>
      <c r="X80">
        <v>194</v>
      </c>
      <c r="Y80">
        <v>0</v>
      </c>
      <c r="Z80">
        <v>0</v>
      </c>
      <c r="AA80">
        <v>0</v>
      </c>
      <c r="AB80">
        <v>9.4</v>
      </c>
      <c r="AC80">
        <v>0</v>
      </c>
      <c r="AD80">
        <v>1</v>
      </c>
      <c r="AE80">
        <v>1</v>
      </c>
      <c r="AF80" t="s">
        <v>3</v>
      </c>
      <c r="AG80">
        <v>194</v>
      </c>
      <c r="AH80">
        <v>2</v>
      </c>
      <c r="AI80">
        <v>145263176</v>
      </c>
      <c r="AJ80">
        <v>70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ROW(Source!A85)</f>
        <v>85</v>
      </c>
      <c r="B81">
        <v>145263191</v>
      </c>
      <c r="C81">
        <v>145263175</v>
      </c>
      <c r="D81">
        <v>140760225</v>
      </c>
      <c r="E81">
        <v>70</v>
      </c>
      <c r="F81">
        <v>1</v>
      </c>
      <c r="G81">
        <v>1</v>
      </c>
      <c r="H81">
        <v>1</v>
      </c>
      <c r="I81" t="s">
        <v>381</v>
      </c>
      <c r="J81" t="s">
        <v>3</v>
      </c>
      <c r="K81" t="s">
        <v>382</v>
      </c>
      <c r="L81">
        <v>1191</v>
      </c>
      <c r="N81">
        <v>1013</v>
      </c>
      <c r="O81" t="s">
        <v>374</v>
      </c>
      <c r="P81" t="s">
        <v>374</v>
      </c>
      <c r="Q81">
        <v>1</v>
      </c>
      <c r="X81">
        <v>4</v>
      </c>
      <c r="Y81">
        <v>0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2</v>
      </c>
      <c r="AF81" t="s">
        <v>3</v>
      </c>
      <c r="AG81">
        <v>4</v>
      </c>
      <c r="AH81">
        <v>2</v>
      </c>
      <c r="AI81">
        <v>145263177</v>
      </c>
      <c r="AJ81">
        <v>71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ROW(Source!A85)</f>
        <v>85</v>
      </c>
      <c r="B82">
        <v>145263192</v>
      </c>
      <c r="C82">
        <v>145263175</v>
      </c>
      <c r="D82">
        <v>140922951</v>
      </c>
      <c r="E82">
        <v>1</v>
      </c>
      <c r="F82">
        <v>1</v>
      </c>
      <c r="G82">
        <v>1</v>
      </c>
      <c r="H82">
        <v>2</v>
      </c>
      <c r="I82" t="s">
        <v>436</v>
      </c>
      <c r="J82" t="s">
        <v>437</v>
      </c>
      <c r="K82" t="s">
        <v>438</v>
      </c>
      <c r="L82">
        <v>1367</v>
      </c>
      <c r="N82">
        <v>1011</v>
      </c>
      <c r="O82" t="s">
        <v>378</v>
      </c>
      <c r="P82" t="s">
        <v>378</v>
      </c>
      <c r="Q82">
        <v>1</v>
      </c>
      <c r="X82">
        <v>0.5</v>
      </c>
      <c r="Y82">
        <v>0</v>
      </c>
      <c r="Z82">
        <v>115.4</v>
      </c>
      <c r="AA82">
        <v>13.5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0.5</v>
      </c>
      <c r="AH82">
        <v>2</v>
      </c>
      <c r="AI82">
        <v>145263178</v>
      </c>
      <c r="AJ82">
        <v>72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ROW(Source!A85)</f>
        <v>85</v>
      </c>
      <c r="B83">
        <v>145263193</v>
      </c>
      <c r="C83">
        <v>145263175</v>
      </c>
      <c r="D83">
        <v>140923088</v>
      </c>
      <c r="E83">
        <v>1</v>
      </c>
      <c r="F83">
        <v>1</v>
      </c>
      <c r="G83">
        <v>1</v>
      </c>
      <c r="H83">
        <v>2</v>
      </c>
      <c r="I83" t="s">
        <v>494</v>
      </c>
      <c r="J83" t="s">
        <v>495</v>
      </c>
      <c r="K83" t="s">
        <v>496</v>
      </c>
      <c r="L83">
        <v>1367</v>
      </c>
      <c r="N83">
        <v>1011</v>
      </c>
      <c r="O83" t="s">
        <v>378</v>
      </c>
      <c r="P83" t="s">
        <v>378</v>
      </c>
      <c r="Q83">
        <v>1</v>
      </c>
      <c r="X83">
        <v>1.37</v>
      </c>
      <c r="Y83">
        <v>0</v>
      </c>
      <c r="Z83">
        <v>6.9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3</v>
      </c>
      <c r="AG83">
        <v>1.37</v>
      </c>
      <c r="AH83">
        <v>2</v>
      </c>
      <c r="AI83">
        <v>145263179</v>
      </c>
      <c r="AJ83">
        <v>73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ROW(Source!A85)</f>
        <v>85</v>
      </c>
      <c r="B84">
        <v>145263194</v>
      </c>
      <c r="C84">
        <v>145263175</v>
      </c>
      <c r="D84">
        <v>140923886</v>
      </c>
      <c r="E84">
        <v>1</v>
      </c>
      <c r="F84">
        <v>1</v>
      </c>
      <c r="G84">
        <v>1</v>
      </c>
      <c r="H84">
        <v>2</v>
      </c>
      <c r="I84" t="s">
        <v>497</v>
      </c>
      <c r="J84" t="s">
        <v>498</v>
      </c>
      <c r="K84" t="s">
        <v>499</v>
      </c>
      <c r="L84">
        <v>1367</v>
      </c>
      <c r="N84">
        <v>1011</v>
      </c>
      <c r="O84" t="s">
        <v>378</v>
      </c>
      <c r="P84" t="s">
        <v>378</v>
      </c>
      <c r="Q84">
        <v>1</v>
      </c>
      <c r="X84">
        <v>0.5</v>
      </c>
      <c r="Y84">
        <v>0</v>
      </c>
      <c r="Z84">
        <v>85.84</v>
      </c>
      <c r="AA84">
        <v>11.6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0.5</v>
      </c>
      <c r="AH84">
        <v>2</v>
      </c>
      <c r="AI84">
        <v>145263180</v>
      </c>
      <c r="AJ84">
        <v>74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ROW(Source!A85)</f>
        <v>85</v>
      </c>
      <c r="B85">
        <v>145263195</v>
      </c>
      <c r="C85">
        <v>145263175</v>
      </c>
      <c r="D85">
        <v>140924028</v>
      </c>
      <c r="E85">
        <v>1</v>
      </c>
      <c r="F85">
        <v>1</v>
      </c>
      <c r="G85">
        <v>1</v>
      </c>
      <c r="H85">
        <v>2</v>
      </c>
      <c r="I85" t="s">
        <v>500</v>
      </c>
      <c r="J85" t="s">
        <v>501</v>
      </c>
      <c r="K85" t="s">
        <v>502</v>
      </c>
      <c r="L85">
        <v>1367</v>
      </c>
      <c r="N85">
        <v>1011</v>
      </c>
      <c r="O85" t="s">
        <v>378</v>
      </c>
      <c r="P85" t="s">
        <v>378</v>
      </c>
      <c r="Q85">
        <v>1</v>
      </c>
      <c r="X85">
        <v>66.3</v>
      </c>
      <c r="Y85">
        <v>0</v>
      </c>
      <c r="Z85">
        <v>39.49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66.3</v>
      </c>
      <c r="AH85">
        <v>2</v>
      </c>
      <c r="AI85">
        <v>145263181</v>
      </c>
      <c r="AJ85">
        <v>75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ROW(Source!A85)</f>
        <v>85</v>
      </c>
      <c r="B86">
        <v>145263196</v>
      </c>
      <c r="C86">
        <v>145263175</v>
      </c>
      <c r="D86">
        <v>140924041</v>
      </c>
      <c r="E86">
        <v>1</v>
      </c>
      <c r="F86">
        <v>1</v>
      </c>
      <c r="G86">
        <v>1</v>
      </c>
      <c r="H86">
        <v>2</v>
      </c>
      <c r="I86" t="s">
        <v>445</v>
      </c>
      <c r="J86" t="s">
        <v>446</v>
      </c>
      <c r="K86" t="s">
        <v>447</v>
      </c>
      <c r="L86">
        <v>1367</v>
      </c>
      <c r="N86">
        <v>1011</v>
      </c>
      <c r="O86" t="s">
        <v>378</v>
      </c>
      <c r="P86" t="s">
        <v>378</v>
      </c>
      <c r="Q86">
        <v>1</v>
      </c>
      <c r="X86">
        <v>1.8</v>
      </c>
      <c r="Y86">
        <v>0</v>
      </c>
      <c r="Z86">
        <v>1.2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1.8</v>
      </c>
      <c r="AH86">
        <v>2</v>
      </c>
      <c r="AI86">
        <v>145263182</v>
      </c>
      <c r="AJ86">
        <v>76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ROW(Source!A85)</f>
        <v>85</v>
      </c>
      <c r="B87">
        <v>145263197</v>
      </c>
      <c r="C87">
        <v>145263175</v>
      </c>
      <c r="D87">
        <v>140924589</v>
      </c>
      <c r="E87">
        <v>1</v>
      </c>
      <c r="F87">
        <v>1</v>
      </c>
      <c r="G87">
        <v>1</v>
      </c>
      <c r="H87">
        <v>2</v>
      </c>
      <c r="I87" t="s">
        <v>503</v>
      </c>
      <c r="J87" t="s">
        <v>504</v>
      </c>
      <c r="K87" t="s">
        <v>505</v>
      </c>
      <c r="L87">
        <v>1367</v>
      </c>
      <c r="N87">
        <v>1011</v>
      </c>
      <c r="O87" t="s">
        <v>378</v>
      </c>
      <c r="P87" t="s">
        <v>378</v>
      </c>
      <c r="Q87">
        <v>1</v>
      </c>
      <c r="X87">
        <v>2.1</v>
      </c>
      <c r="Y87">
        <v>0</v>
      </c>
      <c r="Z87">
        <v>70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2.1</v>
      </c>
      <c r="AH87">
        <v>2</v>
      </c>
      <c r="AI87">
        <v>145263183</v>
      </c>
      <c r="AJ87">
        <v>77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ROW(Source!A85)</f>
        <v>85</v>
      </c>
      <c r="B88">
        <v>145263198</v>
      </c>
      <c r="C88">
        <v>145263175</v>
      </c>
      <c r="D88">
        <v>140924614</v>
      </c>
      <c r="E88">
        <v>1</v>
      </c>
      <c r="F88">
        <v>1</v>
      </c>
      <c r="G88">
        <v>1</v>
      </c>
      <c r="H88">
        <v>2</v>
      </c>
      <c r="I88" t="s">
        <v>506</v>
      </c>
      <c r="J88" t="s">
        <v>507</v>
      </c>
      <c r="K88" t="s">
        <v>508</v>
      </c>
      <c r="L88">
        <v>1367</v>
      </c>
      <c r="N88">
        <v>1011</v>
      </c>
      <c r="O88" t="s">
        <v>378</v>
      </c>
      <c r="P88" t="s">
        <v>378</v>
      </c>
      <c r="Q88">
        <v>1</v>
      </c>
      <c r="X88">
        <v>3</v>
      </c>
      <c r="Y88">
        <v>0</v>
      </c>
      <c r="Z88">
        <v>56.24</v>
      </c>
      <c r="AA88">
        <v>10.06</v>
      </c>
      <c r="AB88">
        <v>0</v>
      </c>
      <c r="AC88">
        <v>0</v>
      </c>
      <c r="AD88">
        <v>1</v>
      </c>
      <c r="AE88">
        <v>0</v>
      </c>
      <c r="AF88" t="s">
        <v>3</v>
      </c>
      <c r="AG88">
        <v>3</v>
      </c>
      <c r="AH88">
        <v>2</v>
      </c>
      <c r="AI88">
        <v>145263184</v>
      </c>
      <c r="AJ88">
        <v>78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ROW(Source!A85)</f>
        <v>85</v>
      </c>
      <c r="B89">
        <v>145263199</v>
      </c>
      <c r="C89">
        <v>145263175</v>
      </c>
      <c r="D89">
        <v>140924705</v>
      </c>
      <c r="E89">
        <v>1</v>
      </c>
      <c r="F89">
        <v>1</v>
      </c>
      <c r="G89">
        <v>1</v>
      </c>
      <c r="H89">
        <v>2</v>
      </c>
      <c r="I89" t="s">
        <v>509</v>
      </c>
      <c r="J89" t="s">
        <v>510</v>
      </c>
      <c r="K89" t="s">
        <v>511</v>
      </c>
      <c r="L89">
        <v>1367</v>
      </c>
      <c r="N89">
        <v>1011</v>
      </c>
      <c r="O89" t="s">
        <v>378</v>
      </c>
      <c r="P89" t="s">
        <v>378</v>
      </c>
      <c r="Q89">
        <v>1</v>
      </c>
      <c r="X89">
        <v>1.4</v>
      </c>
      <c r="Y89">
        <v>0</v>
      </c>
      <c r="Z89">
        <v>14.38</v>
      </c>
      <c r="AA89">
        <v>0</v>
      </c>
      <c r="AB89">
        <v>0</v>
      </c>
      <c r="AC89">
        <v>0</v>
      </c>
      <c r="AD89">
        <v>1</v>
      </c>
      <c r="AE89">
        <v>0</v>
      </c>
      <c r="AF89" t="s">
        <v>3</v>
      </c>
      <c r="AG89">
        <v>1.4</v>
      </c>
      <c r="AH89">
        <v>2</v>
      </c>
      <c r="AI89">
        <v>145263185</v>
      </c>
      <c r="AJ89">
        <v>79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ROW(Source!A85)</f>
        <v>85</v>
      </c>
      <c r="B90">
        <v>145263200</v>
      </c>
      <c r="C90">
        <v>145263175</v>
      </c>
      <c r="D90">
        <v>140771005</v>
      </c>
      <c r="E90">
        <v>1</v>
      </c>
      <c r="F90">
        <v>1</v>
      </c>
      <c r="G90">
        <v>1</v>
      </c>
      <c r="H90">
        <v>3</v>
      </c>
      <c r="I90" t="s">
        <v>451</v>
      </c>
      <c r="J90" t="s">
        <v>452</v>
      </c>
      <c r="K90" t="s">
        <v>453</v>
      </c>
      <c r="L90">
        <v>1339</v>
      </c>
      <c r="N90">
        <v>1007</v>
      </c>
      <c r="O90" t="s">
        <v>404</v>
      </c>
      <c r="P90" t="s">
        <v>404</v>
      </c>
      <c r="Q90">
        <v>1</v>
      </c>
      <c r="X90">
        <v>1.1000000000000001</v>
      </c>
      <c r="Y90">
        <v>6.22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0</v>
      </c>
      <c r="AF90" t="s">
        <v>3</v>
      </c>
      <c r="AG90">
        <v>1.1000000000000001</v>
      </c>
      <c r="AH90">
        <v>2</v>
      </c>
      <c r="AI90">
        <v>145263186</v>
      </c>
      <c r="AJ90">
        <v>80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ROW(Source!A85)</f>
        <v>85</v>
      </c>
      <c r="B91">
        <v>145263201</v>
      </c>
      <c r="C91">
        <v>145263175</v>
      </c>
      <c r="D91">
        <v>140771011</v>
      </c>
      <c r="E91">
        <v>1</v>
      </c>
      <c r="F91">
        <v>1</v>
      </c>
      <c r="G91">
        <v>1</v>
      </c>
      <c r="H91">
        <v>3</v>
      </c>
      <c r="I91" t="s">
        <v>454</v>
      </c>
      <c r="J91" t="s">
        <v>455</v>
      </c>
      <c r="K91" t="s">
        <v>456</v>
      </c>
      <c r="L91">
        <v>1346</v>
      </c>
      <c r="N91">
        <v>1009</v>
      </c>
      <c r="O91" t="s">
        <v>457</v>
      </c>
      <c r="P91" t="s">
        <v>457</v>
      </c>
      <c r="Q91">
        <v>1</v>
      </c>
      <c r="X91">
        <v>0.3</v>
      </c>
      <c r="Y91">
        <v>6.09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0.3</v>
      </c>
      <c r="AH91">
        <v>2</v>
      </c>
      <c r="AI91">
        <v>145263187</v>
      </c>
      <c r="AJ91">
        <v>81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ROW(Source!A85)</f>
        <v>85</v>
      </c>
      <c r="B92">
        <v>145263202</v>
      </c>
      <c r="C92">
        <v>145263175</v>
      </c>
      <c r="D92">
        <v>140773788</v>
      </c>
      <c r="E92">
        <v>1</v>
      </c>
      <c r="F92">
        <v>1</v>
      </c>
      <c r="G92">
        <v>1</v>
      </c>
      <c r="H92">
        <v>3</v>
      </c>
      <c r="I92" t="s">
        <v>512</v>
      </c>
      <c r="J92" t="s">
        <v>513</v>
      </c>
      <c r="K92" t="s">
        <v>514</v>
      </c>
      <c r="L92">
        <v>1348</v>
      </c>
      <c r="N92">
        <v>1009</v>
      </c>
      <c r="O92" t="s">
        <v>206</v>
      </c>
      <c r="P92" t="s">
        <v>206</v>
      </c>
      <c r="Q92">
        <v>1000</v>
      </c>
      <c r="X92">
        <v>4.7600000000000003E-2</v>
      </c>
      <c r="Y92">
        <v>9765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4.7600000000000003E-2</v>
      </c>
      <c r="AH92">
        <v>2</v>
      </c>
      <c r="AI92">
        <v>145263188</v>
      </c>
      <c r="AJ92">
        <v>82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ROW(Source!A85)</f>
        <v>85</v>
      </c>
      <c r="B93">
        <v>145263203</v>
      </c>
      <c r="C93">
        <v>145263175</v>
      </c>
      <c r="D93">
        <v>140765022</v>
      </c>
      <c r="E93">
        <v>70</v>
      </c>
      <c r="F93">
        <v>1</v>
      </c>
      <c r="G93">
        <v>1</v>
      </c>
      <c r="H93">
        <v>3</v>
      </c>
      <c r="I93" t="s">
        <v>515</v>
      </c>
      <c r="J93" t="s">
        <v>3</v>
      </c>
      <c r="K93" t="s">
        <v>516</v>
      </c>
      <c r="L93">
        <v>1374</v>
      </c>
      <c r="N93">
        <v>1013</v>
      </c>
      <c r="O93" t="s">
        <v>517</v>
      </c>
      <c r="P93" t="s">
        <v>517</v>
      </c>
      <c r="Q93">
        <v>1</v>
      </c>
      <c r="X93">
        <v>36.47</v>
      </c>
      <c r="Y93">
        <v>1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36.47</v>
      </c>
      <c r="AH93">
        <v>2</v>
      </c>
      <c r="AI93">
        <v>145263189</v>
      </c>
      <c r="AJ93">
        <v>83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ROW(Source!A87)</f>
        <v>87</v>
      </c>
      <c r="B94">
        <v>145263215</v>
      </c>
      <c r="C94">
        <v>145263205</v>
      </c>
      <c r="D94">
        <v>140760001</v>
      </c>
      <c r="E94">
        <v>70</v>
      </c>
      <c r="F94">
        <v>1</v>
      </c>
      <c r="G94">
        <v>1</v>
      </c>
      <c r="H94">
        <v>1</v>
      </c>
      <c r="I94" t="s">
        <v>379</v>
      </c>
      <c r="J94" t="s">
        <v>3</v>
      </c>
      <c r="K94" t="s">
        <v>380</v>
      </c>
      <c r="L94">
        <v>1191</v>
      </c>
      <c r="N94">
        <v>1013</v>
      </c>
      <c r="O94" t="s">
        <v>374</v>
      </c>
      <c r="P94" t="s">
        <v>374</v>
      </c>
      <c r="Q94">
        <v>1</v>
      </c>
      <c r="X94">
        <v>41.72</v>
      </c>
      <c r="Y94">
        <v>0</v>
      </c>
      <c r="Z94">
        <v>0</v>
      </c>
      <c r="AA94">
        <v>0</v>
      </c>
      <c r="AB94">
        <v>9.07</v>
      </c>
      <c r="AC94">
        <v>0</v>
      </c>
      <c r="AD94">
        <v>1</v>
      </c>
      <c r="AE94">
        <v>1</v>
      </c>
      <c r="AF94" t="s">
        <v>172</v>
      </c>
      <c r="AG94">
        <v>51.576349999999991</v>
      </c>
      <c r="AH94">
        <v>2</v>
      </c>
      <c r="AI94">
        <v>145263206</v>
      </c>
      <c r="AJ94">
        <v>84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ROW(Source!A87)</f>
        <v>87</v>
      </c>
      <c r="B95">
        <v>145263216</v>
      </c>
      <c r="C95">
        <v>145263205</v>
      </c>
      <c r="D95">
        <v>140760225</v>
      </c>
      <c r="E95">
        <v>70</v>
      </c>
      <c r="F95">
        <v>1</v>
      </c>
      <c r="G95">
        <v>1</v>
      </c>
      <c r="H95">
        <v>1</v>
      </c>
      <c r="I95" t="s">
        <v>381</v>
      </c>
      <c r="J95" t="s">
        <v>3</v>
      </c>
      <c r="K95" t="s">
        <v>382</v>
      </c>
      <c r="L95">
        <v>1191</v>
      </c>
      <c r="N95">
        <v>1013</v>
      </c>
      <c r="O95" t="s">
        <v>374</v>
      </c>
      <c r="P95" t="s">
        <v>374</v>
      </c>
      <c r="Q95">
        <v>1</v>
      </c>
      <c r="X95">
        <v>0.34</v>
      </c>
      <c r="Y95">
        <v>0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2</v>
      </c>
      <c r="AF95" t="s">
        <v>148</v>
      </c>
      <c r="AG95">
        <v>0.42500000000000004</v>
      </c>
      <c r="AH95">
        <v>2</v>
      </c>
      <c r="AI95">
        <v>145263207</v>
      </c>
      <c r="AJ95">
        <v>85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ROW(Source!A87)</f>
        <v>87</v>
      </c>
      <c r="B96">
        <v>145263217</v>
      </c>
      <c r="C96">
        <v>145263205</v>
      </c>
      <c r="D96">
        <v>140922951</v>
      </c>
      <c r="E96">
        <v>1</v>
      </c>
      <c r="F96">
        <v>1</v>
      </c>
      <c r="G96">
        <v>1</v>
      </c>
      <c r="H96">
        <v>2</v>
      </c>
      <c r="I96" t="s">
        <v>436</v>
      </c>
      <c r="J96" t="s">
        <v>437</v>
      </c>
      <c r="K96" t="s">
        <v>438</v>
      </c>
      <c r="L96">
        <v>1367</v>
      </c>
      <c r="N96">
        <v>1011</v>
      </c>
      <c r="O96" t="s">
        <v>378</v>
      </c>
      <c r="P96" t="s">
        <v>378</v>
      </c>
      <c r="Q96">
        <v>1</v>
      </c>
      <c r="X96">
        <v>8.3000000000000004E-2</v>
      </c>
      <c r="Y96">
        <v>0</v>
      </c>
      <c r="Z96">
        <v>115.4</v>
      </c>
      <c r="AA96">
        <v>13.5</v>
      </c>
      <c r="AB96">
        <v>0</v>
      </c>
      <c r="AC96">
        <v>0</v>
      </c>
      <c r="AD96">
        <v>1</v>
      </c>
      <c r="AE96">
        <v>0</v>
      </c>
      <c r="AF96" t="s">
        <v>148</v>
      </c>
      <c r="AG96">
        <v>0.10375000000000001</v>
      </c>
      <c r="AH96">
        <v>2</v>
      </c>
      <c r="AI96">
        <v>145263208</v>
      </c>
      <c r="AJ96">
        <v>86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ROW(Source!A87)</f>
        <v>87</v>
      </c>
      <c r="B97">
        <v>145263218</v>
      </c>
      <c r="C97">
        <v>145263205</v>
      </c>
      <c r="D97">
        <v>140923142</v>
      </c>
      <c r="E97">
        <v>1</v>
      </c>
      <c r="F97">
        <v>1</v>
      </c>
      <c r="G97">
        <v>1</v>
      </c>
      <c r="H97">
        <v>2</v>
      </c>
      <c r="I97" t="s">
        <v>486</v>
      </c>
      <c r="J97" t="s">
        <v>487</v>
      </c>
      <c r="K97" t="s">
        <v>488</v>
      </c>
      <c r="L97">
        <v>1367</v>
      </c>
      <c r="N97">
        <v>1011</v>
      </c>
      <c r="O97" t="s">
        <v>378</v>
      </c>
      <c r="P97" t="s">
        <v>378</v>
      </c>
      <c r="Q97">
        <v>1</v>
      </c>
      <c r="X97">
        <v>8.3000000000000004E-2</v>
      </c>
      <c r="Y97">
        <v>0</v>
      </c>
      <c r="Z97">
        <v>24.33</v>
      </c>
      <c r="AA97">
        <v>10.06</v>
      </c>
      <c r="AB97">
        <v>0</v>
      </c>
      <c r="AC97">
        <v>0</v>
      </c>
      <c r="AD97">
        <v>1</v>
      </c>
      <c r="AE97">
        <v>0</v>
      </c>
      <c r="AF97" t="s">
        <v>148</v>
      </c>
      <c r="AG97">
        <v>0.10375000000000001</v>
      </c>
      <c r="AH97">
        <v>2</v>
      </c>
      <c r="AI97">
        <v>145263209</v>
      </c>
      <c r="AJ97">
        <v>87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ROW(Source!A87)</f>
        <v>87</v>
      </c>
      <c r="B98">
        <v>145263219</v>
      </c>
      <c r="C98">
        <v>145263205</v>
      </c>
      <c r="D98">
        <v>140923885</v>
      </c>
      <c r="E98">
        <v>1</v>
      </c>
      <c r="F98">
        <v>1</v>
      </c>
      <c r="G98">
        <v>1</v>
      </c>
      <c r="H98">
        <v>2</v>
      </c>
      <c r="I98" t="s">
        <v>386</v>
      </c>
      <c r="J98" t="s">
        <v>387</v>
      </c>
      <c r="K98" t="s">
        <v>388</v>
      </c>
      <c r="L98">
        <v>1367</v>
      </c>
      <c r="N98">
        <v>1011</v>
      </c>
      <c r="O98" t="s">
        <v>378</v>
      </c>
      <c r="P98" t="s">
        <v>378</v>
      </c>
      <c r="Q98">
        <v>1</v>
      </c>
      <c r="X98">
        <v>0.17</v>
      </c>
      <c r="Y98">
        <v>0</v>
      </c>
      <c r="Z98">
        <v>65.709999999999994</v>
      </c>
      <c r="AA98">
        <v>11.6</v>
      </c>
      <c r="AB98">
        <v>0</v>
      </c>
      <c r="AC98">
        <v>0</v>
      </c>
      <c r="AD98">
        <v>1</v>
      </c>
      <c r="AE98">
        <v>0</v>
      </c>
      <c r="AF98" t="s">
        <v>148</v>
      </c>
      <c r="AG98">
        <v>0.21250000000000002</v>
      </c>
      <c r="AH98">
        <v>2</v>
      </c>
      <c r="AI98">
        <v>145263210</v>
      </c>
      <c r="AJ98">
        <v>88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ROW(Source!A87)</f>
        <v>87</v>
      </c>
      <c r="B99">
        <v>145263220</v>
      </c>
      <c r="C99">
        <v>145263205</v>
      </c>
      <c r="D99">
        <v>140775481</v>
      </c>
      <c r="E99">
        <v>1</v>
      </c>
      <c r="F99">
        <v>1</v>
      </c>
      <c r="G99">
        <v>1</v>
      </c>
      <c r="H99">
        <v>3</v>
      </c>
      <c r="I99" t="s">
        <v>518</v>
      </c>
      <c r="J99" t="s">
        <v>519</v>
      </c>
      <c r="K99" t="s">
        <v>520</v>
      </c>
      <c r="L99">
        <v>1425</v>
      </c>
      <c r="N99">
        <v>1013</v>
      </c>
      <c r="O99" t="s">
        <v>35</v>
      </c>
      <c r="P99" t="s">
        <v>35</v>
      </c>
      <c r="Q99">
        <v>1</v>
      </c>
      <c r="X99">
        <v>1.33</v>
      </c>
      <c r="Y99">
        <v>10</v>
      </c>
      <c r="Z99">
        <v>0</v>
      </c>
      <c r="AA99">
        <v>0</v>
      </c>
      <c r="AB99">
        <v>0</v>
      </c>
      <c r="AC99">
        <v>0</v>
      </c>
      <c r="AD99">
        <v>1</v>
      </c>
      <c r="AE99">
        <v>0</v>
      </c>
      <c r="AF99" t="s">
        <v>3</v>
      </c>
      <c r="AG99">
        <v>1.33</v>
      </c>
      <c r="AH99">
        <v>2</v>
      </c>
      <c r="AI99">
        <v>145263211</v>
      </c>
      <c r="AJ99">
        <v>89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ROW(Source!A87)</f>
        <v>87</v>
      </c>
      <c r="B100">
        <v>145263221</v>
      </c>
      <c r="C100">
        <v>145263205</v>
      </c>
      <c r="D100">
        <v>140775538</v>
      </c>
      <c r="E100">
        <v>1</v>
      </c>
      <c r="F100">
        <v>1</v>
      </c>
      <c r="G100">
        <v>1</v>
      </c>
      <c r="H100">
        <v>3</v>
      </c>
      <c r="I100" t="s">
        <v>521</v>
      </c>
      <c r="J100" t="s">
        <v>522</v>
      </c>
      <c r="K100" t="s">
        <v>523</v>
      </c>
      <c r="L100">
        <v>1348</v>
      </c>
      <c r="N100">
        <v>1009</v>
      </c>
      <c r="O100" t="s">
        <v>206</v>
      </c>
      <c r="P100" t="s">
        <v>206</v>
      </c>
      <c r="Q100">
        <v>1000</v>
      </c>
      <c r="X100">
        <v>5.0000000000000002E-5</v>
      </c>
      <c r="Y100">
        <v>21828.720000000001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5.0000000000000002E-5</v>
      </c>
      <c r="AH100">
        <v>2</v>
      </c>
      <c r="AI100">
        <v>145263212</v>
      </c>
      <c r="AJ100">
        <v>90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ROW(Source!A87)</f>
        <v>87</v>
      </c>
      <c r="B101">
        <v>145263222</v>
      </c>
      <c r="C101">
        <v>145263205</v>
      </c>
      <c r="D101">
        <v>140762126</v>
      </c>
      <c r="E101">
        <v>70</v>
      </c>
      <c r="F101">
        <v>1</v>
      </c>
      <c r="G101">
        <v>1</v>
      </c>
      <c r="H101">
        <v>3</v>
      </c>
      <c r="I101" t="s">
        <v>222</v>
      </c>
      <c r="J101" t="s">
        <v>3</v>
      </c>
      <c r="K101" t="s">
        <v>223</v>
      </c>
      <c r="L101">
        <v>1301</v>
      </c>
      <c r="N101">
        <v>1003</v>
      </c>
      <c r="O101" t="s">
        <v>181</v>
      </c>
      <c r="P101" t="s">
        <v>181</v>
      </c>
      <c r="Q101">
        <v>1</v>
      </c>
      <c r="X101">
        <v>96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 t="s">
        <v>3</v>
      </c>
      <c r="AG101">
        <v>96</v>
      </c>
      <c r="AH101">
        <v>2</v>
      </c>
      <c r="AI101">
        <v>145263213</v>
      </c>
      <c r="AJ101">
        <v>91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ROW(Source!A87)</f>
        <v>87</v>
      </c>
      <c r="B102">
        <v>145263223</v>
      </c>
      <c r="C102">
        <v>145263205</v>
      </c>
      <c r="D102">
        <v>140798682</v>
      </c>
      <c r="E102">
        <v>1</v>
      </c>
      <c r="F102">
        <v>1</v>
      </c>
      <c r="G102">
        <v>1</v>
      </c>
      <c r="H102">
        <v>3</v>
      </c>
      <c r="I102" t="s">
        <v>589</v>
      </c>
      <c r="J102" t="s">
        <v>590</v>
      </c>
      <c r="K102" t="s">
        <v>591</v>
      </c>
      <c r="L102">
        <v>1371</v>
      </c>
      <c r="N102">
        <v>1013</v>
      </c>
      <c r="O102" t="s">
        <v>162</v>
      </c>
      <c r="P102" t="s">
        <v>162</v>
      </c>
      <c r="Q102">
        <v>1</v>
      </c>
      <c r="X102">
        <v>0</v>
      </c>
      <c r="Y102">
        <v>166.7</v>
      </c>
      <c r="Z102">
        <v>0</v>
      </c>
      <c r="AA102">
        <v>0</v>
      </c>
      <c r="AB102">
        <v>0</v>
      </c>
      <c r="AC102">
        <v>1</v>
      </c>
      <c r="AD102">
        <v>0</v>
      </c>
      <c r="AE102">
        <v>0</v>
      </c>
      <c r="AF102" t="s">
        <v>3</v>
      </c>
      <c r="AG102">
        <v>0</v>
      </c>
      <c r="AH102">
        <v>3</v>
      </c>
      <c r="AI102">
        <v>-1</v>
      </c>
      <c r="AJ102" t="s">
        <v>3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ROW(Source!A87)</f>
        <v>87</v>
      </c>
      <c r="B103">
        <v>145263224</v>
      </c>
      <c r="C103">
        <v>145263205</v>
      </c>
      <c r="D103">
        <v>140798715</v>
      </c>
      <c r="E103">
        <v>1</v>
      </c>
      <c r="F103">
        <v>1</v>
      </c>
      <c r="G103">
        <v>1</v>
      </c>
      <c r="H103">
        <v>3</v>
      </c>
      <c r="I103" t="s">
        <v>225</v>
      </c>
      <c r="J103" t="s">
        <v>227</v>
      </c>
      <c r="K103" t="s">
        <v>226</v>
      </c>
      <c r="L103">
        <v>1371</v>
      </c>
      <c r="N103">
        <v>1013</v>
      </c>
      <c r="O103" t="s">
        <v>162</v>
      </c>
      <c r="P103" t="s">
        <v>162</v>
      </c>
      <c r="Q103">
        <v>1</v>
      </c>
      <c r="X103">
        <v>67</v>
      </c>
      <c r="Y103">
        <v>126.21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3</v>
      </c>
      <c r="AG103">
        <v>67</v>
      </c>
      <c r="AH103">
        <v>2</v>
      </c>
      <c r="AI103">
        <v>145263214</v>
      </c>
      <c r="AJ103">
        <v>92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ROW(Source!A93)</f>
        <v>93</v>
      </c>
      <c r="B104">
        <v>145263238</v>
      </c>
      <c r="C104">
        <v>145263230</v>
      </c>
      <c r="D104">
        <v>140759979</v>
      </c>
      <c r="E104">
        <v>70</v>
      </c>
      <c r="F104">
        <v>1</v>
      </c>
      <c r="G104">
        <v>1</v>
      </c>
      <c r="H104">
        <v>1</v>
      </c>
      <c r="I104" t="s">
        <v>524</v>
      </c>
      <c r="J104" t="s">
        <v>3</v>
      </c>
      <c r="K104" t="s">
        <v>525</v>
      </c>
      <c r="L104">
        <v>1191</v>
      </c>
      <c r="N104">
        <v>1013</v>
      </c>
      <c r="O104" t="s">
        <v>374</v>
      </c>
      <c r="P104" t="s">
        <v>374</v>
      </c>
      <c r="Q104">
        <v>1</v>
      </c>
      <c r="X104">
        <v>97.2</v>
      </c>
      <c r="Y104">
        <v>0</v>
      </c>
      <c r="Z104">
        <v>0</v>
      </c>
      <c r="AA104">
        <v>0</v>
      </c>
      <c r="AB104">
        <v>8.5299999999999994</v>
      </c>
      <c r="AC104">
        <v>0</v>
      </c>
      <c r="AD104">
        <v>1</v>
      </c>
      <c r="AE104">
        <v>1</v>
      </c>
      <c r="AF104" t="s">
        <v>172</v>
      </c>
      <c r="AG104">
        <v>120.16349999999998</v>
      </c>
      <c r="AH104">
        <v>2</v>
      </c>
      <c r="AI104">
        <v>145263231</v>
      </c>
      <c r="AJ104">
        <v>93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ROW(Source!A93)</f>
        <v>93</v>
      </c>
      <c r="B105">
        <v>145263239</v>
      </c>
      <c r="C105">
        <v>145263230</v>
      </c>
      <c r="D105">
        <v>140760225</v>
      </c>
      <c r="E105">
        <v>70</v>
      </c>
      <c r="F105">
        <v>1</v>
      </c>
      <c r="G105">
        <v>1</v>
      </c>
      <c r="H105">
        <v>1</v>
      </c>
      <c r="I105" t="s">
        <v>381</v>
      </c>
      <c r="J105" t="s">
        <v>3</v>
      </c>
      <c r="K105" t="s">
        <v>382</v>
      </c>
      <c r="L105">
        <v>1191</v>
      </c>
      <c r="N105">
        <v>1013</v>
      </c>
      <c r="O105" t="s">
        <v>374</v>
      </c>
      <c r="P105" t="s">
        <v>374</v>
      </c>
      <c r="Q105">
        <v>1</v>
      </c>
      <c r="X105">
        <v>0.27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2</v>
      </c>
      <c r="AF105" t="s">
        <v>148</v>
      </c>
      <c r="AG105">
        <v>0.33750000000000002</v>
      </c>
      <c r="AH105">
        <v>2</v>
      </c>
      <c r="AI105">
        <v>145263232</v>
      </c>
      <c r="AJ105">
        <v>94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ROW(Source!A93)</f>
        <v>93</v>
      </c>
      <c r="B106">
        <v>145263240</v>
      </c>
      <c r="C106">
        <v>145263230</v>
      </c>
      <c r="D106">
        <v>140922893</v>
      </c>
      <c r="E106">
        <v>1</v>
      </c>
      <c r="F106">
        <v>1</v>
      </c>
      <c r="G106">
        <v>1</v>
      </c>
      <c r="H106">
        <v>2</v>
      </c>
      <c r="I106" t="s">
        <v>428</v>
      </c>
      <c r="J106" t="s">
        <v>429</v>
      </c>
      <c r="K106" t="s">
        <v>430</v>
      </c>
      <c r="L106">
        <v>1367</v>
      </c>
      <c r="N106">
        <v>1011</v>
      </c>
      <c r="O106" t="s">
        <v>378</v>
      </c>
      <c r="P106" t="s">
        <v>378</v>
      </c>
      <c r="Q106">
        <v>1</v>
      </c>
      <c r="X106">
        <v>0.2</v>
      </c>
      <c r="Y106">
        <v>0</v>
      </c>
      <c r="Z106">
        <v>86.4</v>
      </c>
      <c r="AA106">
        <v>13.5</v>
      </c>
      <c r="AB106">
        <v>0</v>
      </c>
      <c r="AC106">
        <v>0</v>
      </c>
      <c r="AD106">
        <v>1</v>
      </c>
      <c r="AE106">
        <v>0</v>
      </c>
      <c r="AF106" t="s">
        <v>148</v>
      </c>
      <c r="AG106">
        <v>0.25</v>
      </c>
      <c r="AH106">
        <v>2</v>
      </c>
      <c r="AI106">
        <v>145263233</v>
      </c>
      <c r="AJ106">
        <v>95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ROW(Source!A93)</f>
        <v>93</v>
      </c>
      <c r="B107">
        <v>145263241</v>
      </c>
      <c r="C107">
        <v>145263230</v>
      </c>
      <c r="D107">
        <v>140923885</v>
      </c>
      <c r="E107">
        <v>1</v>
      </c>
      <c r="F107">
        <v>1</v>
      </c>
      <c r="G107">
        <v>1</v>
      </c>
      <c r="H107">
        <v>2</v>
      </c>
      <c r="I107" t="s">
        <v>386</v>
      </c>
      <c r="J107" t="s">
        <v>387</v>
      </c>
      <c r="K107" t="s">
        <v>388</v>
      </c>
      <c r="L107">
        <v>1367</v>
      </c>
      <c r="N107">
        <v>1011</v>
      </c>
      <c r="O107" t="s">
        <v>378</v>
      </c>
      <c r="P107" t="s">
        <v>378</v>
      </c>
      <c r="Q107">
        <v>1</v>
      </c>
      <c r="X107">
        <v>7.0000000000000007E-2</v>
      </c>
      <c r="Y107">
        <v>0</v>
      </c>
      <c r="Z107">
        <v>65.709999999999994</v>
      </c>
      <c r="AA107">
        <v>11.6</v>
      </c>
      <c r="AB107">
        <v>0</v>
      </c>
      <c r="AC107">
        <v>0</v>
      </c>
      <c r="AD107">
        <v>1</v>
      </c>
      <c r="AE107">
        <v>0</v>
      </c>
      <c r="AF107" t="s">
        <v>148</v>
      </c>
      <c r="AG107">
        <v>8.7500000000000008E-2</v>
      </c>
      <c r="AH107">
        <v>2</v>
      </c>
      <c r="AI107">
        <v>145263234</v>
      </c>
      <c r="AJ107">
        <v>96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ROW(Source!A93)</f>
        <v>93</v>
      </c>
      <c r="B108">
        <v>145263242</v>
      </c>
      <c r="C108">
        <v>145263230</v>
      </c>
      <c r="D108">
        <v>140775136</v>
      </c>
      <c r="E108">
        <v>1</v>
      </c>
      <c r="F108">
        <v>1</v>
      </c>
      <c r="G108">
        <v>1</v>
      </c>
      <c r="H108">
        <v>3</v>
      </c>
      <c r="I108" t="s">
        <v>526</v>
      </c>
      <c r="J108" t="s">
        <v>527</v>
      </c>
      <c r="K108" t="s">
        <v>528</v>
      </c>
      <c r="L108">
        <v>1348</v>
      </c>
      <c r="N108">
        <v>1009</v>
      </c>
      <c r="O108" t="s">
        <v>206</v>
      </c>
      <c r="P108" t="s">
        <v>206</v>
      </c>
      <c r="Q108">
        <v>1000</v>
      </c>
      <c r="X108">
        <v>4.0000000000000001E-3</v>
      </c>
      <c r="Y108">
        <v>8475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241</v>
      </c>
      <c r="AG108">
        <v>0</v>
      </c>
      <c r="AH108">
        <v>2</v>
      </c>
      <c r="AI108">
        <v>145263235</v>
      </c>
      <c r="AJ108">
        <v>97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ROW(Source!A93)</f>
        <v>93</v>
      </c>
      <c r="B109">
        <v>145263243</v>
      </c>
      <c r="C109">
        <v>145263230</v>
      </c>
      <c r="D109">
        <v>140792325</v>
      </c>
      <c r="E109">
        <v>1</v>
      </c>
      <c r="F109">
        <v>1</v>
      </c>
      <c r="G109">
        <v>1</v>
      </c>
      <c r="H109">
        <v>3</v>
      </c>
      <c r="I109" t="s">
        <v>529</v>
      </c>
      <c r="J109" t="s">
        <v>530</v>
      </c>
      <c r="K109" t="s">
        <v>531</v>
      </c>
      <c r="L109">
        <v>1348</v>
      </c>
      <c r="N109">
        <v>1009</v>
      </c>
      <c r="O109" t="s">
        <v>206</v>
      </c>
      <c r="P109" t="s">
        <v>206</v>
      </c>
      <c r="Q109">
        <v>1000</v>
      </c>
      <c r="X109">
        <v>1.2E-2</v>
      </c>
      <c r="Y109">
        <v>8190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0</v>
      </c>
      <c r="AF109" t="s">
        <v>241</v>
      </c>
      <c r="AG109">
        <v>0</v>
      </c>
      <c r="AH109">
        <v>2</v>
      </c>
      <c r="AI109">
        <v>145263236</v>
      </c>
      <c r="AJ109">
        <v>98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ROW(Source!A93)</f>
        <v>93</v>
      </c>
      <c r="B110">
        <v>145263244</v>
      </c>
      <c r="C110">
        <v>145263230</v>
      </c>
      <c r="D110">
        <v>140792570</v>
      </c>
      <c r="E110">
        <v>1</v>
      </c>
      <c r="F110">
        <v>1</v>
      </c>
      <c r="G110">
        <v>1</v>
      </c>
      <c r="H110">
        <v>3</v>
      </c>
      <c r="I110" t="s">
        <v>532</v>
      </c>
      <c r="J110" t="s">
        <v>533</v>
      </c>
      <c r="K110" t="s">
        <v>534</v>
      </c>
      <c r="L110">
        <v>1348</v>
      </c>
      <c r="N110">
        <v>1009</v>
      </c>
      <c r="O110" t="s">
        <v>206</v>
      </c>
      <c r="P110" t="s">
        <v>206</v>
      </c>
      <c r="Q110">
        <v>1000</v>
      </c>
      <c r="X110">
        <v>0.56999999999999995</v>
      </c>
      <c r="Y110">
        <v>11200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241</v>
      </c>
      <c r="AG110">
        <v>0</v>
      </c>
      <c r="AH110">
        <v>2</v>
      </c>
      <c r="AI110">
        <v>145263237</v>
      </c>
      <c r="AJ110">
        <v>99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ROW(Source!A99)</f>
        <v>99</v>
      </c>
      <c r="B111">
        <v>145263272</v>
      </c>
      <c r="C111">
        <v>145263250</v>
      </c>
      <c r="D111">
        <v>140759985</v>
      </c>
      <c r="E111">
        <v>70</v>
      </c>
      <c r="F111">
        <v>1</v>
      </c>
      <c r="G111">
        <v>1</v>
      </c>
      <c r="H111">
        <v>1</v>
      </c>
      <c r="I111" t="s">
        <v>431</v>
      </c>
      <c r="J111" t="s">
        <v>3</v>
      </c>
      <c r="K111" t="s">
        <v>432</v>
      </c>
      <c r="L111">
        <v>1191</v>
      </c>
      <c r="N111">
        <v>1013</v>
      </c>
      <c r="O111" t="s">
        <v>374</v>
      </c>
      <c r="P111" t="s">
        <v>374</v>
      </c>
      <c r="Q111">
        <v>1</v>
      </c>
      <c r="X111">
        <v>14.1</v>
      </c>
      <c r="Y111">
        <v>0</v>
      </c>
      <c r="Z111">
        <v>0</v>
      </c>
      <c r="AA111">
        <v>0</v>
      </c>
      <c r="AB111">
        <v>8.74</v>
      </c>
      <c r="AC111">
        <v>0</v>
      </c>
      <c r="AD111">
        <v>1</v>
      </c>
      <c r="AE111">
        <v>1</v>
      </c>
      <c r="AF111" t="s">
        <v>149</v>
      </c>
      <c r="AG111">
        <v>16.215</v>
      </c>
      <c r="AH111">
        <v>2</v>
      </c>
      <c r="AI111">
        <v>145263251</v>
      </c>
      <c r="AJ111">
        <v>100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ROW(Source!A99)</f>
        <v>99</v>
      </c>
      <c r="B112">
        <v>145263273</v>
      </c>
      <c r="C112">
        <v>145263250</v>
      </c>
      <c r="D112">
        <v>140760225</v>
      </c>
      <c r="E112">
        <v>70</v>
      </c>
      <c r="F112">
        <v>1</v>
      </c>
      <c r="G112">
        <v>1</v>
      </c>
      <c r="H112">
        <v>1</v>
      </c>
      <c r="I112" t="s">
        <v>381</v>
      </c>
      <c r="J112" t="s">
        <v>3</v>
      </c>
      <c r="K112" t="s">
        <v>382</v>
      </c>
      <c r="L112">
        <v>1191</v>
      </c>
      <c r="N112">
        <v>1013</v>
      </c>
      <c r="O112" t="s">
        <v>374</v>
      </c>
      <c r="P112" t="s">
        <v>374</v>
      </c>
      <c r="Q112">
        <v>1</v>
      </c>
      <c r="X112">
        <v>1.75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2</v>
      </c>
      <c r="AF112" t="s">
        <v>148</v>
      </c>
      <c r="AG112">
        <v>2.1875</v>
      </c>
      <c r="AH112">
        <v>2</v>
      </c>
      <c r="AI112">
        <v>145263252</v>
      </c>
      <c r="AJ112">
        <v>101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ROW(Source!A99)</f>
        <v>99</v>
      </c>
      <c r="B113">
        <v>145263274</v>
      </c>
      <c r="C113">
        <v>145263250</v>
      </c>
      <c r="D113">
        <v>140922906</v>
      </c>
      <c r="E113">
        <v>1</v>
      </c>
      <c r="F113">
        <v>1</v>
      </c>
      <c r="G113">
        <v>1</v>
      </c>
      <c r="H113">
        <v>2</v>
      </c>
      <c r="I113" t="s">
        <v>433</v>
      </c>
      <c r="J113" t="s">
        <v>434</v>
      </c>
      <c r="K113" t="s">
        <v>435</v>
      </c>
      <c r="L113">
        <v>1367</v>
      </c>
      <c r="N113">
        <v>1011</v>
      </c>
      <c r="O113" t="s">
        <v>378</v>
      </c>
      <c r="P113" t="s">
        <v>378</v>
      </c>
      <c r="Q113">
        <v>1</v>
      </c>
      <c r="X113">
        <v>0.1</v>
      </c>
      <c r="Y113">
        <v>0</v>
      </c>
      <c r="Z113">
        <v>120.24</v>
      </c>
      <c r="AA113">
        <v>15.42</v>
      </c>
      <c r="AB113">
        <v>0</v>
      </c>
      <c r="AC113">
        <v>0</v>
      </c>
      <c r="AD113">
        <v>1</v>
      </c>
      <c r="AE113">
        <v>0</v>
      </c>
      <c r="AF113" t="s">
        <v>148</v>
      </c>
      <c r="AG113">
        <v>0.125</v>
      </c>
      <c r="AH113">
        <v>2</v>
      </c>
      <c r="AI113">
        <v>145263253</v>
      </c>
      <c r="AJ113">
        <v>102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ROW(Source!A99)</f>
        <v>99</v>
      </c>
      <c r="B114">
        <v>145263275</v>
      </c>
      <c r="C114">
        <v>145263250</v>
      </c>
      <c r="D114">
        <v>140922951</v>
      </c>
      <c r="E114">
        <v>1</v>
      </c>
      <c r="F114">
        <v>1</v>
      </c>
      <c r="G114">
        <v>1</v>
      </c>
      <c r="H114">
        <v>2</v>
      </c>
      <c r="I114" t="s">
        <v>436</v>
      </c>
      <c r="J114" t="s">
        <v>437</v>
      </c>
      <c r="K114" t="s">
        <v>438</v>
      </c>
      <c r="L114">
        <v>1367</v>
      </c>
      <c r="N114">
        <v>1011</v>
      </c>
      <c r="O114" t="s">
        <v>378</v>
      </c>
      <c r="P114" t="s">
        <v>378</v>
      </c>
      <c r="Q114">
        <v>1</v>
      </c>
      <c r="X114">
        <v>0.13</v>
      </c>
      <c r="Y114">
        <v>0</v>
      </c>
      <c r="Z114">
        <v>115.4</v>
      </c>
      <c r="AA114">
        <v>13.5</v>
      </c>
      <c r="AB114">
        <v>0</v>
      </c>
      <c r="AC114">
        <v>0</v>
      </c>
      <c r="AD114">
        <v>1</v>
      </c>
      <c r="AE114">
        <v>0</v>
      </c>
      <c r="AF114" t="s">
        <v>148</v>
      </c>
      <c r="AG114">
        <v>0.16250000000000001</v>
      </c>
      <c r="AH114">
        <v>2</v>
      </c>
      <c r="AI114">
        <v>145263254</v>
      </c>
      <c r="AJ114">
        <v>103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ROW(Source!A99)</f>
        <v>99</v>
      </c>
      <c r="B115">
        <v>145263276</v>
      </c>
      <c r="C115">
        <v>145263250</v>
      </c>
      <c r="D115">
        <v>140922958</v>
      </c>
      <c r="E115">
        <v>1</v>
      </c>
      <c r="F115">
        <v>1</v>
      </c>
      <c r="G115">
        <v>1</v>
      </c>
      <c r="H115">
        <v>2</v>
      </c>
      <c r="I115" t="s">
        <v>439</v>
      </c>
      <c r="J115" t="s">
        <v>440</v>
      </c>
      <c r="K115" t="s">
        <v>441</v>
      </c>
      <c r="L115">
        <v>1367</v>
      </c>
      <c r="N115">
        <v>1011</v>
      </c>
      <c r="O115" t="s">
        <v>378</v>
      </c>
      <c r="P115" t="s">
        <v>378</v>
      </c>
      <c r="Q115">
        <v>1</v>
      </c>
      <c r="X115">
        <v>1.33</v>
      </c>
      <c r="Y115">
        <v>0</v>
      </c>
      <c r="Z115">
        <v>175.56</v>
      </c>
      <c r="AA115">
        <v>14.4</v>
      </c>
      <c r="AB115">
        <v>0</v>
      </c>
      <c r="AC115">
        <v>0</v>
      </c>
      <c r="AD115">
        <v>1</v>
      </c>
      <c r="AE115">
        <v>0</v>
      </c>
      <c r="AF115" t="s">
        <v>148</v>
      </c>
      <c r="AG115">
        <v>1.6625000000000001</v>
      </c>
      <c r="AH115">
        <v>2</v>
      </c>
      <c r="AI115">
        <v>145263255</v>
      </c>
      <c r="AJ115">
        <v>104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ROW(Source!A99)</f>
        <v>99</v>
      </c>
      <c r="B116">
        <v>145263277</v>
      </c>
      <c r="C116">
        <v>145263250</v>
      </c>
      <c r="D116">
        <v>140923885</v>
      </c>
      <c r="E116">
        <v>1</v>
      </c>
      <c r="F116">
        <v>1</v>
      </c>
      <c r="G116">
        <v>1</v>
      </c>
      <c r="H116">
        <v>2</v>
      </c>
      <c r="I116" t="s">
        <v>386</v>
      </c>
      <c r="J116" t="s">
        <v>387</v>
      </c>
      <c r="K116" t="s">
        <v>388</v>
      </c>
      <c r="L116">
        <v>1367</v>
      </c>
      <c r="N116">
        <v>1011</v>
      </c>
      <c r="O116" t="s">
        <v>378</v>
      </c>
      <c r="P116" t="s">
        <v>378</v>
      </c>
      <c r="Q116">
        <v>1</v>
      </c>
      <c r="X116">
        <v>0.19</v>
      </c>
      <c r="Y116">
        <v>0</v>
      </c>
      <c r="Z116">
        <v>65.709999999999994</v>
      </c>
      <c r="AA116">
        <v>11.6</v>
      </c>
      <c r="AB116">
        <v>0</v>
      </c>
      <c r="AC116">
        <v>0</v>
      </c>
      <c r="AD116">
        <v>1</v>
      </c>
      <c r="AE116">
        <v>0</v>
      </c>
      <c r="AF116" t="s">
        <v>148</v>
      </c>
      <c r="AG116">
        <v>0.23749999999999999</v>
      </c>
      <c r="AH116">
        <v>2</v>
      </c>
      <c r="AI116">
        <v>145263256</v>
      </c>
      <c r="AJ116">
        <v>105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ROW(Source!A99)</f>
        <v>99</v>
      </c>
      <c r="B117">
        <v>145263278</v>
      </c>
      <c r="C117">
        <v>145263250</v>
      </c>
      <c r="D117">
        <v>140924041</v>
      </c>
      <c r="E117">
        <v>1</v>
      </c>
      <c r="F117">
        <v>1</v>
      </c>
      <c r="G117">
        <v>1</v>
      </c>
      <c r="H117">
        <v>2</v>
      </c>
      <c r="I117" t="s">
        <v>445</v>
      </c>
      <c r="J117" t="s">
        <v>446</v>
      </c>
      <c r="K117" t="s">
        <v>447</v>
      </c>
      <c r="L117">
        <v>1367</v>
      </c>
      <c r="N117">
        <v>1011</v>
      </c>
      <c r="O117" t="s">
        <v>378</v>
      </c>
      <c r="P117" t="s">
        <v>378</v>
      </c>
      <c r="Q117">
        <v>1</v>
      </c>
      <c r="X117">
        <v>0.67</v>
      </c>
      <c r="Y117">
        <v>0</v>
      </c>
      <c r="Z117">
        <v>1.2</v>
      </c>
      <c r="AA117">
        <v>0</v>
      </c>
      <c r="AB117">
        <v>0</v>
      </c>
      <c r="AC117">
        <v>0</v>
      </c>
      <c r="AD117">
        <v>1</v>
      </c>
      <c r="AE117">
        <v>0</v>
      </c>
      <c r="AF117" t="s">
        <v>148</v>
      </c>
      <c r="AG117">
        <v>0.83750000000000002</v>
      </c>
      <c r="AH117">
        <v>2</v>
      </c>
      <c r="AI117">
        <v>145263257</v>
      </c>
      <c r="AJ117">
        <v>106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 x14ac:dyDescent="0.2">
      <c r="A118">
        <f>ROW(Source!A99)</f>
        <v>99</v>
      </c>
      <c r="B118">
        <v>145263279</v>
      </c>
      <c r="C118">
        <v>145263250</v>
      </c>
      <c r="D118">
        <v>140924084</v>
      </c>
      <c r="E118">
        <v>1</v>
      </c>
      <c r="F118">
        <v>1</v>
      </c>
      <c r="G118">
        <v>1</v>
      </c>
      <c r="H118">
        <v>2</v>
      </c>
      <c r="I118" t="s">
        <v>448</v>
      </c>
      <c r="J118" t="s">
        <v>449</v>
      </c>
      <c r="K118" t="s">
        <v>450</v>
      </c>
      <c r="L118">
        <v>1367</v>
      </c>
      <c r="N118">
        <v>1011</v>
      </c>
      <c r="O118" t="s">
        <v>378</v>
      </c>
      <c r="P118" t="s">
        <v>378</v>
      </c>
      <c r="Q118">
        <v>1</v>
      </c>
      <c r="X118">
        <v>0.57999999999999996</v>
      </c>
      <c r="Y118">
        <v>0</v>
      </c>
      <c r="Z118">
        <v>12.31</v>
      </c>
      <c r="AA118">
        <v>0</v>
      </c>
      <c r="AB118">
        <v>0</v>
      </c>
      <c r="AC118">
        <v>0</v>
      </c>
      <c r="AD118">
        <v>1</v>
      </c>
      <c r="AE118">
        <v>0</v>
      </c>
      <c r="AF118" t="s">
        <v>148</v>
      </c>
      <c r="AG118">
        <v>0.72499999999999998</v>
      </c>
      <c r="AH118">
        <v>2</v>
      </c>
      <c r="AI118">
        <v>145263258</v>
      </c>
      <c r="AJ118">
        <v>107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 x14ac:dyDescent="0.2">
      <c r="A119">
        <f>ROW(Source!A99)</f>
        <v>99</v>
      </c>
      <c r="B119">
        <v>145263280</v>
      </c>
      <c r="C119">
        <v>145263250</v>
      </c>
      <c r="D119">
        <v>140771005</v>
      </c>
      <c r="E119">
        <v>1</v>
      </c>
      <c r="F119">
        <v>1</v>
      </c>
      <c r="G119">
        <v>1</v>
      </c>
      <c r="H119">
        <v>3</v>
      </c>
      <c r="I119" t="s">
        <v>451</v>
      </c>
      <c r="J119" t="s">
        <v>452</v>
      </c>
      <c r="K119" t="s">
        <v>453</v>
      </c>
      <c r="L119">
        <v>1339</v>
      </c>
      <c r="N119">
        <v>1007</v>
      </c>
      <c r="O119" t="s">
        <v>404</v>
      </c>
      <c r="P119" t="s">
        <v>404</v>
      </c>
      <c r="Q119">
        <v>1</v>
      </c>
      <c r="X119">
        <v>0.5</v>
      </c>
      <c r="Y119">
        <v>6.22</v>
      </c>
      <c r="Z119">
        <v>0</v>
      </c>
      <c r="AA119">
        <v>0</v>
      </c>
      <c r="AB119">
        <v>0</v>
      </c>
      <c r="AC119">
        <v>0</v>
      </c>
      <c r="AD119">
        <v>1</v>
      </c>
      <c r="AE119">
        <v>0</v>
      </c>
      <c r="AF119" t="s">
        <v>3</v>
      </c>
      <c r="AG119">
        <v>0.5</v>
      </c>
      <c r="AH119">
        <v>2</v>
      </c>
      <c r="AI119">
        <v>145263259</v>
      </c>
      <c r="AJ119">
        <v>108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 x14ac:dyDescent="0.2">
      <c r="A120">
        <f>ROW(Source!A99)</f>
        <v>99</v>
      </c>
      <c r="B120">
        <v>145263281</v>
      </c>
      <c r="C120">
        <v>145263250</v>
      </c>
      <c r="D120">
        <v>140771011</v>
      </c>
      <c r="E120">
        <v>1</v>
      </c>
      <c r="F120">
        <v>1</v>
      </c>
      <c r="G120">
        <v>1</v>
      </c>
      <c r="H120">
        <v>3</v>
      </c>
      <c r="I120" t="s">
        <v>454</v>
      </c>
      <c r="J120" t="s">
        <v>455</v>
      </c>
      <c r="K120" t="s">
        <v>456</v>
      </c>
      <c r="L120">
        <v>1346</v>
      </c>
      <c r="N120">
        <v>1009</v>
      </c>
      <c r="O120" t="s">
        <v>457</v>
      </c>
      <c r="P120" t="s">
        <v>457</v>
      </c>
      <c r="Q120">
        <v>1</v>
      </c>
      <c r="X120">
        <v>0.15</v>
      </c>
      <c r="Y120">
        <v>6.09</v>
      </c>
      <c r="Z120">
        <v>0</v>
      </c>
      <c r="AA120">
        <v>0</v>
      </c>
      <c r="AB120">
        <v>0</v>
      </c>
      <c r="AC120">
        <v>0</v>
      </c>
      <c r="AD120">
        <v>1</v>
      </c>
      <c r="AE120">
        <v>0</v>
      </c>
      <c r="AF120" t="s">
        <v>3</v>
      </c>
      <c r="AG120">
        <v>0.15</v>
      </c>
      <c r="AH120">
        <v>2</v>
      </c>
      <c r="AI120">
        <v>145263260</v>
      </c>
      <c r="AJ120">
        <v>109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ROW(Source!A99)</f>
        <v>99</v>
      </c>
      <c r="B121">
        <v>145263282</v>
      </c>
      <c r="C121">
        <v>145263250</v>
      </c>
      <c r="D121">
        <v>140773776</v>
      </c>
      <c r="E121">
        <v>1</v>
      </c>
      <c r="F121">
        <v>1</v>
      </c>
      <c r="G121">
        <v>1</v>
      </c>
      <c r="H121">
        <v>3</v>
      </c>
      <c r="I121" t="s">
        <v>458</v>
      </c>
      <c r="J121" t="s">
        <v>459</v>
      </c>
      <c r="K121" t="s">
        <v>460</v>
      </c>
      <c r="L121">
        <v>1348</v>
      </c>
      <c r="N121">
        <v>1009</v>
      </c>
      <c r="O121" t="s">
        <v>206</v>
      </c>
      <c r="P121" t="s">
        <v>206</v>
      </c>
      <c r="Q121">
        <v>1000</v>
      </c>
      <c r="X121">
        <v>2.5999999999999999E-3</v>
      </c>
      <c r="Y121">
        <v>10315.01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F121" t="s">
        <v>3</v>
      </c>
      <c r="AG121">
        <v>2.5999999999999999E-3</v>
      </c>
      <c r="AH121">
        <v>2</v>
      </c>
      <c r="AI121">
        <v>145263261</v>
      </c>
      <c r="AJ121">
        <v>110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ROW(Source!A99)</f>
        <v>99</v>
      </c>
      <c r="B122">
        <v>145263283</v>
      </c>
      <c r="C122">
        <v>145263250</v>
      </c>
      <c r="D122">
        <v>140775017</v>
      </c>
      <c r="E122">
        <v>1</v>
      </c>
      <c r="F122">
        <v>1</v>
      </c>
      <c r="G122">
        <v>1</v>
      </c>
      <c r="H122">
        <v>3</v>
      </c>
      <c r="I122" t="s">
        <v>461</v>
      </c>
      <c r="J122" t="s">
        <v>462</v>
      </c>
      <c r="K122" t="s">
        <v>463</v>
      </c>
      <c r="L122">
        <v>1346</v>
      </c>
      <c r="N122">
        <v>1009</v>
      </c>
      <c r="O122" t="s">
        <v>457</v>
      </c>
      <c r="P122" t="s">
        <v>457</v>
      </c>
      <c r="Q122">
        <v>1</v>
      </c>
      <c r="X122">
        <v>3</v>
      </c>
      <c r="Y122">
        <v>9.0399999999999991</v>
      </c>
      <c r="Z122">
        <v>0</v>
      </c>
      <c r="AA122">
        <v>0</v>
      </c>
      <c r="AB122">
        <v>0</v>
      </c>
      <c r="AC122">
        <v>0</v>
      </c>
      <c r="AD122">
        <v>1</v>
      </c>
      <c r="AE122">
        <v>0</v>
      </c>
      <c r="AF122" t="s">
        <v>3</v>
      </c>
      <c r="AG122">
        <v>3</v>
      </c>
      <c r="AH122">
        <v>2</v>
      </c>
      <c r="AI122">
        <v>145263262</v>
      </c>
      <c r="AJ122">
        <v>111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ROW(Source!A99)</f>
        <v>99</v>
      </c>
      <c r="B123">
        <v>145263284</v>
      </c>
      <c r="C123">
        <v>145263250</v>
      </c>
      <c r="D123">
        <v>140775118</v>
      </c>
      <c r="E123">
        <v>1</v>
      </c>
      <c r="F123">
        <v>1</v>
      </c>
      <c r="G123">
        <v>1</v>
      </c>
      <c r="H123">
        <v>3</v>
      </c>
      <c r="I123" t="s">
        <v>398</v>
      </c>
      <c r="J123" t="s">
        <v>399</v>
      </c>
      <c r="K123" t="s">
        <v>400</v>
      </c>
      <c r="L123">
        <v>1348</v>
      </c>
      <c r="N123">
        <v>1009</v>
      </c>
      <c r="O123" t="s">
        <v>206</v>
      </c>
      <c r="P123" t="s">
        <v>206</v>
      </c>
      <c r="Q123">
        <v>1000</v>
      </c>
      <c r="X123">
        <v>1.0000000000000001E-5</v>
      </c>
      <c r="Y123">
        <v>11978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 t="s">
        <v>3</v>
      </c>
      <c r="AG123">
        <v>1.0000000000000001E-5</v>
      </c>
      <c r="AH123">
        <v>2</v>
      </c>
      <c r="AI123">
        <v>145263263</v>
      </c>
      <c r="AJ123">
        <v>112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 x14ac:dyDescent="0.2">
      <c r="A124">
        <f>ROW(Source!A99)</f>
        <v>99</v>
      </c>
      <c r="B124">
        <v>145263285</v>
      </c>
      <c r="C124">
        <v>145263250</v>
      </c>
      <c r="D124">
        <v>140776229</v>
      </c>
      <c r="E124">
        <v>1</v>
      </c>
      <c r="F124">
        <v>1</v>
      </c>
      <c r="G124">
        <v>1</v>
      </c>
      <c r="H124">
        <v>3</v>
      </c>
      <c r="I124" t="s">
        <v>464</v>
      </c>
      <c r="J124" t="s">
        <v>465</v>
      </c>
      <c r="K124" t="s">
        <v>466</v>
      </c>
      <c r="L124">
        <v>1348</v>
      </c>
      <c r="N124">
        <v>1009</v>
      </c>
      <c r="O124" t="s">
        <v>206</v>
      </c>
      <c r="P124" t="s">
        <v>206</v>
      </c>
      <c r="Q124">
        <v>1000</v>
      </c>
      <c r="X124">
        <v>1E-4</v>
      </c>
      <c r="Y124">
        <v>37900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3</v>
      </c>
      <c r="AG124">
        <v>1E-4</v>
      </c>
      <c r="AH124">
        <v>2</v>
      </c>
      <c r="AI124">
        <v>145263264</v>
      </c>
      <c r="AJ124">
        <v>113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 x14ac:dyDescent="0.2">
      <c r="A125">
        <f>ROW(Source!A99)</f>
        <v>99</v>
      </c>
      <c r="B125">
        <v>145263286</v>
      </c>
      <c r="C125">
        <v>145263250</v>
      </c>
      <c r="D125">
        <v>140762015</v>
      </c>
      <c r="E125">
        <v>70</v>
      </c>
      <c r="F125">
        <v>1</v>
      </c>
      <c r="G125">
        <v>1</v>
      </c>
      <c r="H125">
        <v>3</v>
      </c>
      <c r="I125" t="s">
        <v>592</v>
      </c>
      <c r="J125" t="s">
        <v>3</v>
      </c>
      <c r="K125" t="s">
        <v>593</v>
      </c>
      <c r="L125">
        <v>1348</v>
      </c>
      <c r="N125">
        <v>1009</v>
      </c>
      <c r="O125" t="s">
        <v>206</v>
      </c>
      <c r="P125" t="s">
        <v>206</v>
      </c>
      <c r="Q125">
        <v>1000</v>
      </c>
      <c r="X125">
        <v>1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 t="s">
        <v>3</v>
      </c>
      <c r="AG125">
        <v>1</v>
      </c>
      <c r="AH125">
        <v>3</v>
      </c>
      <c r="AI125">
        <v>-1</v>
      </c>
      <c r="AJ125" t="s">
        <v>3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 x14ac:dyDescent="0.2">
      <c r="A126">
        <f>ROW(Source!A99)</f>
        <v>99</v>
      </c>
      <c r="B126">
        <v>145263287</v>
      </c>
      <c r="C126">
        <v>145263250</v>
      </c>
      <c r="D126">
        <v>140789856</v>
      </c>
      <c r="E126">
        <v>1</v>
      </c>
      <c r="F126">
        <v>1</v>
      </c>
      <c r="G126">
        <v>1</v>
      </c>
      <c r="H126">
        <v>3</v>
      </c>
      <c r="I126" t="s">
        <v>467</v>
      </c>
      <c r="J126" t="s">
        <v>468</v>
      </c>
      <c r="K126" t="s">
        <v>469</v>
      </c>
      <c r="L126">
        <v>1348</v>
      </c>
      <c r="N126">
        <v>1009</v>
      </c>
      <c r="O126" t="s">
        <v>206</v>
      </c>
      <c r="P126" t="s">
        <v>206</v>
      </c>
      <c r="Q126">
        <v>1000</v>
      </c>
      <c r="X126">
        <v>1E-4</v>
      </c>
      <c r="Y126">
        <v>7712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3</v>
      </c>
      <c r="AG126">
        <v>1E-4</v>
      </c>
      <c r="AH126">
        <v>2</v>
      </c>
      <c r="AI126">
        <v>145263265</v>
      </c>
      <c r="AJ126">
        <v>114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 x14ac:dyDescent="0.2">
      <c r="A127">
        <f>ROW(Source!A99)</f>
        <v>99</v>
      </c>
      <c r="B127">
        <v>145263288</v>
      </c>
      <c r="C127">
        <v>145263250</v>
      </c>
      <c r="D127">
        <v>140791984</v>
      </c>
      <c r="E127">
        <v>1</v>
      </c>
      <c r="F127">
        <v>1</v>
      </c>
      <c r="G127">
        <v>1</v>
      </c>
      <c r="H127">
        <v>3</v>
      </c>
      <c r="I127" t="s">
        <v>470</v>
      </c>
      <c r="J127" t="s">
        <v>471</v>
      </c>
      <c r="K127" t="s">
        <v>472</v>
      </c>
      <c r="L127">
        <v>1302</v>
      </c>
      <c r="N127">
        <v>1003</v>
      </c>
      <c r="O127" t="s">
        <v>473</v>
      </c>
      <c r="P127" t="s">
        <v>473</v>
      </c>
      <c r="Q127">
        <v>10</v>
      </c>
      <c r="X127">
        <v>1.8700000000000001E-2</v>
      </c>
      <c r="Y127">
        <v>50.24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 t="s">
        <v>3</v>
      </c>
      <c r="AG127">
        <v>1.8700000000000001E-2</v>
      </c>
      <c r="AH127">
        <v>2</v>
      </c>
      <c r="AI127">
        <v>145263266</v>
      </c>
      <c r="AJ127">
        <v>115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 x14ac:dyDescent="0.2">
      <c r="A128">
        <f>ROW(Source!A99)</f>
        <v>99</v>
      </c>
      <c r="B128">
        <v>145263289</v>
      </c>
      <c r="C128">
        <v>145263250</v>
      </c>
      <c r="D128">
        <v>140792339</v>
      </c>
      <c r="E128">
        <v>1</v>
      </c>
      <c r="F128">
        <v>1</v>
      </c>
      <c r="G128">
        <v>1</v>
      </c>
      <c r="H128">
        <v>3</v>
      </c>
      <c r="I128" t="s">
        <v>408</v>
      </c>
      <c r="J128" t="s">
        <v>409</v>
      </c>
      <c r="K128" t="s">
        <v>410</v>
      </c>
      <c r="L128">
        <v>1348</v>
      </c>
      <c r="N128">
        <v>1009</v>
      </c>
      <c r="O128" t="s">
        <v>206</v>
      </c>
      <c r="P128" t="s">
        <v>206</v>
      </c>
      <c r="Q128">
        <v>1000</v>
      </c>
      <c r="X128">
        <v>3.0000000000000001E-5</v>
      </c>
      <c r="Y128">
        <v>4455.2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F128" t="s">
        <v>3</v>
      </c>
      <c r="AG128">
        <v>3.0000000000000001E-5</v>
      </c>
      <c r="AH128">
        <v>2</v>
      </c>
      <c r="AI128">
        <v>145263267</v>
      </c>
      <c r="AJ128">
        <v>116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 x14ac:dyDescent="0.2">
      <c r="A129">
        <f>ROW(Source!A99)</f>
        <v>99</v>
      </c>
      <c r="B129">
        <v>145263290</v>
      </c>
      <c r="C129">
        <v>145263250</v>
      </c>
      <c r="D129">
        <v>140793072</v>
      </c>
      <c r="E129">
        <v>1</v>
      </c>
      <c r="F129">
        <v>1</v>
      </c>
      <c r="G129">
        <v>1</v>
      </c>
      <c r="H129">
        <v>3</v>
      </c>
      <c r="I129" t="s">
        <v>474</v>
      </c>
      <c r="J129" t="s">
        <v>475</v>
      </c>
      <c r="K129" t="s">
        <v>476</v>
      </c>
      <c r="L129">
        <v>1348</v>
      </c>
      <c r="N129">
        <v>1009</v>
      </c>
      <c r="O129" t="s">
        <v>206</v>
      </c>
      <c r="P129" t="s">
        <v>206</v>
      </c>
      <c r="Q129">
        <v>1000</v>
      </c>
      <c r="X129">
        <v>1.9400000000000001E-3</v>
      </c>
      <c r="Y129">
        <v>4920</v>
      </c>
      <c r="Z129">
        <v>0</v>
      </c>
      <c r="AA129">
        <v>0</v>
      </c>
      <c r="AB129">
        <v>0</v>
      </c>
      <c r="AC129">
        <v>0</v>
      </c>
      <c r="AD129">
        <v>1</v>
      </c>
      <c r="AE129">
        <v>0</v>
      </c>
      <c r="AF129" t="s">
        <v>3</v>
      </c>
      <c r="AG129">
        <v>1.9400000000000001E-3</v>
      </c>
      <c r="AH129">
        <v>2</v>
      </c>
      <c r="AI129">
        <v>145263268</v>
      </c>
      <c r="AJ129">
        <v>117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 x14ac:dyDescent="0.2">
      <c r="A130">
        <f>ROW(Source!A99)</f>
        <v>99</v>
      </c>
      <c r="B130">
        <v>145263291</v>
      </c>
      <c r="C130">
        <v>145263250</v>
      </c>
      <c r="D130">
        <v>140796351</v>
      </c>
      <c r="E130">
        <v>1</v>
      </c>
      <c r="F130">
        <v>1</v>
      </c>
      <c r="G130">
        <v>1</v>
      </c>
      <c r="H130">
        <v>3</v>
      </c>
      <c r="I130" t="s">
        <v>477</v>
      </c>
      <c r="J130" t="s">
        <v>478</v>
      </c>
      <c r="K130" t="s">
        <v>479</v>
      </c>
      <c r="L130">
        <v>1339</v>
      </c>
      <c r="N130">
        <v>1007</v>
      </c>
      <c r="O130" t="s">
        <v>404</v>
      </c>
      <c r="P130" t="s">
        <v>404</v>
      </c>
      <c r="Q130">
        <v>1</v>
      </c>
      <c r="X130">
        <v>1.0300000000000001E-3</v>
      </c>
      <c r="Y130">
        <v>1700</v>
      </c>
      <c r="Z130">
        <v>0</v>
      </c>
      <c r="AA130">
        <v>0</v>
      </c>
      <c r="AB130">
        <v>0</v>
      </c>
      <c r="AC130">
        <v>0</v>
      </c>
      <c r="AD130">
        <v>1</v>
      </c>
      <c r="AE130">
        <v>0</v>
      </c>
      <c r="AF130" t="s">
        <v>3</v>
      </c>
      <c r="AG130">
        <v>1.0300000000000001E-3</v>
      </c>
      <c r="AH130">
        <v>2</v>
      </c>
      <c r="AI130">
        <v>145263269</v>
      </c>
      <c r="AJ130">
        <v>118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 x14ac:dyDescent="0.2">
      <c r="A131">
        <f>ROW(Source!A99)</f>
        <v>99</v>
      </c>
      <c r="B131">
        <v>145263292</v>
      </c>
      <c r="C131">
        <v>145263250</v>
      </c>
      <c r="D131">
        <v>140804058</v>
      </c>
      <c r="E131">
        <v>1</v>
      </c>
      <c r="F131">
        <v>1</v>
      </c>
      <c r="G131">
        <v>1</v>
      </c>
      <c r="H131">
        <v>3</v>
      </c>
      <c r="I131" t="s">
        <v>480</v>
      </c>
      <c r="J131" t="s">
        <v>481</v>
      </c>
      <c r="K131" t="s">
        <v>482</v>
      </c>
      <c r="L131">
        <v>1348</v>
      </c>
      <c r="N131">
        <v>1009</v>
      </c>
      <c r="O131" t="s">
        <v>206</v>
      </c>
      <c r="P131" t="s">
        <v>206</v>
      </c>
      <c r="Q131">
        <v>1000</v>
      </c>
      <c r="X131">
        <v>3.1E-4</v>
      </c>
      <c r="Y131">
        <v>15620</v>
      </c>
      <c r="Z131">
        <v>0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3</v>
      </c>
      <c r="AG131">
        <v>3.1E-4</v>
      </c>
      <c r="AH131">
        <v>2</v>
      </c>
      <c r="AI131">
        <v>145263270</v>
      </c>
      <c r="AJ131">
        <v>119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 x14ac:dyDescent="0.2">
      <c r="A132">
        <f>ROW(Source!A99)</f>
        <v>99</v>
      </c>
      <c r="B132">
        <v>145263293</v>
      </c>
      <c r="C132">
        <v>145263250</v>
      </c>
      <c r="D132">
        <v>140805182</v>
      </c>
      <c r="E132">
        <v>1</v>
      </c>
      <c r="F132">
        <v>1</v>
      </c>
      <c r="G132">
        <v>1</v>
      </c>
      <c r="H132">
        <v>3</v>
      </c>
      <c r="I132" t="s">
        <v>483</v>
      </c>
      <c r="J132" t="s">
        <v>484</v>
      </c>
      <c r="K132" t="s">
        <v>485</v>
      </c>
      <c r="L132">
        <v>1346</v>
      </c>
      <c r="N132">
        <v>1009</v>
      </c>
      <c r="O132" t="s">
        <v>457</v>
      </c>
      <c r="P132" t="s">
        <v>457</v>
      </c>
      <c r="Q132">
        <v>1</v>
      </c>
      <c r="X132">
        <v>0.6</v>
      </c>
      <c r="Y132">
        <v>9.42</v>
      </c>
      <c r="Z132">
        <v>0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3</v>
      </c>
      <c r="AG132">
        <v>0.6</v>
      </c>
      <c r="AH132">
        <v>2</v>
      </c>
      <c r="AI132">
        <v>145263271</v>
      </c>
      <c r="AJ132">
        <v>120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 x14ac:dyDescent="0.2">
      <c r="A133">
        <f>ROW(Source!A100)</f>
        <v>100</v>
      </c>
      <c r="B133">
        <v>145263307</v>
      </c>
      <c r="C133">
        <v>145263294</v>
      </c>
      <c r="D133">
        <v>140760031</v>
      </c>
      <c r="E133">
        <v>70</v>
      </c>
      <c r="F133">
        <v>1</v>
      </c>
      <c r="G133">
        <v>1</v>
      </c>
      <c r="H133">
        <v>1</v>
      </c>
      <c r="I133" t="s">
        <v>535</v>
      </c>
      <c r="J133" t="s">
        <v>3</v>
      </c>
      <c r="K133" t="s">
        <v>536</v>
      </c>
      <c r="L133">
        <v>1191</v>
      </c>
      <c r="N133">
        <v>1013</v>
      </c>
      <c r="O133" t="s">
        <v>374</v>
      </c>
      <c r="P133" t="s">
        <v>374</v>
      </c>
      <c r="Q133">
        <v>1</v>
      </c>
      <c r="X133">
        <v>27.8</v>
      </c>
      <c r="Y133">
        <v>0</v>
      </c>
      <c r="Z133">
        <v>0</v>
      </c>
      <c r="AA133">
        <v>0</v>
      </c>
      <c r="AB133">
        <v>9.6199999999999992</v>
      </c>
      <c r="AC133">
        <v>0</v>
      </c>
      <c r="AD133">
        <v>1</v>
      </c>
      <c r="AE133">
        <v>1</v>
      </c>
      <c r="AF133" t="s">
        <v>3</v>
      </c>
      <c r="AG133">
        <v>27.8</v>
      </c>
      <c r="AH133">
        <v>2</v>
      </c>
      <c r="AI133">
        <v>145263295</v>
      </c>
      <c r="AJ133">
        <v>121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 x14ac:dyDescent="0.2">
      <c r="A134">
        <f>ROW(Source!A100)</f>
        <v>100</v>
      </c>
      <c r="B134">
        <v>145263308</v>
      </c>
      <c r="C134">
        <v>145263294</v>
      </c>
      <c r="D134">
        <v>140760225</v>
      </c>
      <c r="E134">
        <v>70</v>
      </c>
      <c r="F134">
        <v>1</v>
      </c>
      <c r="G134">
        <v>1</v>
      </c>
      <c r="H134">
        <v>1</v>
      </c>
      <c r="I134" t="s">
        <v>381</v>
      </c>
      <c r="J134" t="s">
        <v>3</v>
      </c>
      <c r="K134" t="s">
        <v>382</v>
      </c>
      <c r="L134">
        <v>1191</v>
      </c>
      <c r="N134">
        <v>1013</v>
      </c>
      <c r="O134" t="s">
        <v>374</v>
      </c>
      <c r="P134" t="s">
        <v>374</v>
      </c>
      <c r="Q134">
        <v>1</v>
      </c>
      <c r="X134">
        <v>3.02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2</v>
      </c>
      <c r="AF134" t="s">
        <v>3</v>
      </c>
      <c r="AG134">
        <v>3.02</v>
      </c>
      <c r="AH134">
        <v>2</v>
      </c>
      <c r="AI134">
        <v>145263296</v>
      </c>
      <c r="AJ134">
        <v>122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 x14ac:dyDescent="0.2">
      <c r="A135">
        <f>ROW(Source!A100)</f>
        <v>100</v>
      </c>
      <c r="B135">
        <v>145263309</v>
      </c>
      <c r="C135">
        <v>145263294</v>
      </c>
      <c r="D135">
        <v>140922951</v>
      </c>
      <c r="E135">
        <v>1</v>
      </c>
      <c r="F135">
        <v>1</v>
      </c>
      <c r="G135">
        <v>1</v>
      </c>
      <c r="H135">
        <v>2</v>
      </c>
      <c r="I135" t="s">
        <v>436</v>
      </c>
      <c r="J135" t="s">
        <v>437</v>
      </c>
      <c r="K135" t="s">
        <v>438</v>
      </c>
      <c r="L135">
        <v>1367</v>
      </c>
      <c r="N135">
        <v>1011</v>
      </c>
      <c r="O135" t="s">
        <v>378</v>
      </c>
      <c r="P135" t="s">
        <v>378</v>
      </c>
      <c r="Q135">
        <v>1</v>
      </c>
      <c r="X135">
        <v>0.5</v>
      </c>
      <c r="Y135">
        <v>0</v>
      </c>
      <c r="Z135">
        <v>115.4</v>
      </c>
      <c r="AA135">
        <v>13.5</v>
      </c>
      <c r="AB135">
        <v>0</v>
      </c>
      <c r="AC135">
        <v>0</v>
      </c>
      <c r="AD135">
        <v>1</v>
      </c>
      <c r="AE135">
        <v>0</v>
      </c>
      <c r="AF135" t="s">
        <v>3</v>
      </c>
      <c r="AG135">
        <v>0.5</v>
      </c>
      <c r="AH135">
        <v>2</v>
      </c>
      <c r="AI135">
        <v>145263297</v>
      </c>
      <c r="AJ135">
        <v>123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 x14ac:dyDescent="0.2">
      <c r="A136">
        <f>ROW(Source!A100)</f>
        <v>100</v>
      </c>
      <c r="B136">
        <v>145263310</v>
      </c>
      <c r="C136">
        <v>145263294</v>
      </c>
      <c r="D136">
        <v>140923082</v>
      </c>
      <c r="E136">
        <v>1</v>
      </c>
      <c r="F136">
        <v>1</v>
      </c>
      <c r="G136">
        <v>1</v>
      </c>
      <c r="H136">
        <v>2</v>
      </c>
      <c r="I136" t="s">
        <v>537</v>
      </c>
      <c r="J136" t="s">
        <v>538</v>
      </c>
      <c r="K136" t="s">
        <v>539</v>
      </c>
      <c r="L136">
        <v>1367</v>
      </c>
      <c r="N136">
        <v>1011</v>
      </c>
      <c r="O136" t="s">
        <v>378</v>
      </c>
      <c r="P136" t="s">
        <v>378</v>
      </c>
      <c r="Q136">
        <v>1</v>
      </c>
      <c r="X136">
        <v>2.02</v>
      </c>
      <c r="Y136">
        <v>0</v>
      </c>
      <c r="Z136">
        <v>29.08</v>
      </c>
      <c r="AA136">
        <v>10.06</v>
      </c>
      <c r="AB136">
        <v>0</v>
      </c>
      <c r="AC136">
        <v>0</v>
      </c>
      <c r="AD136">
        <v>1</v>
      </c>
      <c r="AE136">
        <v>0</v>
      </c>
      <c r="AF136" t="s">
        <v>3</v>
      </c>
      <c r="AG136">
        <v>2.02</v>
      </c>
      <c r="AH136">
        <v>2</v>
      </c>
      <c r="AI136">
        <v>145263298</v>
      </c>
      <c r="AJ136">
        <v>124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 x14ac:dyDescent="0.2">
      <c r="A137">
        <f>ROW(Source!A100)</f>
        <v>100</v>
      </c>
      <c r="B137">
        <v>145263311</v>
      </c>
      <c r="C137">
        <v>145263294</v>
      </c>
      <c r="D137">
        <v>140923886</v>
      </c>
      <c r="E137">
        <v>1</v>
      </c>
      <c r="F137">
        <v>1</v>
      </c>
      <c r="G137">
        <v>1</v>
      </c>
      <c r="H137">
        <v>2</v>
      </c>
      <c r="I137" t="s">
        <v>497</v>
      </c>
      <c r="J137" t="s">
        <v>498</v>
      </c>
      <c r="K137" t="s">
        <v>499</v>
      </c>
      <c r="L137">
        <v>1367</v>
      </c>
      <c r="N137">
        <v>1011</v>
      </c>
      <c r="O137" t="s">
        <v>378</v>
      </c>
      <c r="P137" t="s">
        <v>378</v>
      </c>
      <c r="Q137">
        <v>1</v>
      </c>
      <c r="X137">
        <v>0.5</v>
      </c>
      <c r="Y137">
        <v>0</v>
      </c>
      <c r="Z137">
        <v>85.84</v>
      </c>
      <c r="AA137">
        <v>11.6</v>
      </c>
      <c r="AB137">
        <v>0</v>
      </c>
      <c r="AC137">
        <v>0</v>
      </c>
      <c r="AD137">
        <v>1</v>
      </c>
      <c r="AE137">
        <v>0</v>
      </c>
      <c r="AF137" t="s">
        <v>3</v>
      </c>
      <c r="AG137">
        <v>0.5</v>
      </c>
      <c r="AH137">
        <v>2</v>
      </c>
      <c r="AI137">
        <v>145263299</v>
      </c>
      <c r="AJ137">
        <v>125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 x14ac:dyDescent="0.2">
      <c r="A138">
        <f>ROW(Source!A100)</f>
        <v>100</v>
      </c>
      <c r="B138">
        <v>145263312</v>
      </c>
      <c r="C138">
        <v>145263294</v>
      </c>
      <c r="D138">
        <v>140924041</v>
      </c>
      <c r="E138">
        <v>1</v>
      </c>
      <c r="F138">
        <v>1</v>
      </c>
      <c r="G138">
        <v>1</v>
      </c>
      <c r="H138">
        <v>2</v>
      </c>
      <c r="I138" t="s">
        <v>445</v>
      </c>
      <c r="J138" t="s">
        <v>446</v>
      </c>
      <c r="K138" t="s">
        <v>447</v>
      </c>
      <c r="L138">
        <v>1367</v>
      </c>
      <c r="N138">
        <v>1011</v>
      </c>
      <c r="O138" t="s">
        <v>378</v>
      </c>
      <c r="P138" t="s">
        <v>378</v>
      </c>
      <c r="Q138">
        <v>1</v>
      </c>
      <c r="X138">
        <v>1.2</v>
      </c>
      <c r="Y138">
        <v>0</v>
      </c>
      <c r="Z138">
        <v>1.2</v>
      </c>
      <c r="AA138">
        <v>0</v>
      </c>
      <c r="AB138">
        <v>0</v>
      </c>
      <c r="AC138">
        <v>0</v>
      </c>
      <c r="AD138">
        <v>1</v>
      </c>
      <c r="AE138">
        <v>0</v>
      </c>
      <c r="AF138" t="s">
        <v>3</v>
      </c>
      <c r="AG138">
        <v>1.2</v>
      </c>
      <c r="AH138">
        <v>2</v>
      </c>
      <c r="AI138">
        <v>145263300</v>
      </c>
      <c r="AJ138">
        <v>126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 x14ac:dyDescent="0.2">
      <c r="A139">
        <f>ROW(Source!A100)</f>
        <v>100</v>
      </c>
      <c r="B139">
        <v>145263313</v>
      </c>
      <c r="C139">
        <v>145263294</v>
      </c>
      <c r="D139">
        <v>140924098</v>
      </c>
      <c r="E139">
        <v>1</v>
      </c>
      <c r="F139">
        <v>1</v>
      </c>
      <c r="G139">
        <v>1</v>
      </c>
      <c r="H139">
        <v>2</v>
      </c>
      <c r="I139" t="s">
        <v>389</v>
      </c>
      <c r="J139" t="s">
        <v>390</v>
      </c>
      <c r="K139" t="s">
        <v>391</v>
      </c>
      <c r="L139">
        <v>1367</v>
      </c>
      <c r="N139">
        <v>1011</v>
      </c>
      <c r="O139" t="s">
        <v>378</v>
      </c>
      <c r="P139" t="s">
        <v>378</v>
      </c>
      <c r="Q139">
        <v>1</v>
      </c>
      <c r="X139">
        <v>7.18</v>
      </c>
      <c r="Y139">
        <v>0</v>
      </c>
      <c r="Z139">
        <v>8.1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3</v>
      </c>
      <c r="AG139">
        <v>7.18</v>
      </c>
      <c r="AH139">
        <v>2</v>
      </c>
      <c r="AI139">
        <v>145263301</v>
      </c>
      <c r="AJ139">
        <v>127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 x14ac:dyDescent="0.2">
      <c r="A140">
        <f>ROW(Source!A100)</f>
        <v>100</v>
      </c>
      <c r="B140">
        <v>145263314</v>
      </c>
      <c r="C140">
        <v>145263294</v>
      </c>
      <c r="D140">
        <v>140924652</v>
      </c>
      <c r="E140">
        <v>1</v>
      </c>
      <c r="F140">
        <v>1</v>
      </c>
      <c r="G140">
        <v>1</v>
      </c>
      <c r="H140">
        <v>2</v>
      </c>
      <c r="I140" t="s">
        <v>540</v>
      </c>
      <c r="J140" t="s">
        <v>541</v>
      </c>
      <c r="K140" t="s">
        <v>542</v>
      </c>
      <c r="L140">
        <v>1367</v>
      </c>
      <c r="N140">
        <v>1011</v>
      </c>
      <c r="O140" t="s">
        <v>378</v>
      </c>
      <c r="P140" t="s">
        <v>378</v>
      </c>
      <c r="Q140">
        <v>1</v>
      </c>
      <c r="X140">
        <v>4.7</v>
      </c>
      <c r="Y140">
        <v>0</v>
      </c>
      <c r="Z140">
        <v>2.36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3</v>
      </c>
      <c r="AG140">
        <v>4.7</v>
      </c>
      <c r="AH140">
        <v>2</v>
      </c>
      <c r="AI140">
        <v>145263302</v>
      </c>
      <c r="AJ140">
        <v>128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 x14ac:dyDescent="0.2">
      <c r="A141">
        <f>ROW(Source!A100)</f>
        <v>100</v>
      </c>
      <c r="B141">
        <v>145263315</v>
      </c>
      <c r="C141">
        <v>145263294</v>
      </c>
      <c r="D141">
        <v>140771005</v>
      </c>
      <c r="E141">
        <v>1</v>
      </c>
      <c r="F141">
        <v>1</v>
      </c>
      <c r="G141">
        <v>1</v>
      </c>
      <c r="H141">
        <v>3</v>
      </c>
      <c r="I141" t="s">
        <v>451</v>
      </c>
      <c r="J141" t="s">
        <v>452</v>
      </c>
      <c r="K141" t="s">
        <v>453</v>
      </c>
      <c r="L141">
        <v>1339</v>
      </c>
      <c r="N141">
        <v>1007</v>
      </c>
      <c r="O141" t="s">
        <v>404</v>
      </c>
      <c r="P141" t="s">
        <v>404</v>
      </c>
      <c r="Q141">
        <v>1</v>
      </c>
      <c r="X141">
        <v>0.6</v>
      </c>
      <c r="Y141">
        <v>6.22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0</v>
      </c>
      <c r="AF141" t="s">
        <v>3</v>
      </c>
      <c r="AG141">
        <v>0.6</v>
      </c>
      <c r="AH141">
        <v>2</v>
      </c>
      <c r="AI141">
        <v>145263303</v>
      </c>
      <c r="AJ141">
        <v>129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 x14ac:dyDescent="0.2">
      <c r="A142">
        <f>ROW(Source!A100)</f>
        <v>100</v>
      </c>
      <c r="B142">
        <v>145263316</v>
      </c>
      <c r="C142">
        <v>145263294</v>
      </c>
      <c r="D142">
        <v>140771011</v>
      </c>
      <c r="E142">
        <v>1</v>
      </c>
      <c r="F142">
        <v>1</v>
      </c>
      <c r="G142">
        <v>1</v>
      </c>
      <c r="H142">
        <v>3</v>
      </c>
      <c r="I142" t="s">
        <v>454</v>
      </c>
      <c r="J142" t="s">
        <v>455</v>
      </c>
      <c r="K142" t="s">
        <v>456</v>
      </c>
      <c r="L142">
        <v>1346</v>
      </c>
      <c r="N142">
        <v>1009</v>
      </c>
      <c r="O142" t="s">
        <v>457</v>
      </c>
      <c r="P142" t="s">
        <v>457</v>
      </c>
      <c r="Q142">
        <v>1</v>
      </c>
      <c r="X142">
        <v>0.2</v>
      </c>
      <c r="Y142">
        <v>6.09</v>
      </c>
      <c r="Z142">
        <v>0</v>
      </c>
      <c r="AA142">
        <v>0</v>
      </c>
      <c r="AB142">
        <v>0</v>
      </c>
      <c r="AC142">
        <v>0</v>
      </c>
      <c r="AD142">
        <v>1</v>
      </c>
      <c r="AE142">
        <v>0</v>
      </c>
      <c r="AF142" t="s">
        <v>3</v>
      </c>
      <c r="AG142">
        <v>0.2</v>
      </c>
      <c r="AH142">
        <v>2</v>
      </c>
      <c r="AI142">
        <v>145263304</v>
      </c>
      <c r="AJ142">
        <v>130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 x14ac:dyDescent="0.2">
      <c r="A143">
        <f>ROW(Source!A100)</f>
        <v>100</v>
      </c>
      <c r="B143">
        <v>145263317</v>
      </c>
      <c r="C143">
        <v>145263294</v>
      </c>
      <c r="D143">
        <v>140773788</v>
      </c>
      <c r="E143">
        <v>1</v>
      </c>
      <c r="F143">
        <v>1</v>
      </c>
      <c r="G143">
        <v>1</v>
      </c>
      <c r="H143">
        <v>3</v>
      </c>
      <c r="I143" t="s">
        <v>512</v>
      </c>
      <c r="J143" t="s">
        <v>513</v>
      </c>
      <c r="K143" t="s">
        <v>514</v>
      </c>
      <c r="L143">
        <v>1348</v>
      </c>
      <c r="N143">
        <v>1009</v>
      </c>
      <c r="O143" t="s">
        <v>206</v>
      </c>
      <c r="P143" t="s">
        <v>206</v>
      </c>
      <c r="Q143">
        <v>1000</v>
      </c>
      <c r="X143">
        <v>3.2000000000000002E-3</v>
      </c>
      <c r="Y143">
        <v>9765</v>
      </c>
      <c r="Z143">
        <v>0</v>
      </c>
      <c r="AA143">
        <v>0</v>
      </c>
      <c r="AB143">
        <v>0</v>
      </c>
      <c r="AC143">
        <v>0</v>
      </c>
      <c r="AD143">
        <v>1</v>
      </c>
      <c r="AE143">
        <v>0</v>
      </c>
      <c r="AF143" t="s">
        <v>3</v>
      </c>
      <c r="AG143">
        <v>3.2000000000000002E-3</v>
      </c>
      <c r="AH143">
        <v>2</v>
      </c>
      <c r="AI143">
        <v>145263305</v>
      </c>
      <c r="AJ143">
        <v>131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 x14ac:dyDescent="0.2">
      <c r="A144">
        <f>ROW(Source!A100)</f>
        <v>100</v>
      </c>
      <c r="B144">
        <v>145263318</v>
      </c>
      <c r="C144">
        <v>145263294</v>
      </c>
      <c r="D144">
        <v>140765022</v>
      </c>
      <c r="E144">
        <v>70</v>
      </c>
      <c r="F144">
        <v>1</v>
      </c>
      <c r="G144">
        <v>1</v>
      </c>
      <c r="H144">
        <v>3</v>
      </c>
      <c r="I144" t="s">
        <v>515</v>
      </c>
      <c r="J144" t="s">
        <v>3</v>
      </c>
      <c r="K144" t="s">
        <v>516</v>
      </c>
      <c r="L144">
        <v>1374</v>
      </c>
      <c r="N144">
        <v>1013</v>
      </c>
      <c r="O144" t="s">
        <v>517</v>
      </c>
      <c r="P144" t="s">
        <v>517</v>
      </c>
      <c r="Q144">
        <v>1</v>
      </c>
      <c r="X144">
        <v>5.35</v>
      </c>
      <c r="Y144">
        <v>1</v>
      </c>
      <c r="Z144">
        <v>0</v>
      </c>
      <c r="AA144">
        <v>0</v>
      </c>
      <c r="AB144">
        <v>0</v>
      </c>
      <c r="AC144">
        <v>0</v>
      </c>
      <c r="AD144">
        <v>1</v>
      </c>
      <c r="AE144">
        <v>0</v>
      </c>
      <c r="AF144" t="s">
        <v>3</v>
      </c>
      <c r="AG144">
        <v>5.35</v>
      </c>
      <c r="AH144">
        <v>2</v>
      </c>
      <c r="AI144">
        <v>145263306</v>
      </c>
      <c r="AJ144">
        <v>132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 x14ac:dyDescent="0.2">
      <c r="A145">
        <f>ROW(Source!A103)</f>
        <v>103</v>
      </c>
      <c r="B145">
        <v>145263330</v>
      </c>
      <c r="C145">
        <v>145263321</v>
      </c>
      <c r="D145">
        <v>140759988</v>
      </c>
      <c r="E145">
        <v>70</v>
      </c>
      <c r="F145">
        <v>1</v>
      </c>
      <c r="G145">
        <v>1</v>
      </c>
      <c r="H145">
        <v>1</v>
      </c>
      <c r="I145" t="s">
        <v>543</v>
      </c>
      <c r="J145" t="s">
        <v>3</v>
      </c>
      <c r="K145" t="s">
        <v>544</v>
      </c>
      <c r="L145">
        <v>1191</v>
      </c>
      <c r="N145">
        <v>1013</v>
      </c>
      <c r="O145" t="s">
        <v>374</v>
      </c>
      <c r="P145" t="s">
        <v>374</v>
      </c>
      <c r="Q145">
        <v>1</v>
      </c>
      <c r="X145">
        <v>5.9</v>
      </c>
      <c r="Y145">
        <v>0</v>
      </c>
      <c r="Z145">
        <v>0</v>
      </c>
      <c r="AA145">
        <v>0</v>
      </c>
      <c r="AB145">
        <v>8.86</v>
      </c>
      <c r="AC145">
        <v>0</v>
      </c>
      <c r="AD145">
        <v>1</v>
      </c>
      <c r="AE145">
        <v>1</v>
      </c>
      <c r="AF145" t="s">
        <v>172</v>
      </c>
      <c r="AG145">
        <v>7.2938749999999999</v>
      </c>
      <c r="AH145">
        <v>2</v>
      </c>
      <c r="AI145">
        <v>145263322</v>
      </c>
      <c r="AJ145">
        <v>133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 x14ac:dyDescent="0.2">
      <c r="A146">
        <f>ROW(Source!A103)</f>
        <v>103</v>
      </c>
      <c r="B146">
        <v>145263331</v>
      </c>
      <c r="C146">
        <v>145263321</v>
      </c>
      <c r="D146">
        <v>140760225</v>
      </c>
      <c r="E146">
        <v>70</v>
      </c>
      <c r="F146">
        <v>1</v>
      </c>
      <c r="G146">
        <v>1</v>
      </c>
      <c r="H146">
        <v>1</v>
      </c>
      <c r="I146" t="s">
        <v>381</v>
      </c>
      <c r="J146" t="s">
        <v>3</v>
      </c>
      <c r="K146" t="s">
        <v>382</v>
      </c>
      <c r="L146">
        <v>1191</v>
      </c>
      <c r="N146">
        <v>1013</v>
      </c>
      <c r="O146" t="s">
        <v>374</v>
      </c>
      <c r="P146" t="s">
        <v>374</v>
      </c>
      <c r="Q146">
        <v>1</v>
      </c>
      <c r="X146">
        <v>0.41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1</v>
      </c>
      <c r="AE146">
        <v>2</v>
      </c>
      <c r="AF146" t="s">
        <v>148</v>
      </c>
      <c r="AG146">
        <v>0.51249999999999996</v>
      </c>
      <c r="AH146">
        <v>2</v>
      </c>
      <c r="AI146">
        <v>145263323</v>
      </c>
      <c r="AJ146">
        <v>134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 x14ac:dyDescent="0.2">
      <c r="A147">
        <f>ROW(Source!A103)</f>
        <v>103</v>
      </c>
      <c r="B147">
        <v>145263332</v>
      </c>
      <c r="C147">
        <v>145263321</v>
      </c>
      <c r="D147">
        <v>140922893</v>
      </c>
      <c r="E147">
        <v>1</v>
      </c>
      <c r="F147">
        <v>1</v>
      </c>
      <c r="G147">
        <v>1</v>
      </c>
      <c r="H147">
        <v>2</v>
      </c>
      <c r="I147" t="s">
        <v>428</v>
      </c>
      <c r="J147" t="s">
        <v>429</v>
      </c>
      <c r="K147" t="s">
        <v>430</v>
      </c>
      <c r="L147">
        <v>1367</v>
      </c>
      <c r="N147">
        <v>1011</v>
      </c>
      <c r="O147" t="s">
        <v>378</v>
      </c>
      <c r="P147" t="s">
        <v>378</v>
      </c>
      <c r="Q147">
        <v>1</v>
      </c>
      <c r="X147">
        <v>0.18</v>
      </c>
      <c r="Y147">
        <v>0</v>
      </c>
      <c r="Z147">
        <v>86.4</v>
      </c>
      <c r="AA147">
        <v>13.5</v>
      </c>
      <c r="AB147">
        <v>0</v>
      </c>
      <c r="AC147">
        <v>0</v>
      </c>
      <c r="AD147">
        <v>1</v>
      </c>
      <c r="AE147">
        <v>0</v>
      </c>
      <c r="AF147" t="s">
        <v>148</v>
      </c>
      <c r="AG147">
        <v>0.22499999999999998</v>
      </c>
      <c r="AH147">
        <v>2</v>
      </c>
      <c r="AI147">
        <v>145263324</v>
      </c>
      <c r="AJ147">
        <v>135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 x14ac:dyDescent="0.2">
      <c r="A148">
        <f>ROW(Source!A103)</f>
        <v>103</v>
      </c>
      <c r="B148">
        <v>145263333</v>
      </c>
      <c r="C148">
        <v>145263321</v>
      </c>
      <c r="D148">
        <v>140922951</v>
      </c>
      <c r="E148">
        <v>1</v>
      </c>
      <c r="F148">
        <v>1</v>
      </c>
      <c r="G148">
        <v>1</v>
      </c>
      <c r="H148">
        <v>2</v>
      </c>
      <c r="I148" t="s">
        <v>436</v>
      </c>
      <c r="J148" t="s">
        <v>437</v>
      </c>
      <c r="K148" t="s">
        <v>438</v>
      </c>
      <c r="L148">
        <v>1367</v>
      </c>
      <c r="N148">
        <v>1011</v>
      </c>
      <c r="O148" t="s">
        <v>378</v>
      </c>
      <c r="P148" t="s">
        <v>378</v>
      </c>
      <c r="Q148">
        <v>1</v>
      </c>
      <c r="X148">
        <v>0.1</v>
      </c>
      <c r="Y148">
        <v>0</v>
      </c>
      <c r="Z148">
        <v>115.4</v>
      </c>
      <c r="AA148">
        <v>13.5</v>
      </c>
      <c r="AB148">
        <v>0</v>
      </c>
      <c r="AC148">
        <v>0</v>
      </c>
      <c r="AD148">
        <v>1</v>
      </c>
      <c r="AE148">
        <v>0</v>
      </c>
      <c r="AF148" t="s">
        <v>148</v>
      </c>
      <c r="AG148">
        <v>0.125</v>
      </c>
      <c r="AH148">
        <v>2</v>
      </c>
      <c r="AI148">
        <v>145263325</v>
      </c>
      <c r="AJ148">
        <v>136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 x14ac:dyDescent="0.2">
      <c r="A149">
        <f>ROW(Source!A103)</f>
        <v>103</v>
      </c>
      <c r="B149">
        <v>145263334</v>
      </c>
      <c r="C149">
        <v>145263321</v>
      </c>
      <c r="D149">
        <v>140923885</v>
      </c>
      <c r="E149">
        <v>1</v>
      </c>
      <c r="F149">
        <v>1</v>
      </c>
      <c r="G149">
        <v>1</v>
      </c>
      <c r="H149">
        <v>2</v>
      </c>
      <c r="I149" t="s">
        <v>386</v>
      </c>
      <c r="J149" t="s">
        <v>387</v>
      </c>
      <c r="K149" t="s">
        <v>388</v>
      </c>
      <c r="L149">
        <v>1367</v>
      </c>
      <c r="N149">
        <v>1011</v>
      </c>
      <c r="O149" t="s">
        <v>378</v>
      </c>
      <c r="P149" t="s">
        <v>378</v>
      </c>
      <c r="Q149">
        <v>1</v>
      </c>
      <c r="X149">
        <v>0.13</v>
      </c>
      <c r="Y149">
        <v>0</v>
      </c>
      <c r="Z149">
        <v>65.709999999999994</v>
      </c>
      <c r="AA149">
        <v>11.6</v>
      </c>
      <c r="AB149">
        <v>0</v>
      </c>
      <c r="AC149">
        <v>0</v>
      </c>
      <c r="AD149">
        <v>1</v>
      </c>
      <c r="AE149">
        <v>0</v>
      </c>
      <c r="AF149" t="s">
        <v>148</v>
      </c>
      <c r="AG149">
        <v>0.16250000000000001</v>
      </c>
      <c r="AH149">
        <v>2</v>
      </c>
      <c r="AI149">
        <v>145263326</v>
      </c>
      <c r="AJ149">
        <v>137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 x14ac:dyDescent="0.2">
      <c r="A150">
        <f>ROW(Source!A103)</f>
        <v>103</v>
      </c>
      <c r="B150">
        <v>145263335</v>
      </c>
      <c r="C150">
        <v>145263321</v>
      </c>
      <c r="D150">
        <v>140924098</v>
      </c>
      <c r="E150">
        <v>1</v>
      </c>
      <c r="F150">
        <v>1</v>
      </c>
      <c r="G150">
        <v>1</v>
      </c>
      <c r="H150">
        <v>2</v>
      </c>
      <c r="I150" t="s">
        <v>389</v>
      </c>
      <c r="J150" t="s">
        <v>390</v>
      </c>
      <c r="K150" t="s">
        <v>391</v>
      </c>
      <c r="L150">
        <v>1367</v>
      </c>
      <c r="N150">
        <v>1011</v>
      </c>
      <c r="O150" t="s">
        <v>378</v>
      </c>
      <c r="P150" t="s">
        <v>378</v>
      </c>
      <c r="Q150">
        <v>1</v>
      </c>
      <c r="X150">
        <v>1.59</v>
      </c>
      <c r="Y150">
        <v>0</v>
      </c>
      <c r="Z150">
        <v>8.1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148</v>
      </c>
      <c r="AG150">
        <v>1.9875</v>
      </c>
      <c r="AH150">
        <v>2</v>
      </c>
      <c r="AI150">
        <v>145263327</v>
      </c>
      <c r="AJ150">
        <v>138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 x14ac:dyDescent="0.2">
      <c r="A151">
        <f>ROW(Source!A103)</f>
        <v>103</v>
      </c>
      <c r="B151">
        <v>145263336</v>
      </c>
      <c r="C151">
        <v>145263321</v>
      </c>
      <c r="D151">
        <v>140773798</v>
      </c>
      <c r="E151">
        <v>1</v>
      </c>
      <c r="F151">
        <v>1</v>
      </c>
      <c r="G151">
        <v>1</v>
      </c>
      <c r="H151">
        <v>3</v>
      </c>
      <c r="I151" t="s">
        <v>395</v>
      </c>
      <c r="J151" t="s">
        <v>396</v>
      </c>
      <c r="K151" t="s">
        <v>397</v>
      </c>
      <c r="L151">
        <v>1348</v>
      </c>
      <c r="N151">
        <v>1009</v>
      </c>
      <c r="O151" t="s">
        <v>206</v>
      </c>
      <c r="P151" t="s">
        <v>206</v>
      </c>
      <c r="Q151">
        <v>1000</v>
      </c>
      <c r="X151">
        <v>5.0000000000000001E-4</v>
      </c>
      <c r="Y151">
        <v>9424</v>
      </c>
      <c r="Z151">
        <v>0</v>
      </c>
      <c r="AA151">
        <v>0</v>
      </c>
      <c r="AB151">
        <v>0</v>
      </c>
      <c r="AC151">
        <v>0</v>
      </c>
      <c r="AD151">
        <v>1</v>
      </c>
      <c r="AE151">
        <v>0</v>
      </c>
      <c r="AF151" t="s">
        <v>3</v>
      </c>
      <c r="AG151">
        <v>5.0000000000000001E-4</v>
      </c>
      <c r="AH151">
        <v>2</v>
      </c>
      <c r="AI151">
        <v>145263328</v>
      </c>
      <c r="AJ151">
        <v>139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 x14ac:dyDescent="0.2">
      <c r="A152">
        <f>ROW(Source!A103)</f>
        <v>103</v>
      </c>
      <c r="B152">
        <v>145263337</v>
      </c>
      <c r="C152">
        <v>145263321</v>
      </c>
      <c r="D152">
        <v>140776060</v>
      </c>
      <c r="E152">
        <v>1</v>
      </c>
      <c r="F152">
        <v>1</v>
      </c>
      <c r="G152">
        <v>1</v>
      </c>
      <c r="H152">
        <v>3</v>
      </c>
      <c r="I152" t="s">
        <v>545</v>
      </c>
      <c r="J152" t="s">
        <v>546</v>
      </c>
      <c r="K152" t="s">
        <v>547</v>
      </c>
      <c r="L152">
        <v>1346</v>
      </c>
      <c r="N152">
        <v>1009</v>
      </c>
      <c r="O152" t="s">
        <v>457</v>
      </c>
      <c r="P152" t="s">
        <v>457</v>
      </c>
      <c r="Q152">
        <v>1</v>
      </c>
      <c r="X152">
        <v>0.52</v>
      </c>
      <c r="Y152">
        <v>28.26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0</v>
      </c>
      <c r="AF152" t="s">
        <v>3</v>
      </c>
      <c r="AG152">
        <v>0.52</v>
      </c>
      <c r="AH152">
        <v>2</v>
      </c>
      <c r="AI152">
        <v>145263329</v>
      </c>
      <c r="AJ152">
        <v>140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 x14ac:dyDescent="0.2">
      <c r="A153">
        <f>ROW(Source!A103)</f>
        <v>103</v>
      </c>
      <c r="B153">
        <v>145263338</v>
      </c>
      <c r="C153">
        <v>145263321</v>
      </c>
      <c r="D153">
        <v>140762023</v>
      </c>
      <c r="E153">
        <v>70</v>
      </c>
      <c r="F153">
        <v>1</v>
      </c>
      <c r="G153">
        <v>1</v>
      </c>
      <c r="H153">
        <v>3</v>
      </c>
      <c r="I153" t="s">
        <v>594</v>
      </c>
      <c r="J153" t="s">
        <v>3</v>
      </c>
      <c r="K153" t="s">
        <v>595</v>
      </c>
      <c r="L153">
        <v>1348</v>
      </c>
      <c r="N153">
        <v>1009</v>
      </c>
      <c r="O153" t="s">
        <v>206</v>
      </c>
      <c r="P153" t="s">
        <v>206</v>
      </c>
      <c r="Q153">
        <v>1000</v>
      </c>
      <c r="X153">
        <v>0.3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 t="s">
        <v>3</v>
      </c>
      <c r="AG153">
        <v>0.3</v>
      </c>
      <c r="AH153">
        <v>3</v>
      </c>
      <c r="AI153">
        <v>-1</v>
      </c>
      <c r="AJ153" t="s">
        <v>3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 x14ac:dyDescent="0.2">
      <c r="A154">
        <f>ROW(Source!A104)</f>
        <v>104</v>
      </c>
      <c r="B154">
        <v>145263353</v>
      </c>
      <c r="C154">
        <v>145263339</v>
      </c>
      <c r="D154">
        <v>140760022</v>
      </c>
      <c r="E154">
        <v>70</v>
      </c>
      <c r="F154">
        <v>1</v>
      </c>
      <c r="G154">
        <v>1</v>
      </c>
      <c r="H154">
        <v>1</v>
      </c>
      <c r="I154" t="s">
        <v>492</v>
      </c>
      <c r="J154" t="s">
        <v>3</v>
      </c>
      <c r="K154" t="s">
        <v>493</v>
      </c>
      <c r="L154">
        <v>1191</v>
      </c>
      <c r="N154">
        <v>1013</v>
      </c>
      <c r="O154" t="s">
        <v>374</v>
      </c>
      <c r="P154" t="s">
        <v>374</v>
      </c>
      <c r="Q154">
        <v>1</v>
      </c>
      <c r="X154">
        <v>130</v>
      </c>
      <c r="Y154">
        <v>0</v>
      </c>
      <c r="Z154">
        <v>0</v>
      </c>
      <c r="AA154">
        <v>0</v>
      </c>
      <c r="AB154">
        <v>9.4</v>
      </c>
      <c r="AC154">
        <v>0</v>
      </c>
      <c r="AD154">
        <v>1</v>
      </c>
      <c r="AE154">
        <v>1</v>
      </c>
      <c r="AF154" t="s">
        <v>3</v>
      </c>
      <c r="AG154">
        <v>130</v>
      </c>
      <c r="AH154">
        <v>2</v>
      </c>
      <c r="AI154">
        <v>145263340</v>
      </c>
      <c r="AJ154">
        <v>141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 x14ac:dyDescent="0.2">
      <c r="A155">
        <f>ROW(Source!A104)</f>
        <v>104</v>
      </c>
      <c r="B155">
        <v>145263354</v>
      </c>
      <c r="C155">
        <v>145263339</v>
      </c>
      <c r="D155">
        <v>140760225</v>
      </c>
      <c r="E155">
        <v>70</v>
      </c>
      <c r="F155">
        <v>1</v>
      </c>
      <c r="G155">
        <v>1</v>
      </c>
      <c r="H155">
        <v>1</v>
      </c>
      <c r="I155" t="s">
        <v>381</v>
      </c>
      <c r="J155" t="s">
        <v>3</v>
      </c>
      <c r="K155" t="s">
        <v>382</v>
      </c>
      <c r="L155">
        <v>1191</v>
      </c>
      <c r="N155">
        <v>1013</v>
      </c>
      <c r="O155" t="s">
        <v>374</v>
      </c>
      <c r="P155" t="s">
        <v>374</v>
      </c>
      <c r="Q155">
        <v>1</v>
      </c>
      <c r="X155">
        <v>3.95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2</v>
      </c>
      <c r="AF155" t="s">
        <v>3</v>
      </c>
      <c r="AG155">
        <v>3.95</v>
      </c>
      <c r="AH155">
        <v>2</v>
      </c>
      <c r="AI155">
        <v>145263341</v>
      </c>
      <c r="AJ155">
        <v>142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 x14ac:dyDescent="0.2">
      <c r="A156">
        <f>ROW(Source!A104)</f>
        <v>104</v>
      </c>
      <c r="B156">
        <v>145263355</v>
      </c>
      <c r="C156">
        <v>145263339</v>
      </c>
      <c r="D156">
        <v>140922951</v>
      </c>
      <c r="E156">
        <v>1</v>
      </c>
      <c r="F156">
        <v>1</v>
      </c>
      <c r="G156">
        <v>1</v>
      </c>
      <c r="H156">
        <v>2</v>
      </c>
      <c r="I156" t="s">
        <v>436</v>
      </c>
      <c r="J156" t="s">
        <v>437</v>
      </c>
      <c r="K156" t="s">
        <v>438</v>
      </c>
      <c r="L156">
        <v>1367</v>
      </c>
      <c r="N156">
        <v>1011</v>
      </c>
      <c r="O156" t="s">
        <v>378</v>
      </c>
      <c r="P156" t="s">
        <v>378</v>
      </c>
      <c r="Q156">
        <v>1</v>
      </c>
      <c r="X156">
        <v>0.5</v>
      </c>
      <c r="Y156">
        <v>0</v>
      </c>
      <c r="Z156">
        <v>115.4</v>
      </c>
      <c r="AA156">
        <v>13.5</v>
      </c>
      <c r="AB156">
        <v>0</v>
      </c>
      <c r="AC156">
        <v>0</v>
      </c>
      <c r="AD156">
        <v>1</v>
      </c>
      <c r="AE156">
        <v>0</v>
      </c>
      <c r="AF156" t="s">
        <v>3</v>
      </c>
      <c r="AG156">
        <v>0.5</v>
      </c>
      <c r="AH156">
        <v>2</v>
      </c>
      <c r="AI156">
        <v>145263342</v>
      </c>
      <c r="AJ156">
        <v>143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 x14ac:dyDescent="0.2">
      <c r="A157">
        <f>ROW(Source!A104)</f>
        <v>104</v>
      </c>
      <c r="B157">
        <v>145263356</v>
      </c>
      <c r="C157">
        <v>145263339</v>
      </c>
      <c r="D157">
        <v>140923082</v>
      </c>
      <c r="E157">
        <v>1</v>
      </c>
      <c r="F157">
        <v>1</v>
      </c>
      <c r="G157">
        <v>1</v>
      </c>
      <c r="H157">
        <v>2</v>
      </c>
      <c r="I157" t="s">
        <v>537</v>
      </c>
      <c r="J157" t="s">
        <v>538</v>
      </c>
      <c r="K157" t="s">
        <v>539</v>
      </c>
      <c r="L157">
        <v>1367</v>
      </c>
      <c r="N157">
        <v>1011</v>
      </c>
      <c r="O157" t="s">
        <v>378</v>
      </c>
      <c r="P157" t="s">
        <v>378</v>
      </c>
      <c r="Q157">
        <v>1</v>
      </c>
      <c r="X157">
        <v>2.15</v>
      </c>
      <c r="Y157">
        <v>0</v>
      </c>
      <c r="Z157">
        <v>29.08</v>
      </c>
      <c r="AA157">
        <v>10.06</v>
      </c>
      <c r="AB157">
        <v>0</v>
      </c>
      <c r="AC157">
        <v>0</v>
      </c>
      <c r="AD157">
        <v>1</v>
      </c>
      <c r="AE157">
        <v>0</v>
      </c>
      <c r="AF157" t="s">
        <v>3</v>
      </c>
      <c r="AG157">
        <v>2.15</v>
      </c>
      <c r="AH157">
        <v>2</v>
      </c>
      <c r="AI157">
        <v>145263343</v>
      </c>
      <c r="AJ157">
        <v>144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 x14ac:dyDescent="0.2">
      <c r="A158">
        <f>ROW(Source!A104)</f>
        <v>104</v>
      </c>
      <c r="B158">
        <v>145263357</v>
      </c>
      <c r="C158">
        <v>145263339</v>
      </c>
      <c r="D158">
        <v>140923886</v>
      </c>
      <c r="E158">
        <v>1</v>
      </c>
      <c r="F158">
        <v>1</v>
      </c>
      <c r="G158">
        <v>1</v>
      </c>
      <c r="H158">
        <v>2</v>
      </c>
      <c r="I158" t="s">
        <v>497</v>
      </c>
      <c r="J158" t="s">
        <v>498</v>
      </c>
      <c r="K158" t="s">
        <v>499</v>
      </c>
      <c r="L158">
        <v>1367</v>
      </c>
      <c r="N158">
        <v>1011</v>
      </c>
      <c r="O158" t="s">
        <v>378</v>
      </c>
      <c r="P158" t="s">
        <v>378</v>
      </c>
      <c r="Q158">
        <v>1</v>
      </c>
      <c r="X158">
        <v>0.5</v>
      </c>
      <c r="Y158">
        <v>0</v>
      </c>
      <c r="Z158">
        <v>85.84</v>
      </c>
      <c r="AA158">
        <v>11.6</v>
      </c>
      <c r="AB158">
        <v>0</v>
      </c>
      <c r="AC158">
        <v>0</v>
      </c>
      <c r="AD158">
        <v>1</v>
      </c>
      <c r="AE158">
        <v>0</v>
      </c>
      <c r="AF158" t="s">
        <v>3</v>
      </c>
      <c r="AG158">
        <v>0.5</v>
      </c>
      <c r="AH158">
        <v>2</v>
      </c>
      <c r="AI158">
        <v>145263344</v>
      </c>
      <c r="AJ158">
        <v>145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 x14ac:dyDescent="0.2">
      <c r="A159">
        <f>ROW(Source!A104)</f>
        <v>104</v>
      </c>
      <c r="B159">
        <v>145263358</v>
      </c>
      <c r="C159">
        <v>145263339</v>
      </c>
      <c r="D159">
        <v>140924028</v>
      </c>
      <c r="E159">
        <v>1</v>
      </c>
      <c r="F159">
        <v>1</v>
      </c>
      <c r="G159">
        <v>1</v>
      </c>
      <c r="H159">
        <v>2</v>
      </c>
      <c r="I159" t="s">
        <v>500</v>
      </c>
      <c r="J159" t="s">
        <v>501</v>
      </c>
      <c r="K159" t="s">
        <v>502</v>
      </c>
      <c r="L159">
        <v>1367</v>
      </c>
      <c r="N159">
        <v>1011</v>
      </c>
      <c r="O159" t="s">
        <v>378</v>
      </c>
      <c r="P159" t="s">
        <v>378</v>
      </c>
      <c r="Q159">
        <v>1</v>
      </c>
      <c r="X159">
        <v>43.4</v>
      </c>
      <c r="Y159">
        <v>0</v>
      </c>
      <c r="Z159">
        <v>39.49</v>
      </c>
      <c r="AA159">
        <v>0</v>
      </c>
      <c r="AB159">
        <v>0</v>
      </c>
      <c r="AC159">
        <v>0</v>
      </c>
      <c r="AD159">
        <v>1</v>
      </c>
      <c r="AE159">
        <v>0</v>
      </c>
      <c r="AF159" t="s">
        <v>3</v>
      </c>
      <c r="AG159">
        <v>43.4</v>
      </c>
      <c r="AH159">
        <v>2</v>
      </c>
      <c r="AI159">
        <v>145263345</v>
      </c>
      <c r="AJ159">
        <v>146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 x14ac:dyDescent="0.2">
      <c r="A160">
        <f>ROW(Source!A104)</f>
        <v>104</v>
      </c>
      <c r="B160">
        <v>145263359</v>
      </c>
      <c r="C160">
        <v>145263339</v>
      </c>
      <c r="D160">
        <v>140924041</v>
      </c>
      <c r="E160">
        <v>1</v>
      </c>
      <c r="F160">
        <v>1</v>
      </c>
      <c r="G160">
        <v>1</v>
      </c>
      <c r="H160">
        <v>2</v>
      </c>
      <c r="I160" t="s">
        <v>445</v>
      </c>
      <c r="J160" t="s">
        <v>446</v>
      </c>
      <c r="K160" t="s">
        <v>447</v>
      </c>
      <c r="L160">
        <v>1367</v>
      </c>
      <c r="N160">
        <v>1011</v>
      </c>
      <c r="O160" t="s">
        <v>378</v>
      </c>
      <c r="P160" t="s">
        <v>378</v>
      </c>
      <c r="Q160">
        <v>1</v>
      </c>
      <c r="X160">
        <v>0.9</v>
      </c>
      <c r="Y160">
        <v>0</v>
      </c>
      <c r="Z160">
        <v>1.2</v>
      </c>
      <c r="AA160">
        <v>0</v>
      </c>
      <c r="AB160">
        <v>0</v>
      </c>
      <c r="AC160">
        <v>0</v>
      </c>
      <c r="AD160">
        <v>1</v>
      </c>
      <c r="AE160">
        <v>0</v>
      </c>
      <c r="AF160" t="s">
        <v>3</v>
      </c>
      <c r="AG160">
        <v>0.9</v>
      </c>
      <c r="AH160">
        <v>2</v>
      </c>
      <c r="AI160">
        <v>145263346</v>
      </c>
      <c r="AJ160">
        <v>147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 x14ac:dyDescent="0.2">
      <c r="A161">
        <f>ROW(Source!A104)</f>
        <v>104</v>
      </c>
      <c r="B161">
        <v>145263360</v>
      </c>
      <c r="C161">
        <v>145263339</v>
      </c>
      <c r="D161">
        <v>140924610</v>
      </c>
      <c r="E161">
        <v>1</v>
      </c>
      <c r="F161">
        <v>1</v>
      </c>
      <c r="G161">
        <v>1</v>
      </c>
      <c r="H161">
        <v>2</v>
      </c>
      <c r="I161" t="s">
        <v>548</v>
      </c>
      <c r="J161" t="s">
        <v>549</v>
      </c>
      <c r="K161" t="s">
        <v>550</v>
      </c>
      <c r="L161">
        <v>1367</v>
      </c>
      <c r="N161">
        <v>1011</v>
      </c>
      <c r="O161" t="s">
        <v>378</v>
      </c>
      <c r="P161" t="s">
        <v>378</v>
      </c>
      <c r="Q161">
        <v>1</v>
      </c>
      <c r="X161">
        <v>0.8</v>
      </c>
      <c r="Y161">
        <v>0</v>
      </c>
      <c r="Z161">
        <v>15.4</v>
      </c>
      <c r="AA161">
        <v>10.06</v>
      </c>
      <c r="AB161">
        <v>0</v>
      </c>
      <c r="AC161">
        <v>0</v>
      </c>
      <c r="AD161">
        <v>1</v>
      </c>
      <c r="AE161">
        <v>0</v>
      </c>
      <c r="AF161" t="s">
        <v>3</v>
      </c>
      <c r="AG161">
        <v>0.8</v>
      </c>
      <c r="AH161">
        <v>2</v>
      </c>
      <c r="AI161">
        <v>145263347</v>
      </c>
      <c r="AJ161">
        <v>148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 x14ac:dyDescent="0.2">
      <c r="A162">
        <f>ROW(Source!A104)</f>
        <v>104</v>
      </c>
      <c r="B162">
        <v>145263361</v>
      </c>
      <c r="C162">
        <v>145263339</v>
      </c>
      <c r="D162">
        <v>140924652</v>
      </c>
      <c r="E162">
        <v>1</v>
      </c>
      <c r="F162">
        <v>1</v>
      </c>
      <c r="G162">
        <v>1</v>
      </c>
      <c r="H162">
        <v>2</v>
      </c>
      <c r="I162" t="s">
        <v>540</v>
      </c>
      <c r="J162" t="s">
        <v>541</v>
      </c>
      <c r="K162" t="s">
        <v>542</v>
      </c>
      <c r="L162">
        <v>1367</v>
      </c>
      <c r="N162">
        <v>1011</v>
      </c>
      <c r="O162" t="s">
        <v>378</v>
      </c>
      <c r="P162" t="s">
        <v>378</v>
      </c>
      <c r="Q162">
        <v>1</v>
      </c>
      <c r="X162">
        <v>2.4</v>
      </c>
      <c r="Y162">
        <v>0</v>
      </c>
      <c r="Z162">
        <v>2.36</v>
      </c>
      <c r="AA162">
        <v>0</v>
      </c>
      <c r="AB162">
        <v>0</v>
      </c>
      <c r="AC162">
        <v>0</v>
      </c>
      <c r="AD162">
        <v>1</v>
      </c>
      <c r="AE162">
        <v>0</v>
      </c>
      <c r="AF162" t="s">
        <v>3</v>
      </c>
      <c r="AG162">
        <v>2.4</v>
      </c>
      <c r="AH162">
        <v>2</v>
      </c>
      <c r="AI162">
        <v>145263348</v>
      </c>
      <c r="AJ162">
        <v>149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 x14ac:dyDescent="0.2">
      <c r="A163">
        <f>ROW(Source!A104)</f>
        <v>104</v>
      </c>
      <c r="B163">
        <v>145263362</v>
      </c>
      <c r="C163">
        <v>145263339</v>
      </c>
      <c r="D163">
        <v>140771005</v>
      </c>
      <c r="E163">
        <v>1</v>
      </c>
      <c r="F163">
        <v>1</v>
      </c>
      <c r="G163">
        <v>1</v>
      </c>
      <c r="H163">
        <v>3</v>
      </c>
      <c r="I163" t="s">
        <v>451</v>
      </c>
      <c r="J163" t="s">
        <v>452</v>
      </c>
      <c r="K163" t="s">
        <v>453</v>
      </c>
      <c r="L163">
        <v>1339</v>
      </c>
      <c r="N163">
        <v>1007</v>
      </c>
      <c r="O163" t="s">
        <v>404</v>
      </c>
      <c r="P163" t="s">
        <v>404</v>
      </c>
      <c r="Q163">
        <v>1</v>
      </c>
      <c r="X163">
        <v>0.6</v>
      </c>
      <c r="Y163">
        <v>6.22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 t="s">
        <v>3</v>
      </c>
      <c r="AG163">
        <v>0.6</v>
      </c>
      <c r="AH163">
        <v>2</v>
      </c>
      <c r="AI163">
        <v>145263349</v>
      </c>
      <c r="AJ163">
        <v>150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 x14ac:dyDescent="0.2">
      <c r="A164">
        <f>ROW(Source!A104)</f>
        <v>104</v>
      </c>
      <c r="B164">
        <v>145263363</v>
      </c>
      <c r="C164">
        <v>145263339</v>
      </c>
      <c r="D164">
        <v>140771011</v>
      </c>
      <c r="E164">
        <v>1</v>
      </c>
      <c r="F164">
        <v>1</v>
      </c>
      <c r="G164">
        <v>1</v>
      </c>
      <c r="H164">
        <v>3</v>
      </c>
      <c r="I164" t="s">
        <v>454</v>
      </c>
      <c r="J164" t="s">
        <v>455</v>
      </c>
      <c r="K164" t="s">
        <v>456</v>
      </c>
      <c r="L164">
        <v>1346</v>
      </c>
      <c r="N164">
        <v>1009</v>
      </c>
      <c r="O164" t="s">
        <v>457</v>
      </c>
      <c r="P164" t="s">
        <v>457</v>
      </c>
      <c r="Q164">
        <v>1</v>
      </c>
      <c r="X164">
        <v>0.2</v>
      </c>
      <c r="Y164">
        <v>6.09</v>
      </c>
      <c r="Z164">
        <v>0</v>
      </c>
      <c r="AA164">
        <v>0</v>
      </c>
      <c r="AB164">
        <v>0</v>
      </c>
      <c r="AC164">
        <v>0</v>
      </c>
      <c r="AD164">
        <v>1</v>
      </c>
      <c r="AE164">
        <v>0</v>
      </c>
      <c r="AF164" t="s">
        <v>3</v>
      </c>
      <c r="AG164">
        <v>0.2</v>
      </c>
      <c r="AH164">
        <v>2</v>
      </c>
      <c r="AI164">
        <v>145263350</v>
      </c>
      <c r="AJ164">
        <v>151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 x14ac:dyDescent="0.2">
      <c r="A165">
        <f>ROW(Source!A104)</f>
        <v>104</v>
      </c>
      <c r="B165">
        <v>145263364</v>
      </c>
      <c r="C165">
        <v>145263339</v>
      </c>
      <c r="D165">
        <v>140773788</v>
      </c>
      <c r="E165">
        <v>1</v>
      </c>
      <c r="F165">
        <v>1</v>
      </c>
      <c r="G165">
        <v>1</v>
      </c>
      <c r="H165">
        <v>3</v>
      </c>
      <c r="I165" t="s">
        <v>512</v>
      </c>
      <c r="J165" t="s">
        <v>513</v>
      </c>
      <c r="K165" t="s">
        <v>514</v>
      </c>
      <c r="L165">
        <v>1348</v>
      </c>
      <c r="N165">
        <v>1009</v>
      </c>
      <c r="O165" t="s">
        <v>206</v>
      </c>
      <c r="P165" t="s">
        <v>206</v>
      </c>
      <c r="Q165">
        <v>1000</v>
      </c>
      <c r="X165">
        <v>1.9E-2</v>
      </c>
      <c r="Y165">
        <v>9765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0</v>
      </c>
      <c r="AF165" t="s">
        <v>3</v>
      </c>
      <c r="AG165">
        <v>1.9E-2</v>
      </c>
      <c r="AH165">
        <v>2</v>
      </c>
      <c r="AI165">
        <v>145263351</v>
      </c>
      <c r="AJ165">
        <v>152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 x14ac:dyDescent="0.2">
      <c r="A166">
        <f>ROW(Source!A104)</f>
        <v>104</v>
      </c>
      <c r="B166">
        <v>145263365</v>
      </c>
      <c r="C166">
        <v>145263339</v>
      </c>
      <c r="D166">
        <v>140765022</v>
      </c>
      <c r="E166">
        <v>70</v>
      </c>
      <c r="F166">
        <v>1</v>
      </c>
      <c r="G166">
        <v>1</v>
      </c>
      <c r="H166">
        <v>3</v>
      </c>
      <c r="I166" t="s">
        <v>515</v>
      </c>
      <c r="J166" t="s">
        <v>3</v>
      </c>
      <c r="K166" t="s">
        <v>516</v>
      </c>
      <c r="L166">
        <v>1374</v>
      </c>
      <c r="N166">
        <v>1013</v>
      </c>
      <c r="O166" t="s">
        <v>517</v>
      </c>
      <c r="P166" t="s">
        <v>517</v>
      </c>
      <c r="Q166">
        <v>1</v>
      </c>
      <c r="X166">
        <v>24.44</v>
      </c>
      <c r="Y166">
        <v>1</v>
      </c>
      <c r="Z166">
        <v>0</v>
      </c>
      <c r="AA166">
        <v>0</v>
      </c>
      <c r="AB166">
        <v>0</v>
      </c>
      <c r="AC166">
        <v>0</v>
      </c>
      <c r="AD166">
        <v>1</v>
      </c>
      <c r="AE166">
        <v>0</v>
      </c>
      <c r="AF166" t="s">
        <v>3</v>
      </c>
      <c r="AG166">
        <v>24.44</v>
      </c>
      <c r="AH166">
        <v>2</v>
      </c>
      <c r="AI166">
        <v>145263352</v>
      </c>
      <c r="AJ166">
        <v>153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 x14ac:dyDescent="0.2">
      <c r="A167">
        <f>ROW(Source!A107)</f>
        <v>107</v>
      </c>
      <c r="B167">
        <v>145263377</v>
      </c>
      <c r="C167">
        <v>145263368</v>
      </c>
      <c r="D167">
        <v>140760060</v>
      </c>
      <c r="E167">
        <v>70</v>
      </c>
      <c r="F167">
        <v>1</v>
      </c>
      <c r="G167">
        <v>1</v>
      </c>
      <c r="H167">
        <v>1</v>
      </c>
      <c r="I167" t="s">
        <v>551</v>
      </c>
      <c r="J167" t="s">
        <v>3</v>
      </c>
      <c r="K167" t="s">
        <v>552</v>
      </c>
      <c r="L167">
        <v>1191</v>
      </c>
      <c r="N167">
        <v>1013</v>
      </c>
      <c r="O167" t="s">
        <v>374</v>
      </c>
      <c r="P167" t="s">
        <v>374</v>
      </c>
      <c r="Q167">
        <v>1</v>
      </c>
      <c r="X167">
        <v>5.31</v>
      </c>
      <c r="Y167">
        <v>0</v>
      </c>
      <c r="Z167">
        <v>0</v>
      </c>
      <c r="AA167">
        <v>0</v>
      </c>
      <c r="AB167">
        <v>10.65</v>
      </c>
      <c r="AC167">
        <v>0</v>
      </c>
      <c r="AD167">
        <v>1</v>
      </c>
      <c r="AE167">
        <v>1</v>
      </c>
      <c r="AF167" t="s">
        <v>149</v>
      </c>
      <c r="AG167">
        <v>6.1064999999999987</v>
      </c>
      <c r="AH167">
        <v>2</v>
      </c>
      <c r="AI167">
        <v>145263369</v>
      </c>
      <c r="AJ167">
        <v>154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 x14ac:dyDescent="0.2">
      <c r="A168">
        <f>ROW(Source!A107)</f>
        <v>107</v>
      </c>
      <c r="B168">
        <v>145263378</v>
      </c>
      <c r="C168">
        <v>145263368</v>
      </c>
      <c r="D168">
        <v>140760225</v>
      </c>
      <c r="E168">
        <v>70</v>
      </c>
      <c r="F168">
        <v>1</v>
      </c>
      <c r="G168">
        <v>1</v>
      </c>
      <c r="H168">
        <v>1</v>
      </c>
      <c r="I168" t="s">
        <v>381</v>
      </c>
      <c r="J168" t="s">
        <v>3</v>
      </c>
      <c r="K168" t="s">
        <v>382</v>
      </c>
      <c r="L168">
        <v>1191</v>
      </c>
      <c r="N168">
        <v>1013</v>
      </c>
      <c r="O168" t="s">
        <v>374</v>
      </c>
      <c r="P168" t="s">
        <v>374</v>
      </c>
      <c r="Q168">
        <v>1</v>
      </c>
      <c r="X168">
        <v>0.02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1</v>
      </c>
      <c r="AE168">
        <v>2</v>
      </c>
      <c r="AF168" t="s">
        <v>148</v>
      </c>
      <c r="AG168">
        <v>2.5000000000000001E-2</v>
      </c>
      <c r="AH168">
        <v>2</v>
      </c>
      <c r="AI168">
        <v>145263370</v>
      </c>
      <c r="AJ168">
        <v>155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 x14ac:dyDescent="0.2">
      <c r="A169">
        <f>ROW(Source!A107)</f>
        <v>107</v>
      </c>
      <c r="B169">
        <v>145263379</v>
      </c>
      <c r="C169">
        <v>145263368</v>
      </c>
      <c r="D169">
        <v>140923086</v>
      </c>
      <c r="E169">
        <v>1</v>
      </c>
      <c r="F169">
        <v>1</v>
      </c>
      <c r="G169">
        <v>1</v>
      </c>
      <c r="H169">
        <v>2</v>
      </c>
      <c r="I169" t="s">
        <v>553</v>
      </c>
      <c r="J169" t="s">
        <v>554</v>
      </c>
      <c r="K169" t="s">
        <v>555</v>
      </c>
      <c r="L169">
        <v>1367</v>
      </c>
      <c r="N169">
        <v>1011</v>
      </c>
      <c r="O169" t="s">
        <v>378</v>
      </c>
      <c r="P169" t="s">
        <v>378</v>
      </c>
      <c r="Q169">
        <v>1</v>
      </c>
      <c r="X169">
        <v>0.01</v>
      </c>
      <c r="Y169">
        <v>0</v>
      </c>
      <c r="Z169">
        <v>1.7</v>
      </c>
      <c r="AA169">
        <v>0</v>
      </c>
      <c r="AB169">
        <v>0</v>
      </c>
      <c r="AC169">
        <v>0</v>
      </c>
      <c r="AD169">
        <v>1</v>
      </c>
      <c r="AE169">
        <v>0</v>
      </c>
      <c r="AF169" t="s">
        <v>148</v>
      </c>
      <c r="AG169">
        <v>1.2500000000000001E-2</v>
      </c>
      <c r="AH169">
        <v>2</v>
      </c>
      <c r="AI169">
        <v>145263371</v>
      </c>
      <c r="AJ169">
        <v>156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 x14ac:dyDescent="0.2">
      <c r="A170">
        <f>ROW(Source!A107)</f>
        <v>107</v>
      </c>
      <c r="B170">
        <v>145263380</v>
      </c>
      <c r="C170">
        <v>145263368</v>
      </c>
      <c r="D170">
        <v>140923105</v>
      </c>
      <c r="E170">
        <v>1</v>
      </c>
      <c r="F170">
        <v>1</v>
      </c>
      <c r="G170">
        <v>1</v>
      </c>
      <c r="H170">
        <v>2</v>
      </c>
      <c r="I170" t="s">
        <v>556</v>
      </c>
      <c r="J170" t="s">
        <v>557</v>
      </c>
      <c r="K170" t="s">
        <v>558</v>
      </c>
      <c r="L170">
        <v>1367</v>
      </c>
      <c r="N170">
        <v>1011</v>
      </c>
      <c r="O170" t="s">
        <v>378</v>
      </c>
      <c r="P170" t="s">
        <v>378</v>
      </c>
      <c r="Q170">
        <v>1</v>
      </c>
      <c r="X170">
        <v>0.01</v>
      </c>
      <c r="Y170">
        <v>0</v>
      </c>
      <c r="Z170">
        <v>89.99</v>
      </c>
      <c r="AA170">
        <v>10.06</v>
      </c>
      <c r="AB170">
        <v>0</v>
      </c>
      <c r="AC170">
        <v>0</v>
      </c>
      <c r="AD170">
        <v>1</v>
      </c>
      <c r="AE170">
        <v>0</v>
      </c>
      <c r="AF170" t="s">
        <v>148</v>
      </c>
      <c r="AG170">
        <v>1.2500000000000001E-2</v>
      </c>
      <c r="AH170">
        <v>2</v>
      </c>
      <c r="AI170">
        <v>145263372</v>
      </c>
      <c r="AJ170">
        <v>157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 x14ac:dyDescent="0.2">
      <c r="A171">
        <f>ROW(Source!A107)</f>
        <v>107</v>
      </c>
      <c r="B171">
        <v>145263381</v>
      </c>
      <c r="C171">
        <v>145263368</v>
      </c>
      <c r="D171">
        <v>140923885</v>
      </c>
      <c r="E171">
        <v>1</v>
      </c>
      <c r="F171">
        <v>1</v>
      </c>
      <c r="G171">
        <v>1</v>
      </c>
      <c r="H171">
        <v>2</v>
      </c>
      <c r="I171" t="s">
        <v>386</v>
      </c>
      <c r="J171" t="s">
        <v>387</v>
      </c>
      <c r="K171" t="s">
        <v>388</v>
      </c>
      <c r="L171">
        <v>1367</v>
      </c>
      <c r="N171">
        <v>1011</v>
      </c>
      <c r="O171" t="s">
        <v>378</v>
      </c>
      <c r="P171" t="s">
        <v>378</v>
      </c>
      <c r="Q171">
        <v>1</v>
      </c>
      <c r="X171">
        <v>0.01</v>
      </c>
      <c r="Y171">
        <v>0</v>
      </c>
      <c r="Z171">
        <v>65.709999999999994</v>
      </c>
      <c r="AA171">
        <v>11.6</v>
      </c>
      <c r="AB171">
        <v>0</v>
      </c>
      <c r="AC171">
        <v>0</v>
      </c>
      <c r="AD171">
        <v>1</v>
      </c>
      <c r="AE171">
        <v>0</v>
      </c>
      <c r="AF171" t="s">
        <v>148</v>
      </c>
      <c r="AG171">
        <v>1.2500000000000001E-2</v>
      </c>
      <c r="AH171">
        <v>2</v>
      </c>
      <c r="AI171">
        <v>145263373</v>
      </c>
      <c r="AJ171">
        <v>158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 x14ac:dyDescent="0.2">
      <c r="A172">
        <f>ROW(Source!A107)</f>
        <v>107</v>
      </c>
      <c r="B172">
        <v>145263382</v>
      </c>
      <c r="C172">
        <v>145263368</v>
      </c>
      <c r="D172">
        <v>140924526</v>
      </c>
      <c r="E172">
        <v>1</v>
      </c>
      <c r="F172">
        <v>1</v>
      </c>
      <c r="G172">
        <v>1</v>
      </c>
      <c r="H172">
        <v>2</v>
      </c>
      <c r="I172" t="s">
        <v>559</v>
      </c>
      <c r="J172" t="s">
        <v>560</v>
      </c>
      <c r="K172" t="s">
        <v>561</v>
      </c>
      <c r="L172">
        <v>1367</v>
      </c>
      <c r="N172">
        <v>1011</v>
      </c>
      <c r="O172" t="s">
        <v>378</v>
      </c>
      <c r="P172" t="s">
        <v>378</v>
      </c>
      <c r="Q172">
        <v>1</v>
      </c>
      <c r="X172">
        <v>1.1200000000000001</v>
      </c>
      <c r="Y172">
        <v>0</v>
      </c>
      <c r="Z172">
        <v>6.82</v>
      </c>
      <c r="AA172">
        <v>0</v>
      </c>
      <c r="AB172">
        <v>0</v>
      </c>
      <c r="AC172">
        <v>0</v>
      </c>
      <c r="AD172">
        <v>1</v>
      </c>
      <c r="AE172">
        <v>0</v>
      </c>
      <c r="AF172" t="s">
        <v>148</v>
      </c>
      <c r="AG172">
        <v>1.4000000000000001</v>
      </c>
      <c r="AH172">
        <v>2</v>
      </c>
      <c r="AI172">
        <v>145263374</v>
      </c>
      <c r="AJ172">
        <v>159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  <row r="173" spans="1:44" x14ac:dyDescent="0.2">
      <c r="A173">
        <f>ROW(Source!A107)</f>
        <v>107</v>
      </c>
      <c r="B173">
        <v>145263383</v>
      </c>
      <c r="C173">
        <v>145263368</v>
      </c>
      <c r="D173">
        <v>140804058</v>
      </c>
      <c r="E173">
        <v>1</v>
      </c>
      <c r="F173">
        <v>1</v>
      </c>
      <c r="G173">
        <v>1</v>
      </c>
      <c r="H173">
        <v>3</v>
      </c>
      <c r="I173" t="s">
        <v>480</v>
      </c>
      <c r="J173" t="s">
        <v>481</v>
      </c>
      <c r="K173" t="s">
        <v>482</v>
      </c>
      <c r="L173">
        <v>1348</v>
      </c>
      <c r="N173">
        <v>1009</v>
      </c>
      <c r="O173" t="s">
        <v>206</v>
      </c>
      <c r="P173" t="s">
        <v>206</v>
      </c>
      <c r="Q173">
        <v>1000</v>
      </c>
      <c r="X173">
        <v>8.9999999999999993E-3</v>
      </c>
      <c r="Y173">
        <v>15620</v>
      </c>
      <c r="Z173">
        <v>0</v>
      </c>
      <c r="AA173">
        <v>0</v>
      </c>
      <c r="AB173">
        <v>0</v>
      </c>
      <c r="AC173">
        <v>0</v>
      </c>
      <c r="AD173">
        <v>1</v>
      </c>
      <c r="AE173">
        <v>0</v>
      </c>
      <c r="AF173" t="s">
        <v>3</v>
      </c>
      <c r="AG173">
        <v>8.9999999999999993E-3</v>
      </c>
      <c r="AH173">
        <v>2</v>
      </c>
      <c r="AI173">
        <v>145263375</v>
      </c>
      <c r="AJ173">
        <v>160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</row>
    <row r="174" spans="1:44" x14ac:dyDescent="0.2">
      <c r="A174">
        <f>ROW(Source!A107)</f>
        <v>107</v>
      </c>
      <c r="B174">
        <v>145263384</v>
      </c>
      <c r="C174">
        <v>145263368</v>
      </c>
      <c r="D174">
        <v>140805125</v>
      </c>
      <c r="E174">
        <v>1</v>
      </c>
      <c r="F174">
        <v>1</v>
      </c>
      <c r="G174">
        <v>1</v>
      </c>
      <c r="H174">
        <v>3</v>
      </c>
      <c r="I174" t="s">
        <v>562</v>
      </c>
      <c r="J174" t="s">
        <v>563</v>
      </c>
      <c r="K174" t="s">
        <v>564</v>
      </c>
      <c r="L174">
        <v>1348</v>
      </c>
      <c r="N174">
        <v>1009</v>
      </c>
      <c r="O174" t="s">
        <v>206</v>
      </c>
      <c r="P174" t="s">
        <v>206</v>
      </c>
      <c r="Q174">
        <v>1000</v>
      </c>
      <c r="X174">
        <v>1.5E-3</v>
      </c>
      <c r="Y174">
        <v>7640</v>
      </c>
      <c r="Z174">
        <v>0</v>
      </c>
      <c r="AA174">
        <v>0</v>
      </c>
      <c r="AB174">
        <v>0</v>
      </c>
      <c r="AC174">
        <v>0</v>
      </c>
      <c r="AD174">
        <v>1</v>
      </c>
      <c r="AE174">
        <v>0</v>
      </c>
      <c r="AF174" t="s">
        <v>3</v>
      </c>
      <c r="AG174">
        <v>1.5E-3</v>
      </c>
      <c r="AH174">
        <v>2</v>
      </c>
      <c r="AI174">
        <v>145263376</v>
      </c>
      <c r="AJ174">
        <v>161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</row>
    <row r="175" spans="1:44" x14ac:dyDescent="0.2">
      <c r="A175">
        <f>ROW(Source!A108)</f>
        <v>108</v>
      </c>
      <c r="B175">
        <v>145263394</v>
      </c>
      <c r="C175">
        <v>145263385</v>
      </c>
      <c r="D175">
        <v>140760001</v>
      </c>
      <c r="E175">
        <v>70</v>
      </c>
      <c r="F175">
        <v>1</v>
      </c>
      <c r="G175">
        <v>1</v>
      </c>
      <c r="H175">
        <v>1</v>
      </c>
      <c r="I175" t="s">
        <v>379</v>
      </c>
      <c r="J175" t="s">
        <v>3</v>
      </c>
      <c r="K175" t="s">
        <v>380</v>
      </c>
      <c r="L175">
        <v>1191</v>
      </c>
      <c r="N175">
        <v>1013</v>
      </c>
      <c r="O175" t="s">
        <v>374</v>
      </c>
      <c r="P175" t="s">
        <v>374</v>
      </c>
      <c r="Q175">
        <v>1</v>
      </c>
      <c r="X175">
        <v>2.13</v>
      </c>
      <c r="Y175">
        <v>0</v>
      </c>
      <c r="Z175">
        <v>0</v>
      </c>
      <c r="AA175">
        <v>0</v>
      </c>
      <c r="AB175">
        <v>9.07</v>
      </c>
      <c r="AC175">
        <v>0</v>
      </c>
      <c r="AD175">
        <v>1</v>
      </c>
      <c r="AE175">
        <v>1</v>
      </c>
      <c r="AF175" t="s">
        <v>297</v>
      </c>
      <c r="AG175">
        <v>4.8989999999999991</v>
      </c>
      <c r="AH175">
        <v>2</v>
      </c>
      <c r="AI175">
        <v>145263386</v>
      </c>
      <c r="AJ175">
        <v>162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</row>
    <row r="176" spans="1:44" x14ac:dyDescent="0.2">
      <c r="A176">
        <f>ROW(Source!A108)</f>
        <v>108</v>
      </c>
      <c r="B176">
        <v>145263395</v>
      </c>
      <c r="C176">
        <v>145263385</v>
      </c>
      <c r="D176">
        <v>140760225</v>
      </c>
      <c r="E176">
        <v>70</v>
      </c>
      <c r="F176">
        <v>1</v>
      </c>
      <c r="G176">
        <v>1</v>
      </c>
      <c r="H176">
        <v>1</v>
      </c>
      <c r="I176" t="s">
        <v>381</v>
      </c>
      <c r="J176" t="s">
        <v>3</v>
      </c>
      <c r="K176" t="s">
        <v>382</v>
      </c>
      <c r="L176">
        <v>1191</v>
      </c>
      <c r="N176">
        <v>1013</v>
      </c>
      <c r="O176" t="s">
        <v>374</v>
      </c>
      <c r="P176" t="s">
        <v>374</v>
      </c>
      <c r="Q176">
        <v>1</v>
      </c>
      <c r="X176">
        <v>0.02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1</v>
      </c>
      <c r="AE176">
        <v>2</v>
      </c>
      <c r="AF176" t="s">
        <v>296</v>
      </c>
      <c r="AG176">
        <v>0.05</v>
      </c>
      <c r="AH176">
        <v>2</v>
      </c>
      <c r="AI176">
        <v>145263387</v>
      </c>
      <c r="AJ176">
        <v>163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</row>
    <row r="177" spans="1:44" x14ac:dyDescent="0.2">
      <c r="A177">
        <f>ROW(Source!A108)</f>
        <v>108</v>
      </c>
      <c r="B177">
        <v>145263396</v>
      </c>
      <c r="C177">
        <v>145263385</v>
      </c>
      <c r="D177">
        <v>140923086</v>
      </c>
      <c r="E177">
        <v>1</v>
      </c>
      <c r="F177">
        <v>1</v>
      </c>
      <c r="G177">
        <v>1</v>
      </c>
      <c r="H177">
        <v>2</v>
      </c>
      <c r="I177" t="s">
        <v>553</v>
      </c>
      <c r="J177" t="s">
        <v>554</v>
      </c>
      <c r="K177" t="s">
        <v>555</v>
      </c>
      <c r="L177">
        <v>1367</v>
      </c>
      <c r="N177">
        <v>1011</v>
      </c>
      <c r="O177" t="s">
        <v>378</v>
      </c>
      <c r="P177" t="s">
        <v>378</v>
      </c>
      <c r="Q177">
        <v>1</v>
      </c>
      <c r="X177">
        <v>0.01</v>
      </c>
      <c r="Y177">
        <v>0</v>
      </c>
      <c r="Z177">
        <v>1.7</v>
      </c>
      <c r="AA177">
        <v>0</v>
      </c>
      <c r="AB177">
        <v>0</v>
      </c>
      <c r="AC177">
        <v>0</v>
      </c>
      <c r="AD177">
        <v>1</v>
      </c>
      <c r="AE177">
        <v>0</v>
      </c>
      <c r="AF177" t="s">
        <v>296</v>
      </c>
      <c r="AG177">
        <v>2.5000000000000001E-2</v>
      </c>
      <c r="AH177">
        <v>2</v>
      </c>
      <c r="AI177">
        <v>145263388</v>
      </c>
      <c r="AJ177">
        <v>164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</row>
    <row r="178" spans="1:44" x14ac:dyDescent="0.2">
      <c r="A178">
        <f>ROW(Source!A108)</f>
        <v>108</v>
      </c>
      <c r="B178">
        <v>145263397</v>
      </c>
      <c r="C178">
        <v>145263385</v>
      </c>
      <c r="D178">
        <v>140923105</v>
      </c>
      <c r="E178">
        <v>1</v>
      </c>
      <c r="F178">
        <v>1</v>
      </c>
      <c r="G178">
        <v>1</v>
      </c>
      <c r="H178">
        <v>2</v>
      </c>
      <c r="I178" t="s">
        <v>556</v>
      </c>
      <c r="J178" t="s">
        <v>557</v>
      </c>
      <c r="K178" t="s">
        <v>558</v>
      </c>
      <c r="L178">
        <v>1367</v>
      </c>
      <c r="N178">
        <v>1011</v>
      </c>
      <c r="O178" t="s">
        <v>378</v>
      </c>
      <c r="P178" t="s">
        <v>378</v>
      </c>
      <c r="Q178">
        <v>1</v>
      </c>
      <c r="X178">
        <v>0.01</v>
      </c>
      <c r="Y178">
        <v>0</v>
      </c>
      <c r="Z178">
        <v>89.99</v>
      </c>
      <c r="AA178">
        <v>10.06</v>
      </c>
      <c r="AB178">
        <v>0</v>
      </c>
      <c r="AC178">
        <v>0</v>
      </c>
      <c r="AD178">
        <v>1</v>
      </c>
      <c r="AE178">
        <v>0</v>
      </c>
      <c r="AF178" t="s">
        <v>296</v>
      </c>
      <c r="AG178">
        <v>2.5000000000000001E-2</v>
      </c>
      <c r="AH178">
        <v>2</v>
      </c>
      <c r="AI178">
        <v>145263389</v>
      </c>
      <c r="AJ178">
        <v>165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</row>
    <row r="179" spans="1:44" x14ac:dyDescent="0.2">
      <c r="A179">
        <f>ROW(Source!A108)</f>
        <v>108</v>
      </c>
      <c r="B179">
        <v>145263398</v>
      </c>
      <c r="C179">
        <v>145263385</v>
      </c>
      <c r="D179">
        <v>140923885</v>
      </c>
      <c r="E179">
        <v>1</v>
      </c>
      <c r="F179">
        <v>1</v>
      </c>
      <c r="G179">
        <v>1</v>
      </c>
      <c r="H179">
        <v>2</v>
      </c>
      <c r="I179" t="s">
        <v>386</v>
      </c>
      <c r="J179" t="s">
        <v>387</v>
      </c>
      <c r="K179" t="s">
        <v>388</v>
      </c>
      <c r="L179">
        <v>1367</v>
      </c>
      <c r="N179">
        <v>1011</v>
      </c>
      <c r="O179" t="s">
        <v>378</v>
      </c>
      <c r="P179" t="s">
        <v>378</v>
      </c>
      <c r="Q179">
        <v>1</v>
      </c>
      <c r="X179">
        <v>0.01</v>
      </c>
      <c r="Y179">
        <v>0</v>
      </c>
      <c r="Z179">
        <v>65.709999999999994</v>
      </c>
      <c r="AA179">
        <v>11.6</v>
      </c>
      <c r="AB179">
        <v>0</v>
      </c>
      <c r="AC179">
        <v>0</v>
      </c>
      <c r="AD179">
        <v>1</v>
      </c>
      <c r="AE179">
        <v>0</v>
      </c>
      <c r="AF179" t="s">
        <v>296</v>
      </c>
      <c r="AG179">
        <v>2.5000000000000001E-2</v>
      </c>
      <c r="AH179">
        <v>2</v>
      </c>
      <c r="AI179">
        <v>145263390</v>
      </c>
      <c r="AJ179">
        <v>166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</row>
    <row r="180" spans="1:44" x14ac:dyDescent="0.2">
      <c r="A180">
        <f>ROW(Source!A108)</f>
        <v>108</v>
      </c>
      <c r="B180">
        <v>145263399</v>
      </c>
      <c r="C180">
        <v>145263385</v>
      </c>
      <c r="D180">
        <v>140924526</v>
      </c>
      <c r="E180">
        <v>1</v>
      </c>
      <c r="F180">
        <v>1</v>
      </c>
      <c r="G180">
        <v>1</v>
      </c>
      <c r="H180">
        <v>2</v>
      </c>
      <c r="I180" t="s">
        <v>559</v>
      </c>
      <c r="J180" t="s">
        <v>560</v>
      </c>
      <c r="K180" t="s">
        <v>561</v>
      </c>
      <c r="L180">
        <v>1367</v>
      </c>
      <c r="N180">
        <v>1011</v>
      </c>
      <c r="O180" t="s">
        <v>378</v>
      </c>
      <c r="P180" t="s">
        <v>378</v>
      </c>
      <c r="Q180">
        <v>1</v>
      </c>
      <c r="X180">
        <v>0.65</v>
      </c>
      <c r="Y180">
        <v>0</v>
      </c>
      <c r="Z180">
        <v>6.82</v>
      </c>
      <c r="AA180">
        <v>0</v>
      </c>
      <c r="AB180">
        <v>0</v>
      </c>
      <c r="AC180">
        <v>0</v>
      </c>
      <c r="AD180">
        <v>1</v>
      </c>
      <c r="AE180">
        <v>0</v>
      </c>
      <c r="AF180" t="s">
        <v>296</v>
      </c>
      <c r="AG180">
        <v>1.625</v>
      </c>
      <c r="AH180">
        <v>2</v>
      </c>
      <c r="AI180">
        <v>145263391</v>
      </c>
      <c r="AJ180">
        <v>167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</row>
    <row r="181" spans="1:44" x14ac:dyDescent="0.2">
      <c r="A181">
        <f>ROW(Source!A108)</f>
        <v>108</v>
      </c>
      <c r="B181">
        <v>145263400</v>
      </c>
      <c r="C181">
        <v>145263385</v>
      </c>
      <c r="D181">
        <v>140804609</v>
      </c>
      <c r="E181">
        <v>1</v>
      </c>
      <c r="F181">
        <v>1</v>
      </c>
      <c r="G181">
        <v>1</v>
      </c>
      <c r="H181">
        <v>3</v>
      </c>
      <c r="I181" t="s">
        <v>565</v>
      </c>
      <c r="J181" t="s">
        <v>566</v>
      </c>
      <c r="K181" t="s">
        <v>567</v>
      </c>
      <c r="L181">
        <v>1348</v>
      </c>
      <c r="N181">
        <v>1009</v>
      </c>
      <c r="O181" t="s">
        <v>206</v>
      </c>
      <c r="P181" t="s">
        <v>206</v>
      </c>
      <c r="Q181">
        <v>1000</v>
      </c>
      <c r="X181">
        <v>8.9999999999999993E-3</v>
      </c>
      <c r="Y181">
        <v>14312.87</v>
      </c>
      <c r="Z181">
        <v>0</v>
      </c>
      <c r="AA181">
        <v>0</v>
      </c>
      <c r="AB181">
        <v>0</v>
      </c>
      <c r="AC181">
        <v>0</v>
      </c>
      <c r="AD181">
        <v>1</v>
      </c>
      <c r="AE181">
        <v>0</v>
      </c>
      <c r="AF181" t="s">
        <v>295</v>
      </c>
      <c r="AG181">
        <v>1.7999999999999999E-2</v>
      </c>
      <c r="AH181">
        <v>2</v>
      </c>
      <c r="AI181">
        <v>145263392</v>
      </c>
      <c r="AJ181">
        <v>168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</row>
    <row r="182" spans="1:44" x14ac:dyDescent="0.2">
      <c r="A182">
        <f>ROW(Source!A108)</f>
        <v>108</v>
      </c>
      <c r="B182">
        <v>145263401</v>
      </c>
      <c r="C182">
        <v>145263385</v>
      </c>
      <c r="D182">
        <v>140805221</v>
      </c>
      <c r="E182">
        <v>1</v>
      </c>
      <c r="F182">
        <v>1</v>
      </c>
      <c r="G182">
        <v>1</v>
      </c>
      <c r="H182">
        <v>3</v>
      </c>
      <c r="I182" t="s">
        <v>568</v>
      </c>
      <c r="J182" t="s">
        <v>569</v>
      </c>
      <c r="K182" t="s">
        <v>570</v>
      </c>
      <c r="L182">
        <v>1346</v>
      </c>
      <c r="N182">
        <v>1009</v>
      </c>
      <c r="O182" t="s">
        <v>457</v>
      </c>
      <c r="P182" t="s">
        <v>457</v>
      </c>
      <c r="Q182">
        <v>1</v>
      </c>
      <c r="X182">
        <v>1.4</v>
      </c>
      <c r="Y182">
        <v>6.67</v>
      </c>
      <c r="Z182">
        <v>0</v>
      </c>
      <c r="AA182">
        <v>0</v>
      </c>
      <c r="AB182">
        <v>0</v>
      </c>
      <c r="AC182">
        <v>0</v>
      </c>
      <c r="AD182">
        <v>1</v>
      </c>
      <c r="AE182">
        <v>0</v>
      </c>
      <c r="AF182" t="s">
        <v>295</v>
      </c>
      <c r="AG182">
        <v>2.8</v>
      </c>
      <c r="AH182">
        <v>2</v>
      </c>
      <c r="AI182">
        <v>145263393</v>
      </c>
      <c r="AJ182">
        <v>169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.140625" defaultRowHeight="12.75" x14ac:dyDescent="0.2"/>
  <cols>
    <col min="1" max="256" width="9.140625" customWidth="1"/>
  </cols>
  <sheetData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Смета 12 гр. по ФЕР</vt:lpstr>
      <vt:lpstr>Source</vt:lpstr>
      <vt:lpstr>SourceObSm</vt:lpstr>
      <vt:lpstr>SmtRes</vt:lpstr>
      <vt:lpstr>EtalonRes</vt:lpstr>
      <vt:lpstr>SrcKA</vt:lpstr>
      <vt:lpstr>'Смета 12 гр. по ФЕР'!Заголовки_для_печати</vt:lpstr>
      <vt:lpstr>'Смета 12 гр. по ФЕР'!Область_печати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Демяшевич Татьяна Анатольевна</cp:lastModifiedBy>
  <cp:lastPrinted>2024-04-25T07:41:55Z</cp:lastPrinted>
  <dcterms:created xsi:type="dcterms:W3CDTF">2024-04-25T07:29:32Z</dcterms:created>
  <dcterms:modified xsi:type="dcterms:W3CDTF">2024-04-25T07:42:42Z</dcterms:modified>
</cp:coreProperties>
</file>