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11EC41C0-5D05-42D9-A283-9142E00041A5}" xr6:coauthVersionLast="47" xr6:coauthVersionMax="47" xr10:uidLastSave="{00000000-0000-0000-0000-000000000000}"/>
  <bookViews>
    <workbookView xWindow="-27900" yWindow="525" windowWidth="21450" windowHeight="12990" xr2:uid="{00000000-000D-0000-FFFF-FFFF00000000}"/>
  </bookViews>
  <sheets>
    <sheet name="смета C3" sheetId="5" r:id="rId1"/>
    <sheet name="1 этаж" sheetId="6" state="hidden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0">'смета C3'!$A$1:$J$160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F10" i="5"/>
  <c r="F9" i="5"/>
  <c r="F8" i="5"/>
  <c r="J12" i="5"/>
  <c r="H12" i="5"/>
  <c r="K12" i="5" l="1"/>
  <c r="L12" i="5" s="1"/>
  <c r="H11" i="5"/>
  <c r="H10" i="5"/>
  <c r="H9" i="5"/>
  <c r="H8" i="5"/>
  <c r="H13" i="5" s="1"/>
  <c r="J11" i="5" l="1"/>
  <c r="J10" i="5"/>
  <c r="J9" i="5"/>
  <c r="K9" i="5" l="1"/>
  <c r="L9" i="5" s="1"/>
  <c r="K11" i="5"/>
  <c r="L11" i="5" s="1"/>
  <c r="S8" i="5"/>
  <c r="G27" i="6" l="1"/>
  <c r="G34" i="6" s="1"/>
  <c r="I34" i="6" s="1"/>
  <c r="P39" i="6"/>
  <c r="L34" i="6"/>
  <c r="B34" i="6"/>
  <c r="L33" i="6"/>
  <c r="B33" i="6"/>
  <c r="L32" i="6"/>
  <c r="B32" i="6"/>
  <c r="L31" i="6"/>
  <c r="B31" i="6"/>
  <c r="M28" i="6"/>
  <c r="V28" i="6" s="1"/>
  <c r="I28" i="6"/>
  <c r="E28" i="6"/>
  <c r="L27" i="6"/>
  <c r="L26" i="6"/>
  <c r="L25" i="6"/>
  <c r="L24" i="6"/>
  <c r="J24" i="6"/>
  <c r="M27" i="6" l="1"/>
  <c r="M34" i="6"/>
  <c r="I27" i="6"/>
  <c r="V34" i="6"/>
  <c r="V27" i="6" l="1"/>
  <c r="W27" i="6" s="1"/>
  <c r="M165" i="5" l="1"/>
  <c r="M168" i="5" s="1"/>
  <c r="C167" i="5"/>
  <c r="E26" i="6" l="1"/>
  <c r="G26" i="6"/>
  <c r="M26" i="6" s="1"/>
  <c r="N165" i="5"/>
  <c r="G33" i="6" l="1"/>
  <c r="M33" i="6" s="1"/>
  <c r="H164" i="5" l="1"/>
  <c r="E25" i="6" l="1"/>
  <c r="E27" i="6"/>
  <c r="E24" i="6"/>
  <c r="G24" i="6" l="1"/>
  <c r="I24" i="6" s="1"/>
  <c r="G25" i="6"/>
  <c r="I25" i="6" s="1"/>
  <c r="K24" i="6" l="1"/>
  <c r="G32" i="6"/>
  <c r="I32" i="6" s="1"/>
  <c r="M25" i="6"/>
  <c r="I29" i="6"/>
  <c r="G31" i="6"/>
  <c r="I31" i="6" s="1"/>
  <c r="M24" i="6"/>
  <c r="N24" i="6" s="1"/>
  <c r="I20" i="5"/>
  <c r="I19" i="5"/>
  <c r="I18" i="5"/>
  <c r="I17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64" i="5"/>
  <c r="F58" i="5"/>
  <c r="F59" i="5"/>
  <c r="F60" i="5"/>
  <c r="F61" i="5"/>
  <c r="F62" i="5"/>
  <c r="F57" i="5"/>
  <c r="F53" i="5"/>
  <c r="H53" i="5" s="1"/>
  <c r="F54" i="5"/>
  <c r="F55" i="5"/>
  <c r="I53" i="5"/>
  <c r="F45" i="5"/>
  <c r="F46" i="5"/>
  <c r="F47" i="5"/>
  <c r="F48" i="5"/>
  <c r="F49" i="5"/>
  <c r="F50" i="5"/>
  <c r="F51" i="5"/>
  <c r="F52" i="5"/>
  <c r="F43" i="5"/>
  <c r="F44" i="5"/>
  <c r="F42" i="5"/>
  <c r="F37" i="5"/>
  <c r="F38" i="5"/>
  <c r="F39" i="5"/>
  <c r="F40" i="5"/>
  <c r="F36" i="5"/>
  <c r="M29" i="6" l="1"/>
  <c r="O29" i="6" s="1"/>
  <c r="M32" i="6"/>
  <c r="V25" i="6" s="1"/>
  <c r="W25" i="6" s="1"/>
  <c r="V31" i="6"/>
  <c r="M31" i="6"/>
  <c r="N31" i="6" s="1"/>
  <c r="V32" i="6"/>
  <c r="I35" i="6"/>
  <c r="I36" i="6" s="1"/>
  <c r="J53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V24" i="6" l="1"/>
  <c r="W24" i="6" s="1"/>
  <c r="O36" i="6"/>
  <c r="P36" i="6" s="1"/>
  <c r="M35" i="6"/>
  <c r="M37" i="6" s="1"/>
  <c r="O35" i="6" l="1"/>
  <c r="P35" i="6" s="1"/>
  <c r="M36" i="6"/>
  <c r="M39" i="6"/>
  <c r="M38" i="6"/>
  <c r="J8" i="5"/>
  <c r="J13" i="5" s="1"/>
  <c r="J14" i="5" s="1"/>
  <c r="G134" i="5"/>
  <c r="I134" i="5" s="1"/>
  <c r="G136" i="5"/>
  <c r="G140" i="5"/>
  <c r="I140" i="5" s="1"/>
  <c r="N39" i="6" l="1"/>
  <c r="M19" i="6"/>
  <c r="V39" i="6"/>
  <c r="K8" i="5"/>
  <c r="I65" i="5"/>
  <c r="L8" i="5" l="1"/>
  <c r="J65" i="5"/>
  <c r="I122" i="5"/>
  <c r="J122" i="5" l="1"/>
  <c r="L143" i="5"/>
  <c r="H122" i="5"/>
  <c r="L128" i="5" l="1"/>
  <c r="M145" i="5" l="1"/>
  <c r="N30" i="5"/>
  <c r="I67" i="5" l="1"/>
  <c r="I68" i="5"/>
  <c r="I69" i="5"/>
  <c r="I70" i="5"/>
  <c r="I71" i="5"/>
  <c r="I72" i="5"/>
  <c r="I73" i="5"/>
  <c r="I74" i="5"/>
  <c r="I75" i="5"/>
  <c r="I76" i="5"/>
  <c r="I77" i="5"/>
  <c r="I78" i="5"/>
  <c r="I79" i="5"/>
  <c r="I66" i="5"/>
  <c r="J18" i="5" l="1"/>
  <c r="J19" i="5"/>
  <c r="J20" i="5"/>
  <c r="J30" i="5"/>
  <c r="J31" i="5"/>
  <c r="J32" i="5"/>
  <c r="J33" i="5"/>
  <c r="J34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112" i="5"/>
  <c r="I21" i="5"/>
  <c r="I22" i="5"/>
  <c r="I23" i="5"/>
  <c r="I24" i="5"/>
  <c r="I25" i="5"/>
  <c r="I26" i="5"/>
  <c r="I27" i="5"/>
  <c r="I28" i="5"/>
  <c r="I29" i="5"/>
  <c r="I35" i="5"/>
  <c r="J35" i="5" s="1"/>
  <c r="I36" i="5"/>
  <c r="I42" i="5"/>
  <c r="I43" i="5"/>
  <c r="I37" i="5"/>
  <c r="I38" i="5"/>
  <c r="I44" i="5"/>
  <c r="I45" i="5"/>
  <c r="I46" i="5"/>
  <c r="I39" i="5"/>
  <c r="I40" i="5"/>
  <c r="I47" i="5"/>
  <c r="I48" i="5"/>
  <c r="I49" i="5"/>
  <c r="I50" i="5"/>
  <c r="I51" i="5"/>
  <c r="I52" i="5"/>
  <c r="I54" i="5"/>
  <c r="I55" i="5"/>
  <c r="I56" i="5"/>
  <c r="I57" i="5"/>
  <c r="I58" i="5"/>
  <c r="I59" i="5"/>
  <c r="I60" i="5"/>
  <c r="I61" i="5"/>
  <c r="I62" i="5"/>
  <c r="I63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64" i="5"/>
  <c r="I102" i="5"/>
  <c r="I103" i="5"/>
  <c r="I104" i="5"/>
  <c r="I105" i="5"/>
  <c r="I106" i="5"/>
  <c r="I107" i="5"/>
  <c r="I115" i="5"/>
  <c r="I108" i="5"/>
  <c r="I109" i="5"/>
  <c r="I110" i="5"/>
  <c r="I111" i="5"/>
  <c r="I113" i="5"/>
  <c r="I114" i="5"/>
  <c r="I116" i="5"/>
  <c r="I121" i="5"/>
  <c r="I123" i="5"/>
  <c r="I117" i="5"/>
  <c r="I118" i="5"/>
  <c r="I119" i="5"/>
  <c r="I120" i="5"/>
  <c r="I124" i="5"/>
  <c r="I125" i="5"/>
  <c r="I126" i="5"/>
  <c r="I127" i="5"/>
  <c r="I128" i="5"/>
  <c r="I129" i="5"/>
  <c r="I130" i="5"/>
  <c r="I131" i="5"/>
  <c r="I132" i="5"/>
  <c r="I133" i="5"/>
  <c r="J134" i="5"/>
  <c r="I135" i="5"/>
  <c r="I136" i="5"/>
  <c r="I137" i="5"/>
  <c r="I138" i="5"/>
  <c r="J140" i="5"/>
  <c r="J141" i="5"/>
  <c r="J107" i="5" l="1"/>
  <c r="J118" i="5"/>
  <c r="J123" i="5"/>
  <c r="J125" i="5"/>
  <c r="J124" i="5"/>
  <c r="J120" i="5"/>
  <c r="J126" i="5"/>
  <c r="J119" i="5"/>
  <c r="J121" i="5"/>
  <c r="J103" i="5"/>
  <c r="J100" i="5"/>
  <c r="J96" i="5"/>
  <c r="J92" i="5"/>
  <c r="J88" i="5"/>
  <c r="J84" i="5"/>
  <c r="J80" i="5"/>
  <c r="J128" i="5"/>
  <c r="J117" i="5"/>
  <c r="J106" i="5"/>
  <c r="J102" i="5"/>
  <c r="J99" i="5"/>
  <c r="J95" i="5"/>
  <c r="J91" i="5"/>
  <c r="J87" i="5"/>
  <c r="J83" i="5"/>
  <c r="J108" i="5"/>
  <c r="J105" i="5"/>
  <c r="J64" i="5"/>
  <c r="J98" i="5"/>
  <c r="J94" i="5"/>
  <c r="J90" i="5"/>
  <c r="J86" i="5"/>
  <c r="J82" i="5"/>
  <c r="J36" i="5"/>
  <c r="J104" i="5"/>
  <c r="J101" i="5"/>
  <c r="J97" i="5"/>
  <c r="J93" i="5"/>
  <c r="J89" i="5"/>
  <c r="J85" i="5"/>
  <c r="J81" i="5"/>
  <c r="J57" i="5"/>
  <c r="J135" i="5"/>
  <c r="J127" i="5"/>
  <c r="J58" i="5"/>
  <c r="J23" i="5"/>
  <c r="J115" i="5"/>
  <c r="J48" i="5"/>
  <c r="J22" i="5"/>
  <c r="J137" i="5"/>
  <c r="J133" i="5"/>
  <c r="J129" i="5"/>
  <c r="J116" i="5"/>
  <c r="J110" i="5"/>
  <c r="J60" i="5"/>
  <c r="J56" i="5"/>
  <c r="J51" i="5"/>
  <c r="J47" i="5"/>
  <c r="J45" i="5"/>
  <c r="J29" i="5"/>
  <c r="J25" i="5"/>
  <c r="J21" i="5"/>
  <c r="K30" i="5"/>
  <c r="I153" i="5"/>
  <c r="J131" i="5"/>
  <c r="J113" i="5"/>
  <c r="J62" i="5"/>
  <c r="J54" i="5"/>
  <c r="J49" i="5"/>
  <c r="J39" i="5"/>
  <c r="J38" i="5"/>
  <c r="J27" i="5"/>
  <c r="J138" i="5"/>
  <c r="J130" i="5"/>
  <c r="J111" i="5"/>
  <c r="J61" i="5"/>
  <c r="J52" i="5"/>
  <c r="J46" i="5"/>
  <c r="J37" i="5"/>
  <c r="J26" i="5"/>
  <c r="K34" i="5"/>
  <c r="J136" i="5"/>
  <c r="J114" i="5"/>
  <c r="J109" i="5"/>
  <c r="J63" i="5"/>
  <c r="J59" i="5"/>
  <c r="J55" i="5"/>
  <c r="J50" i="5"/>
  <c r="J40" i="5"/>
  <c r="J44" i="5"/>
  <c r="J28" i="5"/>
  <c r="J24" i="5"/>
  <c r="J132" i="5"/>
  <c r="N132" i="5"/>
  <c r="I139" i="5" s="1"/>
  <c r="J43" i="5"/>
  <c r="J42" i="5"/>
  <c r="H141" i="5"/>
  <c r="H140" i="5"/>
  <c r="H139" i="5"/>
  <c r="H138" i="5"/>
  <c r="H137" i="5"/>
  <c r="H136" i="5"/>
  <c r="H135" i="5"/>
  <c r="H134" i="5"/>
  <c r="H133" i="5"/>
  <c r="H132" i="5"/>
  <c r="H130" i="5"/>
  <c r="H129" i="5"/>
  <c r="H128" i="5"/>
  <c r="H126" i="5"/>
  <c r="H125" i="5"/>
  <c r="H124" i="5"/>
  <c r="H120" i="5"/>
  <c r="H119" i="5"/>
  <c r="H118" i="5"/>
  <c r="H117" i="5"/>
  <c r="H123" i="5"/>
  <c r="H121" i="5"/>
  <c r="H114" i="5"/>
  <c r="H113" i="5"/>
  <c r="H112" i="5"/>
  <c r="H111" i="5"/>
  <c r="H110" i="5"/>
  <c r="H109" i="5"/>
  <c r="H108" i="5"/>
  <c r="H115" i="5"/>
  <c r="H64" i="5"/>
  <c r="H62" i="5"/>
  <c r="H61" i="5"/>
  <c r="H60" i="5"/>
  <c r="H59" i="5"/>
  <c r="H58" i="5"/>
  <c r="H57" i="5"/>
  <c r="H55" i="5"/>
  <c r="H54" i="5"/>
  <c r="H52" i="5"/>
  <c r="H51" i="5"/>
  <c r="H50" i="5"/>
  <c r="H49" i="5"/>
  <c r="H48" i="5"/>
  <c r="H47" i="5"/>
  <c r="H40" i="5"/>
  <c r="H39" i="5"/>
  <c r="H46" i="5"/>
  <c r="H45" i="5"/>
  <c r="H44" i="5"/>
  <c r="H38" i="5"/>
  <c r="H37" i="5"/>
  <c r="H43" i="5"/>
  <c r="H42" i="5"/>
  <c r="H36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K130" i="5" l="1"/>
  <c r="K55" i="5"/>
  <c r="K59" i="5"/>
  <c r="K119" i="5"/>
  <c r="K114" i="5"/>
  <c r="K40" i="5"/>
  <c r="K58" i="5"/>
  <c r="K106" i="5"/>
  <c r="L55" i="5"/>
  <c r="K65" i="5"/>
  <c r="K124" i="5"/>
  <c r="J139" i="5"/>
  <c r="K141" i="5" s="1"/>
  <c r="I158" i="5" s="1"/>
  <c r="K62" i="5"/>
  <c r="H142" i="5"/>
  <c r="I157" i="5" l="1"/>
  <c r="K157" i="5" s="1"/>
  <c r="I156" i="5"/>
  <c r="I155" i="5"/>
  <c r="I152" i="5"/>
  <c r="I151" i="5"/>
  <c r="M143" i="5"/>
  <c r="H143" i="5"/>
  <c r="J17" i="5" l="1"/>
  <c r="H160" i="5" l="1"/>
  <c r="K13" i="5"/>
  <c r="M13" i="5" s="1"/>
  <c r="N13" i="5" s="1"/>
  <c r="L13" i="5"/>
  <c r="K29" i="5"/>
  <c r="J142" i="5"/>
  <c r="L142" i="5" s="1"/>
  <c r="M142" i="5" s="1"/>
  <c r="M144" i="5" s="1"/>
  <c r="I167" i="5" l="1"/>
  <c r="K14" i="5"/>
  <c r="K15" i="5" s="1"/>
  <c r="K142" i="5"/>
  <c r="I154" i="5"/>
  <c r="J143" i="5"/>
  <c r="J145" i="5" s="1"/>
  <c r="J160" i="5" l="1"/>
  <c r="N145" i="5"/>
  <c r="J144" i="5"/>
  <c r="I159" i="5"/>
  <c r="J157" i="5" l="1"/>
  <c r="J155" i="5"/>
  <c r="J151" i="5"/>
  <c r="J153" i="5"/>
  <c r="J156" i="5"/>
  <c r="J158" i="5"/>
  <c r="J152" i="5"/>
  <c r="J154" i="5"/>
</calcChain>
</file>

<file path=xl/sharedStrings.xml><?xml version="1.0" encoding="utf-8"?>
<sst xmlns="http://schemas.openxmlformats.org/spreadsheetml/2006/main" count="501" uniqueCount="342">
  <si>
    <t>Бурляев Д.А.</t>
  </si>
  <si>
    <t>Составил</t>
  </si>
  <si>
    <t>НДС</t>
  </si>
  <si>
    <t>Всего по ст.А+Б</t>
  </si>
  <si>
    <t>шт</t>
  </si>
  <si>
    <t>м</t>
  </si>
  <si>
    <t xml:space="preserve">  Б. Материалы</t>
  </si>
  <si>
    <t>Зарплата</t>
  </si>
  <si>
    <t>Расценка</t>
  </si>
  <si>
    <t>Кол-во</t>
  </si>
  <si>
    <t>Ед.изм.</t>
  </si>
  <si>
    <t>Наименование работ</t>
  </si>
  <si>
    <t>1.1</t>
  </si>
  <si>
    <t>3.1</t>
  </si>
  <si>
    <t>4.1</t>
  </si>
  <si>
    <t>ИТОГО С НДС</t>
  </si>
  <si>
    <t>1.2</t>
  </si>
  <si>
    <t>1.3</t>
  </si>
  <si>
    <t>2.1</t>
  </si>
  <si>
    <t>4.2</t>
  </si>
  <si>
    <t>4.3</t>
  </si>
  <si>
    <t>4.4</t>
  </si>
  <si>
    <t>Панель линейная ГРЩ                     (ЩО-70-1-112 У3)</t>
  </si>
  <si>
    <t>Панель линейная ГРЩ                     (ЩО-70-1-11 У3)</t>
  </si>
  <si>
    <t>Панель АВР ГРЩ                     (ЩО-70-1-154 У3)</t>
  </si>
  <si>
    <t xml:space="preserve">Панель торцевая ГРЩ                     </t>
  </si>
  <si>
    <t>Щит освещения ЩО-1</t>
  </si>
  <si>
    <t>Щит аварийного освещения освещения ЩАО-1</t>
  </si>
  <si>
    <t>Щит наружного освещения ЩНО-1</t>
  </si>
  <si>
    <t>Щит системы обогрева воронок ЩСОВ-1</t>
  </si>
  <si>
    <t>Щит водомерного узла ЩВУ-1</t>
  </si>
  <si>
    <t>Вводно распределительное устройство противопожарное ВРУПП-1</t>
  </si>
  <si>
    <t>Щит слаботочных систем ЩСС-1</t>
  </si>
  <si>
    <t>Щит квартирный ЩК-С</t>
  </si>
  <si>
    <t>Щит квартирный ЩК-1</t>
  </si>
  <si>
    <t>Щит квартирный ЩК-2</t>
  </si>
  <si>
    <t>Щит квартирный ЩК-3</t>
  </si>
  <si>
    <t>1.Электрощитовое оборудование</t>
  </si>
  <si>
    <t>2.Кабельные изделия</t>
  </si>
  <si>
    <t>Кабель ВВГнг(А) 3х1,5мм2</t>
  </si>
  <si>
    <t>Кабель ВВГнг(А)-LS 3х1,5мм2</t>
  </si>
  <si>
    <t>Кабель ВВГнг(А)-FRLS 3х1,5мм2</t>
  </si>
  <si>
    <t>Кабель ВВГнг(А) 4х1,5мм2</t>
  </si>
  <si>
    <t>Кабель ВВГнг(А)-LS 3х2,5мм2</t>
  </si>
  <si>
    <t>Кабель ВВГнг(А) 3х2,5мм2</t>
  </si>
  <si>
    <t>Кабель ВВГнг(А)-FRLS 3х2,5мм2</t>
  </si>
  <si>
    <t>Кабель ВВГнг(А)-FRLS 3х4,0мм2</t>
  </si>
  <si>
    <t>Кабель ВВГнг(А) 3х6,0мм2</t>
  </si>
  <si>
    <t>Кабель ВВГнг(А) 3х10мм2</t>
  </si>
  <si>
    <t>Кабель ВВГнг(А)-LS 5х1,5мм2</t>
  </si>
  <si>
    <t>Кабель ВВГнг(А)-LS 5х2,5мм2</t>
  </si>
  <si>
    <t>Кабель ВВГнг(А)-LS 5х4,0мм2</t>
  </si>
  <si>
    <t>Кабель ВВГнг(А)-FRLS 5х4,0мм2</t>
  </si>
  <si>
    <t>Кабель ВВГнг(А)-LS 5х10мм2</t>
  </si>
  <si>
    <t>Провод ПВ1 1х4мм2</t>
  </si>
  <si>
    <t>Провод ПВ1 1х10мм2</t>
  </si>
  <si>
    <t>3.Электромонтажные устойства и  изделия</t>
  </si>
  <si>
    <t>Коробка установочная скрытой установки  70Х40мм</t>
  </si>
  <si>
    <t>Коробка распределительная скрытой установки 100Х40мм</t>
  </si>
  <si>
    <t>Коробка распределительная открытой установки 100Х100х55мм</t>
  </si>
  <si>
    <t>Анкер М3 складной пружинный с крюком</t>
  </si>
  <si>
    <t>Клемник ЗВИ-15</t>
  </si>
  <si>
    <t>Клемник ЗВИ-3</t>
  </si>
  <si>
    <t>4.Кабельные конструкции, материалы</t>
  </si>
  <si>
    <t>Крышка на лоток оцинкованная 200мм, L=3000</t>
  </si>
  <si>
    <t>Перегородка лотка SEP 3000х100мм оцинкованная</t>
  </si>
  <si>
    <t>Угол горизонтальный оцинкованный СРО 90 200х100мм</t>
  </si>
  <si>
    <t>Угол вертикальный оцинкованный СS 90 150х80мм</t>
  </si>
  <si>
    <t>Крышка угла  горизонтального оцинкованного СРО 90  осн. 200мм</t>
  </si>
  <si>
    <t>Крышка угла  горизонтального оцинкованного СРО 90  осн. 300мм</t>
  </si>
  <si>
    <t>Крышка угла  вертикального оцинкованного СS 90  осн. 150мм</t>
  </si>
  <si>
    <t>Вертикальный подвес двойной 41х21, L=400</t>
  </si>
  <si>
    <t>Консоль одиночная 41х21 на лоток с основанием 200мм</t>
  </si>
  <si>
    <t>Консоль одиночная 41х21 на лоток с основанием 300мм</t>
  </si>
  <si>
    <t>Консоль одиночная 41х21 на лоток с основанием 600мм</t>
  </si>
  <si>
    <t>Пластина PTCE для заземления (медь+никель)</t>
  </si>
  <si>
    <t>Пластина оцинкованная соединительная GTO 100</t>
  </si>
  <si>
    <t>Пластина оцинкованная соединительная GTO 80</t>
  </si>
  <si>
    <t>Винт М5х8мм для электрического соединения</t>
  </si>
  <si>
    <t>Усиленный анкер с болтом М10</t>
  </si>
  <si>
    <t>Винт М10х30 для крепления к профилю DB или LAS</t>
  </si>
  <si>
    <t>Гайка с начечкой М10</t>
  </si>
  <si>
    <t>Стандартный анкер со шпилькой М10</t>
  </si>
  <si>
    <t>Винт М6х10мм с крестообразным шлицем</t>
  </si>
  <si>
    <t>Гайка с начечкой М6</t>
  </si>
  <si>
    <t>Гайка шестигранная М6</t>
  </si>
  <si>
    <t>Шайба стопорная М6</t>
  </si>
  <si>
    <t>Кабель -канал 100х40 белый</t>
  </si>
  <si>
    <t>Труба металлическая Ф25мм</t>
  </si>
  <si>
    <t>Труба металлическая Ф50мм</t>
  </si>
  <si>
    <t>Труба металлическая Ф80мм</t>
  </si>
  <si>
    <t>Труба ПВХ гофрированная с протяжкой Ф20мм</t>
  </si>
  <si>
    <t>Труба асбоцементная Ф100мм</t>
  </si>
  <si>
    <t>Держатель для труб ПФХ (клипсы) 20мм</t>
  </si>
  <si>
    <t>Держатель для труб ПФХ (клипсы) 25мм</t>
  </si>
  <si>
    <t>Монтажная база 19х19 3,6мм черная</t>
  </si>
  <si>
    <t>Выключатель одноклавишный  с/у IP20, 6А, Рондо</t>
  </si>
  <si>
    <t>Выключатель двухклавишный  с/у IP20, 10А, Рондо</t>
  </si>
  <si>
    <t>Розетка  с/у однополюсная с заземлением со шторками, IP44, 16А, Рондо</t>
  </si>
  <si>
    <t>Розетка  с/у однополюсная с заземлением со шторками, IP20, 16А, Рондо</t>
  </si>
  <si>
    <t>Коробка уравнивания потенциалов 102х102х50мм КУП1101-И</t>
  </si>
  <si>
    <t>Звонок  Зуммер-1-04 двухтональный без кнопки</t>
  </si>
  <si>
    <t>Кнопка для звонка</t>
  </si>
  <si>
    <t>Светильник потолочный НПП 1301, 60Вт</t>
  </si>
  <si>
    <t>Светильник потолочный НБО 23-60-001, 60Вт</t>
  </si>
  <si>
    <t>Патрон настенный карболитовый Е27, РМ06</t>
  </si>
  <si>
    <t>Патрон подвесной карболитовый Е27, РМ03</t>
  </si>
  <si>
    <t>Светильник уличный светодиодный ДКУ-40</t>
  </si>
  <si>
    <t>Кронштейн консольный для установки на стену Р/Г/ЖКУ</t>
  </si>
  <si>
    <t>Лампа накаливания ЛОН 40Вт, Е27</t>
  </si>
  <si>
    <t>Лампа накаливания ЛОН 60Вт, Е27</t>
  </si>
  <si>
    <t>Пруток 8мм горячеоцинкованный</t>
  </si>
  <si>
    <t>Сталь полосовая 40х5,0мм</t>
  </si>
  <si>
    <t>Заземляющий электрод 50х50х5, 3м</t>
  </si>
  <si>
    <t>5. Электроустановочные изделия, прочее</t>
  </si>
  <si>
    <t>6. Осветительное оборудование</t>
  </si>
  <si>
    <t>7. Элементы молниезащиты</t>
  </si>
  <si>
    <t>8. Прочее</t>
  </si>
  <si>
    <t>Краска огнезащитная для кабеля ОГРАКС</t>
  </si>
  <si>
    <t>кг</t>
  </si>
  <si>
    <t>Ящик м понижающим трансфор-матором ЯТП-0,25 220/36-3</t>
  </si>
  <si>
    <t>Изолирующая штанга оперативная ШО-1/3 до 1кВ, 0,35м</t>
  </si>
  <si>
    <t>Указатель напряжения  50-1000В, ПИН90М</t>
  </si>
  <si>
    <t>Изолирующие клещи КИ-1000 до 1000В</t>
  </si>
  <si>
    <t>Диэлектрические перчатки латексные 1кВ</t>
  </si>
  <si>
    <t>пара</t>
  </si>
  <si>
    <t xml:space="preserve">Диэлектрические галоши </t>
  </si>
  <si>
    <t>Ковер диэлектрический 1000х1000мм</t>
  </si>
  <si>
    <t>Плакаты по электробезопасности</t>
  </si>
  <si>
    <t>к-т</t>
  </si>
  <si>
    <t>Очки защитные</t>
  </si>
  <si>
    <t>1.4</t>
  </si>
  <si>
    <t>1.5</t>
  </si>
  <si>
    <t>1.6</t>
  </si>
  <si>
    <t>2.2</t>
  </si>
  <si>
    <t>2.3</t>
  </si>
  <si>
    <t>3.2</t>
  </si>
  <si>
    <t>4.5</t>
  </si>
  <si>
    <t>4.6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</si>
  <si>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</si>
  <si>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</si>
  <si>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</si>
  <si>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</si>
  <si>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</si>
  <si>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</si>
  <si>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</si>
  <si>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</si>
  <si>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</si>
  <si>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3.4</t>
  </si>
  <si>
    <t>3.5</t>
  </si>
  <si>
    <t>7.1</t>
  </si>
  <si>
    <t>7.2</t>
  </si>
  <si>
    <t>7.3</t>
  </si>
  <si>
    <t>Прочее</t>
  </si>
  <si>
    <t>8.1</t>
  </si>
  <si>
    <t>Итого по ст.А</t>
  </si>
  <si>
    <t>Итого по ст.Б</t>
  </si>
  <si>
    <t>Панель вводная ГРЩ                     (ЩО-70-1-81 У3)</t>
  </si>
  <si>
    <t>Щит теплового пункта ЩИТП-1</t>
  </si>
  <si>
    <t>Кабель -канал 16х16 белый</t>
  </si>
  <si>
    <t>АКТ</t>
  </si>
  <si>
    <t>мат+раб</t>
  </si>
  <si>
    <t>раб</t>
  </si>
  <si>
    <t>юра</t>
  </si>
  <si>
    <t>кург</t>
  </si>
  <si>
    <t>за 1 м2</t>
  </si>
  <si>
    <t>мат</t>
  </si>
  <si>
    <t>Щит этажный с с узлами учета ЩЭУГ-4</t>
  </si>
  <si>
    <t>Угол горизонтальный оцинкованный СРО 90 100х200мм</t>
  </si>
  <si>
    <t>Консоль усиленная LP на лоток с основанием 200мм</t>
  </si>
  <si>
    <t>Кабель АВВГнг(А)-LS 5х35мм2</t>
  </si>
  <si>
    <t>Труба ПВХ гладкостенная  Ф20мм</t>
  </si>
  <si>
    <t>3.3</t>
  </si>
  <si>
    <t>Светильник настенный ЛУЧ 83 светодиодный с оптоакустическим датчиком</t>
  </si>
  <si>
    <t>Выключатель  о/у IP44, Quteo, 6А</t>
  </si>
  <si>
    <t>4.7</t>
  </si>
  <si>
    <t>Труба ПВХ гофрированная с протяжкой Ф16мм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</si>
  <si>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</si>
  <si>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</si>
  <si>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</si>
  <si>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</si>
  <si>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</si>
  <si>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</si>
  <si>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</si>
  <si>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</si>
  <si>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</si>
  <si>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</si>
  <si>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</si>
  <si>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</si>
  <si>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</si>
  <si>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</si>
  <si>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</si>
  <si>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</si>
  <si>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</si>
  <si>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</si>
  <si>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</si>
  <si>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</si>
  <si>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</si>
  <si>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</si>
  <si>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</si>
  <si>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</si>
  <si>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</si>
  <si>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</si>
  <si>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</si>
  <si>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3.6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</si>
  <si>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</si>
  <si>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</si>
  <si>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</si>
  <si>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</si>
  <si>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</si>
  <si>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</si>
  <si>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</si>
  <si>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</si>
  <si>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</si>
  <si>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</si>
  <si>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</si>
  <si>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</si>
  <si>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</si>
  <si>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</si>
  <si>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</si>
  <si>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</si>
  <si>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</si>
  <si>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</si>
  <si>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</si>
  <si>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</si>
  <si>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</si>
  <si>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</si>
  <si>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</si>
  <si>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</si>
  <si>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</si>
  <si>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</si>
  <si>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</si>
  <si>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</si>
  <si>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</si>
  <si>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</si>
  <si>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</si>
  <si>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</si>
  <si>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</si>
  <si>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</si>
  <si>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</si>
  <si>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5.5</t>
  </si>
  <si>
    <t>5.6</t>
  </si>
  <si>
    <t>5.7</t>
  </si>
  <si>
    <t>5.8</t>
  </si>
  <si>
    <t>6.6</t>
  </si>
  <si>
    <t>6.7</t>
  </si>
  <si>
    <t>6.8</t>
  </si>
  <si>
    <t>6.9</t>
  </si>
  <si>
    <t>6.10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</si>
  <si>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</si>
  <si>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</si>
  <si>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</si>
  <si>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</si>
  <si>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</si>
  <si>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</si>
  <si>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</si>
  <si>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</si>
  <si>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</si>
  <si>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4.43</t>
  </si>
  <si>
    <t xml:space="preserve">   А.Монтажные работы</t>
  </si>
  <si>
    <t>материалы</t>
  </si>
  <si>
    <t>Монтаж установочных изделий и ЩК</t>
  </si>
  <si>
    <t xml:space="preserve">Щиты этажные </t>
  </si>
  <si>
    <t>ГРЩ и общедомовые щиты</t>
  </si>
  <si>
    <t>Общедомовое освещение</t>
  </si>
  <si>
    <t>Прокладка кабеля квартир 
(включая кабель от ЩЭ к ЩК) с монтажем коробок установочных и разветвительных</t>
  </si>
  <si>
    <t>Прокладка кабелей (кроме квартир)
 с лотком</t>
  </si>
  <si>
    <t>Молниезащита</t>
  </si>
  <si>
    <t>Этап работ</t>
  </si>
  <si>
    <t>Стоимсть этапа</t>
  </si>
  <si>
    <t>% от общей
 стоимости</t>
  </si>
  <si>
    <t>Светильник настенный, с лампами накаливания, НБО 18-60, 1х60 Вт, IP31, белый</t>
  </si>
  <si>
    <t>Лоток глухой оцинкованый 300х100х3000мм</t>
  </si>
  <si>
    <t>Лоток перфорированный оцинкованый 200х100х3000мм</t>
  </si>
  <si>
    <t>Лоток лестничный оцинкованый 200х100х3000мм</t>
  </si>
  <si>
    <t>Крышка на лоток оцинкованная 300мм, L=3000</t>
  </si>
  <si>
    <t>2.19</t>
  </si>
  <si>
    <t>Провод ПВ1 1х2,5 мм2</t>
  </si>
  <si>
    <t>Материалы</t>
  </si>
  <si>
    <t>Работа</t>
  </si>
  <si>
    <t>Цена</t>
  </si>
  <si>
    <t xml:space="preserve">Итого </t>
  </si>
  <si>
    <t>Всего</t>
  </si>
  <si>
    <t>Труба ПНД 25 мм</t>
  </si>
  <si>
    <t>Труба ПНД 20 мм</t>
  </si>
  <si>
    <t>Коробка установочная</t>
  </si>
  <si>
    <t>Труба ПНД 32 мм</t>
  </si>
  <si>
    <t>Унифицированная форма № КС-2</t>
  </si>
  <si>
    <t>Утверждена постановлением Госкомстата России</t>
  </si>
  <si>
    <t>от 11.11.99 № 100</t>
  </si>
  <si>
    <t/>
  </si>
  <si>
    <t>Код</t>
  </si>
  <si>
    <t xml:space="preserve">Форма по ОКУД </t>
  </si>
  <si>
    <t>Заказчик:</t>
  </si>
  <si>
    <t xml:space="preserve">ООО «Азимут»: 197198, СПб, пр. Добролюбова, д. 11, лит. Е, пом.62 
</t>
  </si>
  <si>
    <t xml:space="preserve">По ОКПО </t>
  </si>
  <si>
    <t>Подрядчик:</t>
  </si>
  <si>
    <t>ООО"Номинал", 197730, пос.Белоостров, Новое шоссе, д. 45А</t>
  </si>
  <si>
    <t xml:space="preserve">Вид деятельности по ОКДП </t>
  </si>
  <si>
    <t xml:space="preserve">Договор подряда (контракт) </t>
  </si>
  <si>
    <t xml:space="preserve">номер </t>
  </si>
  <si>
    <t>дата</t>
  </si>
  <si>
    <t>30.07.2015г.</t>
  </si>
  <si>
    <t>Вид операции</t>
  </si>
  <si>
    <t>номер док-та</t>
  </si>
  <si>
    <t>дата составления</t>
  </si>
  <si>
    <t>отчетный период</t>
  </si>
  <si>
    <t>с</t>
  </si>
  <si>
    <t>по</t>
  </si>
  <si>
    <t>1-1</t>
  </si>
  <si>
    <t>О ПРИЕМКЕ ВЫПОЛНЕННЫХ РАБОТ</t>
  </si>
  <si>
    <t xml:space="preserve">Сметная (договорная) стоимость в соответствии с договором подряда (субподряда) </t>
  </si>
  <si>
    <t>Позиция по акту</t>
  </si>
  <si>
    <t>Позиция по смете</t>
  </si>
  <si>
    <t>Стоимость</t>
  </si>
  <si>
    <t>1</t>
  </si>
  <si>
    <t>2</t>
  </si>
  <si>
    <t>3</t>
  </si>
  <si>
    <t>18</t>
  </si>
  <si>
    <t>матер</t>
  </si>
  <si>
    <t>бНДС</t>
  </si>
  <si>
    <t>Итого по ст. А + Б</t>
  </si>
  <si>
    <t xml:space="preserve">Сдал </t>
  </si>
  <si>
    <t>Нестеренко А.А.</t>
  </si>
  <si>
    <t>Принял</t>
  </si>
  <si>
    <t>Филлипов А.В.</t>
  </si>
  <si>
    <t>4</t>
  </si>
  <si>
    <t>№ АЗ -140/Заводская от 10.05.16</t>
  </si>
  <si>
    <t>Комплекс работ  по 
монтажу трубной разводки в монолите для электрической сети а объекте: многоэтажный жилой дом со встроенно-пристроенными помещениями по адресу: Санкт-Петербург, Усть–Славянка, улица Заводская, уч. 15  Секция №2</t>
  </si>
  <si>
    <t xml:space="preserve">   А.Монтажные работы, материалы</t>
  </si>
  <si>
    <t>Тип, марка, обозначение документа, опросного листа</t>
  </si>
  <si>
    <t xml:space="preserve"> Расчет договорной цены на выполнение работ по 
монтажу трубной разводки в монолите для электрической сети </t>
  </si>
  <si>
    <t>Концевая трубка для заливки в бетон 25мм</t>
  </si>
  <si>
    <t>Коробка установочная для заливки в бетон КУ18</t>
  </si>
  <si>
    <t>Коробка потолочная для заливки в бетон КП14</t>
  </si>
  <si>
    <t>Труба ПНД 25 гладкая мм жесткая с протяжкой</t>
  </si>
  <si>
    <t>Труба ПНД 32 гладкая мм жесткая с протяжкой</t>
  </si>
  <si>
    <t>Цена руб. (с НДС 20%)</t>
  </si>
  <si>
    <t>Итого
руб. (с НДС 20%)</t>
  </si>
  <si>
    <t>Итого руб. (с НДС 20%)</t>
  </si>
  <si>
    <t>Расценка
руб. (с НДС 20%)</t>
  </si>
  <si>
    <r>
      <t xml:space="preserve">    на объекте: «г. Санкт-Петербург, Московский район, Пулковское шоссе, участок 2 ( юго-восточнее дома №20, корп.6, литера А по Пулковскому шоссе). Кадастровый номер з.у. 78:14:0007691:11410. </t>
    </r>
    <r>
      <rPr>
        <b/>
        <sz val="10"/>
        <rFont val="Arial Cyr"/>
        <charset val="204"/>
      </rPr>
      <t>Общеобразовательная организация начального образования на 200 мест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</si>
</sst>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#,##0.0"/>
    <numFmt numFmtId="168" formatCode="_-* #,##0.00000\ _₽_-;\-* #,##0.00000\ _₽_-;_-* &quot;-&quot;?????\ _₽_-;_-@_-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sz val="10"/>
      <color rgb="FFC00000"/>
      <name val="Arial Cyr"/>
      <charset val="204"/>
    </font>
    <font>
      <sz val="12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2" fillId="0" borderId="0">
      <alignment horizontal="left" vertical="center"/>
    </xf>
    <xf numFmtId="0" fontId="13" fillId="0" borderId="0">
      <alignment horizontal="left" vertical="top"/>
    </xf>
    <xf numFmtId="0" fontId="14" fillId="0" borderId="0">
      <alignment horizontal="left" vertical="center"/>
    </xf>
    <xf numFmtId="0" fontId="10" fillId="0" borderId="0">
      <alignment horizontal="left" vertical="top"/>
    </xf>
    <xf numFmtId="0" fontId="14" fillId="0" borderId="7">
      <alignment horizontal="left" vertical="center"/>
    </xf>
    <xf numFmtId="0" fontId="14" fillId="0" borderId="0">
      <alignment horizontal="left" vertical="center"/>
    </xf>
    <xf numFmtId="0" fontId="15" fillId="0" borderId="0">
      <alignment horizontal="left" vertical="center"/>
    </xf>
  </cellStyleXfs>
  <cellXfs count="169">
    <xf numFmtId="0" fontId="0" fillId="0" borderId="0" xfId="0"/>
    <xf numFmtId="0" fontId="1" fillId="0" borderId="0" xfId="1"/>
    <xf numFmtId="0" fontId="1" fillId="0" borderId="1" xfId="1" applyBorder="1"/>
    <xf numFmtId="2" fontId="1" fillId="0" borderId="1" xfId="1" applyNumberFormat="1" applyBorder="1"/>
    <xf numFmtId="0" fontId="1" fillId="0" borderId="1" xfId="1" applyBorder="1" applyAlignment="1">
      <alignment horizontal="right"/>
    </xf>
    <xf numFmtId="0" fontId="1" fillId="0" borderId="1" xfId="1" applyBorder="1" applyAlignment="1">
      <alignment horizontal="left" wrapText="1"/>
    </xf>
    <xf numFmtId="0" fontId="1" fillId="0" borderId="1" xfId="1" applyBorder="1" applyAlignment="1">
      <alignment horizontal="center" wrapText="1"/>
    </xf>
    <xf numFmtId="0" fontId="3" fillId="0" borderId="1" xfId="1" applyFont="1" applyBorder="1" applyAlignment="1">
      <alignment wrapText="1"/>
    </xf>
    <xf numFmtId="49" fontId="1" fillId="0" borderId="1" xfId="1" applyNumberFormat="1" applyBorder="1" applyAlignment="1">
      <alignment horizontal="center" wrapText="1"/>
    </xf>
    <xf numFmtId="166" fontId="1" fillId="0" borderId="1" xfId="1" applyNumberFormat="1" applyBorder="1" applyAlignment="1">
      <alignment horizontal="right"/>
    </xf>
    <xf numFmtId="0" fontId="1" fillId="0" borderId="1" xfId="1" applyBorder="1" applyAlignment="1">
      <alignment wrapText="1"/>
    </xf>
    <xf numFmtId="164" fontId="1" fillId="0" borderId="0" xfId="1" applyNumberFormat="1"/>
    <xf numFmtId="164" fontId="1" fillId="0" borderId="1" xfId="1" applyNumberFormat="1" applyBorder="1"/>
    <xf numFmtId="165" fontId="1" fillId="0" borderId="0" xfId="1" applyNumberFormat="1"/>
    <xf numFmtId="0" fontId="10" fillId="0" borderId="0" xfId="5" applyAlignment="1">
      <alignment horizontal="left" vertical="top" wrapText="1"/>
    </xf>
    <xf numFmtId="0" fontId="14" fillId="0" borderId="1" xfId="7" applyBorder="1" applyAlignment="1">
      <alignment horizontal="center" vertical="center" wrapText="1"/>
    </xf>
    <xf numFmtId="0" fontId="14" fillId="0" borderId="1" xfId="7" applyBorder="1" applyAlignment="1">
      <alignment horizontal="left" vertical="center" wrapText="1"/>
    </xf>
    <xf numFmtId="0" fontId="15" fillId="0" borderId="1" xfId="8" applyBorder="1" applyAlignment="1">
      <alignment horizontal="center" vertical="center" wrapText="1"/>
    </xf>
    <xf numFmtId="0" fontId="1" fillId="0" borderId="0" xfId="1" applyFont="1" applyFill="1"/>
    <xf numFmtId="164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64" fontId="1" fillId="0" borderId="2" xfId="1" applyNumberFormat="1" applyFont="1" applyFill="1" applyBorder="1"/>
    <xf numFmtId="0" fontId="1" fillId="0" borderId="4" xfId="1" applyFont="1" applyFill="1" applyBorder="1"/>
    <xf numFmtId="164" fontId="1" fillId="0" borderId="0" xfId="1" applyNumberFormat="1" applyFont="1" applyFill="1" applyBorder="1"/>
    <xf numFmtId="0" fontId="1" fillId="0" borderId="0" xfId="1" applyFont="1" applyFill="1" applyBorder="1"/>
    <xf numFmtId="0" fontId="0" fillId="0" borderId="5" xfId="0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164" fontId="1" fillId="0" borderId="0" xfId="1" applyNumberFormat="1" applyFont="1" applyFill="1"/>
    <xf numFmtId="0" fontId="1" fillId="0" borderId="0" xfId="1" applyFont="1" applyFill="1" applyAlignment="1">
      <alignment horizontal="center"/>
    </xf>
    <xf numFmtId="164" fontId="1" fillId="0" borderId="1" xfId="1" applyNumberFormat="1" applyFont="1" applyFill="1" applyBorder="1"/>
    <xf numFmtId="2" fontId="1" fillId="0" borderId="1" xfId="1" applyNumberFormat="1" applyFont="1" applyFill="1" applyBorder="1"/>
    <xf numFmtId="49" fontId="1" fillId="0" borderId="1" xfId="1" applyNumberFormat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3" fillId="0" borderId="1" xfId="1" applyFont="1" applyFill="1" applyBorder="1"/>
    <xf numFmtId="0" fontId="1" fillId="0" borderId="1" xfId="1" applyFont="1" applyFill="1" applyBorder="1"/>
    <xf numFmtId="2" fontId="5" fillId="0" borderId="1" xfId="1" applyNumberFormat="1" applyFont="1" applyFill="1" applyBorder="1"/>
    <xf numFmtId="164" fontId="5" fillId="0" borderId="1" xfId="1" applyNumberFormat="1" applyFont="1" applyFill="1" applyBorder="1" applyAlignment="1">
      <alignment horizontal="right"/>
    </xf>
    <xf numFmtId="164" fontId="5" fillId="0" borderId="1" xfId="1" applyNumberFormat="1" applyFont="1" applyFill="1" applyBorder="1"/>
    <xf numFmtId="49" fontId="1" fillId="0" borderId="2" xfId="1" applyNumberFormat="1" applyBorder="1" applyAlignment="1">
      <alignment horizontal="center"/>
    </xf>
    <xf numFmtId="0" fontId="1" fillId="0" borderId="1" xfId="1" applyFont="1" applyFill="1" applyBorder="1" applyAlignment="1">
      <alignment horizontal="left" wrapText="1"/>
    </xf>
    <xf numFmtId="2" fontId="1" fillId="0" borderId="1" xfId="1" applyNumberFormat="1" applyFont="1" applyFill="1" applyBorder="1" applyAlignment="1">
      <alignment horizontal="right"/>
    </xf>
    <xf numFmtId="166" fontId="1" fillId="0" borderId="1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left"/>
    </xf>
    <xf numFmtId="164" fontId="1" fillId="0" borderId="1" xfId="1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wrapText="1"/>
    </xf>
    <xf numFmtId="0" fontId="2" fillId="0" borderId="1" xfId="1" applyFont="1" applyFill="1" applyBorder="1"/>
    <xf numFmtId="2" fontId="1" fillId="0" borderId="0" xfId="1" applyNumberFormat="1" applyFont="1" applyFill="1"/>
    <xf numFmtId="167" fontId="7" fillId="0" borderId="1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 wrapText="1"/>
    </xf>
    <xf numFmtId="0" fontId="1" fillId="0" borderId="0" xfId="1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vertical="top"/>
    </xf>
    <xf numFmtId="0" fontId="14" fillId="0" borderId="0" xfId="7" applyAlignment="1">
      <alignment horizontal="right" vertical="center" wrapText="1"/>
    </xf>
    <xf numFmtId="0" fontId="15" fillId="0" borderId="0" xfId="8" applyAlignment="1">
      <alignment horizontal="left" vertical="center" wrapText="1"/>
    </xf>
    <xf numFmtId="0" fontId="15" fillId="0" borderId="0" xfId="6" applyFont="1" applyBorder="1" applyAlignment="1">
      <alignment horizontal="left" vertical="center" wrapText="1"/>
    </xf>
    <xf numFmtId="0" fontId="14" fillId="0" borderId="0" xfId="7" applyAlignment="1">
      <alignment horizontal="left" vertical="center" wrapText="1"/>
    </xf>
    <xf numFmtId="0" fontId="14" fillId="0" borderId="7" xfId="6" applyAlignment="1">
      <alignment horizontal="left" vertical="center"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vertical="center"/>
    </xf>
    <xf numFmtId="49" fontId="1" fillId="0" borderId="1" xfId="1" applyNumberFormat="1" applyBorder="1" applyAlignment="1">
      <alignment horizontal="center" vertical="center" wrapText="1"/>
    </xf>
    <xf numFmtId="0" fontId="1" fillId="6" borderId="1" xfId="1" applyFill="1" applyBorder="1" applyAlignment="1">
      <alignment horizontal="left" vertical="center" wrapText="1"/>
    </xf>
    <xf numFmtId="2" fontId="1" fillId="6" borderId="1" xfId="1" applyNumberFormat="1" applyFill="1" applyBorder="1" applyAlignment="1">
      <alignment vertical="center"/>
    </xf>
    <xf numFmtId="166" fontId="1" fillId="6" borderId="1" xfId="1" applyNumberFormat="1" applyFill="1" applyBorder="1" applyAlignment="1">
      <alignment vertical="center"/>
    </xf>
    <xf numFmtId="0" fontId="1" fillId="0" borderId="0" xfId="1" applyAlignment="1">
      <alignment vertical="center"/>
    </xf>
    <xf numFmtId="164" fontId="1" fillId="0" borderId="0" xfId="1" applyNumberFormat="1" applyAlignment="1">
      <alignment vertical="center"/>
    </xf>
    <xf numFmtId="2" fontId="1" fillId="0" borderId="0" xfId="1" applyNumberFormat="1" applyAlignment="1">
      <alignment vertical="center"/>
    </xf>
    <xf numFmtId="166" fontId="1" fillId="0" borderId="0" xfId="1" applyNumberFormat="1" applyAlignment="1">
      <alignment vertical="center"/>
    </xf>
    <xf numFmtId="0" fontId="1" fillId="4" borderId="0" xfId="1" applyFill="1" applyAlignment="1">
      <alignment vertical="center"/>
    </xf>
    <xf numFmtId="0" fontId="1" fillId="6" borderId="1" xfId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4" fillId="0" borderId="1" xfId="1" quotePrefix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2" fontId="5" fillId="0" borderId="1" xfId="1" applyNumberFormat="1" applyFont="1" applyBorder="1" applyAlignment="1">
      <alignment vertical="center"/>
    </xf>
    <xf numFmtId="2" fontId="1" fillId="0" borderId="1" xfId="1" applyNumberFormat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vertical="center"/>
    </xf>
    <xf numFmtId="0" fontId="1" fillId="0" borderId="3" xfId="1" applyBorder="1" applyAlignment="1">
      <alignment vertical="center"/>
    </xf>
    <xf numFmtId="2" fontId="5" fillId="0" borderId="4" xfId="1" applyNumberFormat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164" fontId="1" fillId="0" borderId="1" xfId="1" applyNumberFormat="1" applyBorder="1" applyAlignment="1">
      <alignment vertical="center"/>
    </xf>
    <xf numFmtId="0" fontId="1" fillId="6" borderId="1" xfId="1" applyFill="1" applyBorder="1" applyAlignment="1">
      <alignment vertical="center"/>
    </xf>
    <xf numFmtId="164" fontId="1" fillId="6" borderId="1" xfId="1" applyNumberFormat="1" applyFill="1" applyBorder="1" applyAlignment="1">
      <alignment vertical="center"/>
    </xf>
    <xf numFmtId="0" fontId="1" fillId="5" borderId="0" xfId="1" applyFill="1" applyAlignment="1">
      <alignment vertical="center"/>
    </xf>
    <xf numFmtId="164" fontId="7" fillId="6" borderId="1" xfId="1" applyNumberFormat="1" applyFont="1" applyFill="1" applyBorder="1" applyAlignment="1">
      <alignment vertical="center"/>
    </xf>
    <xf numFmtId="0" fontId="1" fillId="0" borderId="1" xfId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/>
    </xf>
    <xf numFmtId="2" fontId="1" fillId="0" borderId="1" xfId="1" applyNumberFormat="1" applyBorder="1" applyAlignment="1">
      <alignment horizontal="right" vertical="center"/>
    </xf>
    <xf numFmtId="166" fontId="1" fillId="0" borderId="1" xfId="1" applyNumberFormat="1" applyBorder="1" applyAlignment="1">
      <alignment horizontal="right" vertical="center"/>
    </xf>
    <xf numFmtId="0" fontId="1" fillId="0" borderId="1" xfId="1" applyBorder="1" applyAlignment="1">
      <alignment horizontal="center" vertical="center" wrapText="1"/>
    </xf>
    <xf numFmtId="165" fontId="1" fillId="0" borderId="0" xfId="1" applyNumberFormat="1" applyAlignment="1">
      <alignment vertical="center"/>
    </xf>
    <xf numFmtId="166" fontId="1" fillId="0" borderId="1" xfId="1" applyNumberFormat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1" fillId="0" borderId="1" xfId="1" applyBorder="1" applyAlignment="1">
      <alignment horizontal="right" vertical="center"/>
    </xf>
    <xf numFmtId="0" fontId="7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164" fontId="1" fillId="3" borderId="1" xfId="1" applyNumberFormat="1" applyFill="1" applyBorder="1" applyAlignment="1">
      <alignment horizontal="right" vertical="center"/>
    </xf>
    <xf numFmtId="164" fontId="5" fillId="0" borderId="1" xfId="1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164" fontId="1" fillId="2" borderId="1" xfId="1" applyNumberFormat="1" applyFill="1" applyBorder="1" applyAlignment="1">
      <alignment vertical="center"/>
    </xf>
    <xf numFmtId="0" fontId="1" fillId="0" borderId="1" xfId="1" applyBorder="1" applyAlignment="1">
      <alignment vertical="center" wrapText="1"/>
    </xf>
    <xf numFmtId="165" fontId="1" fillId="0" borderId="1" xfId="1" applyNumberFormat="1" applyBorder="1" applyAlignment="1">
      <alignment vertical="center"/>
    </xf>
    <xf numFmtId="4" fontId="1" fillId="0" borderId="0" xfId="1" applyNumberFormat="1" applyAlignment="1">
      <alignment vertical="center"/>
    </xf>
    <xf numFmtId="0" fontId="19" fillId="0" borderId="0" xfId="1" applyFont="1" applyAlignment="1">
      <alignment vertical="center"/>
    </xf>
    <xf numFmtId="168" fontId="1" fillId="0" borderId="0" xfId="1" applyNumberFormat="1" applyAlignment="1">
      <alignment vertical="center"/>
    </xf>
    <xf numFmtId="2" fontId="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0" xfId="1" applyAlignment="1">
      <alignment horizontal="center" vertical="center" wrapText="1"/>
    </xf>
    <xf numFmtId="0" fontId="1" fillId="0" borderId="0" xfId="1" quotePrefix="1" applyAlignment="1">
      <alignment horizontal="center" vertical="center" wrapText="1"/>
    </xf>
    <xf numFmtId="0" fontId="15" fillId="0" borderId="0" xfId="8" applyAlignment="1">
      <alignment horizontal="left" vertical="center" wrapText="1"/>
    </xf>
    <xf numFmtId="0" fontId="12" fillId="0" borderId="0" xfId="2" applyAlignment="1">
      <alignment horizontal="left" vertical="center" wrapText="1"/>
    </xf>
    <xf numFmtId="0" fontId="13" fillId="0" borderId="0" xfId="3" applyAlignment="1">
      <alignment horizontal="left" vertical="top" wrapText="1"/>
    </xf>
    <xf numFmtId="0" fontId="14" fillId="0" borderId="0" xfId="4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3" fillId="0" borderId="0" xfId="3" applyAlignment="1">
      <alignment horizontal="right" vertical="top" wrapText="1"/>
    </xf>
    <xf numFmtId="0" fontId="15" fillId="0" borderId="0" xfId="6" applyFont="1" applyBorder="1" applyAlignment="1">
      <alignment horizontal="left" vertical="center" wrapText="1"/>
    </xf>
    <xf numFmtId="0" fontId="14" fillId="0" borderId="0" xfId="7" applyAlignment="1">
      <alignment horizontal="left" vertical="center" wrapText="1"/>
    </xf>
    <xf numFmtId="0" fontId="14" fillId="0" borderId="7" xfId="6" applyAlignment="1">
      <alignment horizontal="left" vertical="center" wrapText="1"/>
    </xf>
    <xf numFmtId="0" fontId="14" fillId="0" borderId="1" xfId="2" applyFont="1" applyBorder="1" applyAlignment="1">
      <alignment horizontal="center" vertical="center" wrapText="1"/>
    </xf>
    <xf numFmtId="0" fontId="1" fillId="0" borderId="0" xfId="1" applyAlignment="1"/>
    <xf numFmtId="0" fontId="1" fillId="0" borderId="0" xfId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14" fillId="0" borderId="0" xfId="7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4" fillId="0" borderId="2" xfId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" fillId="0" borderId="0" xfId="1" applyFont="1" applyFill="1" applyAlignment="1">
      <alignment horizontal="right"/>
    </xf>
    <xf numFmtId="0" fontId="1" fillId="0" borderId="0" xfId="1" applyAlignment="1">
      <alignment horizontal="center" wrapText="1"/>
    </xf>
    <xf numFmtId="0" fontId="5" fillId="0" borderId="8" xfId="1" applyFont="1" applyFill="1" applyBorder="1" applyAlignment="1">
      <alignment horizontal="right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1" applyFont="1" applyAlignment="1">
      <alignment horizontal="center" wrapText="1"/>
    </xf>
    <xf numFmtId="16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1" applyFont="1" applyAlignment="1">
      <alignment horizontal="center" wrapText="1"/>
    </xf>
    <xf numFmtId="0" fontId="4" fillId="0" borderId="9" xfId="1" quotePrefix="1" applyFont="1" applyFill="1" applyBorder="1" applyAlignment="1">
      <alignment horizontal="center"/>
    </xf>
    <xf numFmtId="0" fontId="0" fillId="0" borderId="8" xfId="0" applyBorder="1" applyAlignment="1"/>
  </cellXfs>
  <cellStyles count="9">
    <cellStyle name="S0" xfId="3" xr:uid="{00000000-0005-0000-0000-000000000000}"/>
    <cellStyle name="S2" xfId="2" xr:uid="{00000000-0005-0000-0000-000001000000}"/>
    <cellStyle name="S3" xfId="7" xr:uid="{00000000-0005-0000-0000-000002000000}"/>
    <cellStyle name="S4" xfId="4" xr:uid="{00000000-0005-0000-0000-000003000000}"/>
    <cellStyle name="S5" xfId="5" xr:uid="{00000000-0005-0000-0000-000004000000}"/>
    <cellStyle name="S6" xfId="6" xr:uid="{00000000-0005-0000-0000-000005000000}"/>
    <cellStyle name="S7" xfId="8" xr:uid="{00000000-0005-0000-0000-000006000000}"/>
    <cellStyle name="Обычный" xfId="0" builtinId="0"/>
    <cellStyle name="Обычный 2" xfId="1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3;&#1086;&#1084;&#1080;&#1085;&#1072;&#1083;\&#1058;&#1088;&#1091;&#1073;&#1085;&#1072;&#1103;%20&#1088;&#1072;&#1079;&#1074;&#1086;&#1076;&#1082;&#1072;\&#1063;&#1077;&#1088;&#1085;&#1072;&#1103;%20&#1088;&#1077;&#1095;&#1082;&#1072;%20&#1082;&#1086;&#1088;&#1087;&#1091;&#1089;%201.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3;&#1086;&#1084;&#1080;&#1085;&#1072;&#1083;\&#1058;&#1088;&#1091;&#1073;&#1085;&#1072;&#1103;%20&#1088;&#1072;&#1079;&#1074;&#1086;&#1076;&#1082;&#1072;\&#1063;&#1077;&#1088;&#1085;&#1072;&#1103;%20&#1088;&#1077;&#1095;&#1082;&#1072;%20&#1082;&#1086;&#1088;&#1087;&#1091;&#1089;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пус 1.12 (2)"/>
      <sheetName val="смета 1.13"/>
      <sheetName val="КС-6а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6">
          <cell r="B6" t="str">
            <v>Труба ПНД 25 мм</v>
          </cell>
        </row>
        <row r="9">
          <cell r="N9">
            <v>279417.12862463994</v>
          </cell>
        </row>
        <row r="41">
          <cell r="B41" t="str">
            <v>Кабель ВВГнг(А)-FRLS 3х4,0мм2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пус 1.12 (2)"/>
      <sheetName val="смета 1.13"/>
      <sheetName val="КС-6а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6">
          <cell r="J6">
            <v>5450</v>
          </cell>
        </row>
        <row r="9">
          <cell r="K9">
            <v>440206.50799999997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170"/>
  <sheetViews>
    <sheetView tabSelected="1" view="pageBreakPreview" topLeftCell="B1" zoomScaleNormal="100" zoomScaleSheetLayoutView="100" workbookViewId="0">
      <selection activeCell="F12" sqref="F12"/>
    </sheetView>
  </sheetViews>
  <sheetFormatPr defaultColWidth="9.140625" defaultRowHeight="12.75" x14ac:dyDescent="0.25"/>
  <cols>
    <col min="1" max="1" width="5.42578125" style="69" customWidth="1"/>
    <col min="2" max="2" width="6.7109375" style="69" customWidth="1"/>
    <col min="3" max="3" width="37.85546875" style="69" customWidth="1"/>
    <col min="4" max="4" width="19.28515625" style="69" customWidth="1"/>
    <col min="5" max="5" width="6.85546875" style="69" customWidth="1"/>
    <col min="6" max="6" width="10.85546875" style="69" bestFit="1" customWidth="1"/>
    <col min="7" max="7" width="13.42578125" style="69" customWidth="1"/>
    <col min="8" max="8" width="12.42578125" style="69" customWidth="1"/>
    <col min="9" max="9" width="14.28515625" style="69" customWidth="1"/>
    <col min="10" max="10" width="14" style="69" customWidth="1"/>
    <col min="11" max="11" width="17.7109375" style="70" hidden="1" customWidth="1"/>
    <col min="12" max="13" width="14.5703125" style="69" hidden="1" customWidth="1"/>
    <col min="14" max="14" width="16.28515625" style="70" hidden="1" customWidth="1"/>
    <col min="15" max="15" width="14.5703125" style="69" hidden="1" customWidth="1"/>
    <col min="16" max="16" width="14.7109375" style="69" hidden="1" customWidth="1"/>
    <col min="17" max="17" width="11.140625" style="69" hidden="1" customWidth="1"/>
    <col min="18" max="18" width="0" style="69" hidden="1" customWidth="1"/>
    <col min="19" max="19" width="10.5703125" style="69" hidden="1" customWidth="1"/>
    <col min="20" max="22" width="9.140625" style="69"/>
    <col min="23" max="23" width="12.85546875" style="69" customWidth="1"/>
    <col min="24" max="16384" width="9.140625" style="69"/>
  </cols>
  <sheetData>
    <row r="1" spans="2:23" ht="38.450000000000003" customHeight="1" x14ac:dyDescent="0.25">
      <c r="B1" s="134" t="s">
        <v>331</v>
      </c>
      <c r="C1" s="134"/>
      <c r="D1" s="134"/>
      <c r="E1" s="134"/>
      <c r="F1" s="134"/>
      <c r="G1" s="134"/>
      <c r="H1" s="134"/>
      <c r="I1" s="134"/>
      <c r="J1" s="134"/>
    </row>
    <row r="3" spans="2:23" ht="31.5" customHeight="1" x14ac:dyDescent="0.25">
      <c r="B3" s="133" t="s">
        <v>341</v>
      </c>
      <c r="C3" s="133"/>
      <c r="D3" s="133"/>
      <c r="E3" s="133"/>
      <c r="F3" s="133"/>
      <c r="G3" s="133"/>
      <c r="H3" s="133"/>
      <c r="I3" s="133"/>
      <c r="J3" s="133"/>
    </row>
    <row r="4" spans="2:23" x14ac:dyDescent="0.25">
      <c r="B4" s="128"/>
      <c r="C4" s="128"/>
      <c r="D4" s="128"/>
      <c r="E4" s="128"/>
      <c r="F4" s="128"/>
      <c r="G4" s="128"/>
      <c r="H4" s="128"/>
      <c r="I4" s="128"/>
      <c r="J4" s="128"/>
    </row>
    <row r="5" spans="2:23" x14ac:dyDescent="0.25">
      <c r="B5" s="131"/>
      <c r="C5" s="127" t="s">
        <v>11</v>
      </c>
      <c r="D5" s="129" t="s">
        <v>330</v>
      </c>
      <c r="E5" s="127" t="s">
        <v>10</v>
      </c>
      <c r="F5" s="127" t="s">
        <v>9</v>
      </c>
      <c r="G5" s="127" t="s">
        <v>278</v>
      </c>
      <c r="H5" s="127"/>
      <c r="I5" s="127" t="s">
        <v>279</v>
      </c>
      <c r="J5" s="127"/>
      <c r="K5" s="69"/>
      <c r="L5" s="70"/>
      <c r="N5" s="69"/>
    </row>
    <row r="6" spans="2:23" ht="38.25" x14ac:dyDescent="0.25">
      <c r="B6" s="132"/>
      <c r="C6" s="127"/>
      <c r="D6" s="130"/>
      <c r="E6" s="127"/>
      <c r="F6" s="127"/>
      <c r="G6" s="98" t="s">
        <v>337</v>
      </c>
      <c r="H6" s="98" t="s">
        <v>339</v>
      </c>
      <c r="I6" s="98" t="s">
        <v>340</v>
      </c>
      <c r="J6" s="98" t="s">
        <v>338</v>
      </c>
      <c r="K6" s="69"/>
      <c r="L6" s="70"/>
      <c r="N6" s="69"/>
    </row>
    <row r="7" spans="2:23" x14ac:dyDescent="0.25">
      <c r="B7" s="64"/>
      <c r="C7" s="77" t="s">
        <v>329</v>
      </c>
      <c r="D7" s="77"/>
      <c r="E7" s="78"/>
      <c r="F7" s="64"/>
      <c r="G7" s="64"/>
      <c r="H7" s="64"/>
      <c r="I7" s="64"/>
      <c r="J7" s="64"/>
      <c r="K7" s="69"/>
      <c r="L7" s="70"/>
      <c r="N7" s="69"/>
    </row>
    <row r="8" spans="2:23" ht="25.5" x14ac:dyDescent="0.25">
      <c r="B8" s="65" t="s">
        <v>12</v>
      </c>
      <c r="C8" s="66" t="s">
        <v>332</v>
      </c>
      <c r="D8" s="74"/>
      <c r="E8" s="75" t="s">
        <v>4</v>
      </c>
      <c r="F8" s="75">
        <f>500+200</f>
        <v>700</v>
      </c>
      <c r="G8" s="67"/>
      <c r="H8" s="68">
        <f>G8*F8</f>
        <v>0</v>
      </c>
      <c r="I8" s="67"/>
      <c r="J8" s="67">
        <f>I8*F8</f>
        <v>0</v>
      </c>
      <c r="K8" s="69">
        <f>(J8+H8)*1.18</f>
        <v>0</v>
      </c>
      <c r="L8" s="70" t="e">
        <f>K8-#REF!</f>
        <v>#REF!</v>
      </c>
      <c r="N8" s="69"/>
      <c r="S8" s="71">
        <f>7740.78*14.24</f>
        <v>110228.7072</v>
      </c>
      <c r="W8" s="72"/>
    </row>
    <row r="9" spans="2:23" ht="37.5" customHeight="1" x14ac:dyDescent="0.25">
      <c r="B9" s="65" t="s">
        <v>16</v>
      </c>
      <c r="C9" s="66" t="s">
        <v>333</v>
      </c>
      <c r="D9" s="74"/>
      <c r="E9" s="75" t="s">
        <v>4</v>
      </c>
      <c r="F9" s="75">
        <f>200+230</f>
        <v>430</v>
      </c>
      <c r="G9" s="67"/>
      <c r="H9" s="68">
        <f t="shared" ref="H9:H11" si="0">G9*F9</f>
        <v>0</v>
      </c>
      <c r="I9" s="67"/>
      <c r="J9" s="67">
        <f t="shared" ref="J9:J11" si="1">I9*F9</f>
        <v>0</v>
      </c>
      <c r="K9" s="69">
        <f t="shared" ref="K9" si="2">(J9+H9)*1.18</f>
        <v>0</v>
      </c>
      <c r="L9" s="70" t="e">
        <f>K9-#REF!</f>
        <v>#REF!</v>
      </c>
      <c r="N9" s="69"/>
    </row>
    <row r="10" spans="2:23" ht="38.25" customHeight="1" x14ac:dyDescent="0.25">
      <c r="B10" s="65" t="s">
        <v>17</v>
      </c>
      <c r="C10" s="66" t="s">
        <v>334</v>
      </c>
      <c r="D10" s="74"/>
      <c r="E10" s="75" t="s">
        <v>4</v>
      </c>
      <c r="F10" s="75">
        <f>1000</f>
        <v>1000</v>
      </c>
      <c r="G10" s="67"/>
      <c r="H10" s="68">
        <f t="shared" si="0"/>
        <v>0</v>
      </c>
      <c r="I10" s="67"/>
      <c r="J10" s="67">
        <f t="shared" si="1"/>
        <v>0</v>
      </c>
      <c r="K10" s="69"/>
      <c r="L10" s="70"/>
      <c r="N10" s="69"/>
      <c r="V10" s="71"/>
    </row>
    <row r="11" spans="2:23" ht="25.5" x14ac:dyDescent="0.25">
      <c r="B11" s="65" t="s">
        <v>131</v>
      </c>
      <c r="C11" s="66" t="s">
        <v>335</v>
      </c>
      <c r="D11" s="66"/>
      <c r="E11" s="75" t="s">
        <v>5</v>
      </c>
      <c r="F11" s="75">
        <f>3000+800</f>
        <v>3800</v>
      </c>
      <c r="G11" s="67"/>
      <c r="H11" s="68">
        <f t="shared" si="0"/>
        <v>0</v>
      </c>
      <c r="I11" s="67"/>
      <c r="J11" s="67">
        <f t="shared" si="1"/>
        <v>0</v>
      </c>
      <c r="K11" s="69">
        <f t="shared" ref="K11" si="3">(J11+H11)*1.18</f>
        <v>0</v>
      </c>
      <c r="L11" s="70" t="e">
        <f>K11-#REF!</f>
        <v>#REF!</v>
      </c>
      <c r="M11" s="73" t="s">
        <v>163</v>
      </c>
      <c r="N11" s="69"/>
    </row>
    <row r="12" spans="2:23" ht="25.5" x14ac:dyDescent="0.25">
      <c r="B12" s="65" t="s">
        <v>132</v>
      </c>
      <c r="C12" s="66" t="s">
        <v>336</v>
      </c>
      <c r="D12" s="66"/>
      <c r="E12" s="75" t="s">
        <v>5</v>
      </c>
      <c r="F12" s="75">
        <v>200</v>
      </c>
      <c r="G12" s="67"/>
      <c r="H12" s="68">
        <f t="shared" ref="H12" si="4">G12*F12</f>
        <v>0</v>
      </c>
      <c r="I12" s="67"/>
      <c r="J12" s="67">
        <f t="shared" ref="J12" si="5">I12*F12</f>
        <v>0</v>
      </c>
      <c r="K12" s="69">
        <f t="shared" ref="K12" si="6">(J12+H12)*1.18</f>
        <v>0</v>
      </c>
      <c r="L12" s="70" t="e">
        <f>K12-#REF!</f>
        <v>#REF!</v>
      </c>
      <c r="M12" s="73" t="s">
        <v>163</v>
      </c>
      <c r="N12" s="69"/>
    </row>
    <row r="13" spans="2:23" ht="27" customHeight="1" x14ac:dyDescent="0.25">
      <c r="B13" s="65"/>
      <c r="C13" s="79" t="s">
        <v>281</v>
      </c>
      <c r="D13" s="79"/>
      <c r="E13" s="80"/>
      <c r="F13" s="64"/>
      <c r="G13" s="64"/>
      <c r="H13" s="81">
        <f>SUM(H8:H12)</f>
        <v>0</v>
      </c>
      <c r="I13" s="64"/>
      <c r="J13" s="82">
        <f>SUM(J8:J12)</f>
        <v>0</v>
      </c>
      <c r="K13" s="72">
        <f t="shared" ref="K13" si="7">J13+H13</f>
        <v>0</v>
      </c>
      <c r="L13" s="72" t="e">
        <f>SUM(L8:L11)</f>
        <v>#REF!</v>
      </c>
      <c r="M13" s="70">
        <f>K13*1.18</f>
        <v>0</v>
      </c>
      <c r="N13" s="69" t="e">
        <f>#REF!/M13</f>
        <v>#REF!</v>
      </c>
    </row>
    <row r="14" spans="2:23" ht="27" customHeight="1" x14ac:dyDescent="0.25">
      <c r="B14" s="65"/>
      <c r="C14" s="83" t="s">
        <v>282</v>
      </c>
      <c r="D14" s="84"/>
      <c r="E14" s="85"/>
      <c r="F14" s="86"/>
      <c r="G14" s="86"/>
      <c r="H14" s="87"/>
      <c r="I14" s="64"/>
      <c r="J14" s="82">
        <f>H13+J13</f>
        <v>0</v>
      </c>
      <c r="K14" s="72" t="e">
        <f>J14-#REF!</f>
        <v>#REF!</v>
      </c>
      <c r="L14" s="72"/>
      <c r="M14" s="70"/>
      <c r="N14" s="69"/>
    </row>
    <row r="15" spans="2:23" ht="15" hidden="1" x14ac:dyDescent="0.25">
      <c r="B15" s="88"/>
      <c r="C15" s="121" t="s">
        <v>6</v>
      </c>
      <c r="D15" s="122"/>
      <c r="E15" s="125"/>
      <c r="F15" s="125"/>
      <c r="G15" s="125"/>
      <c r="H15" s="126"/>
      <c r="I15" s="89"/>
      <c r="J15" s="64"/>
      <c r="K15" s="72" t="e">
        <f>#REF!-K14</f>
        <v>#REF!</v>
      </c>
      <c r="L15" s="70"/>
      <c r="N15" s="69"/>
    </row>
    <row r="16" spans="2:23" ht="15" hidden="1" x14ac:dyDescent="0.25">
      <c r="B16" s="88"/>
      <c r="C16" s="121" t="s">
        <v>37</v>
      </c>
      <c r="D16" s="122"/>
      <c r="E16" s="123"/>
      <c r="F16" s="123"/>
      <c r="G16" s="123"/>
      <c r="H16" s="124"/>
      <c r="I16" s="89"/>
      <c r="J16" s="64"/>
      <c r="K16" s="69"/>
      <c r="L16" s="70"/>
      <c r="N16" s="69"/>
    </row>
    <row r="17" spans="2:14" ht="25.5" hidden="1" x14ac:dyDescent="0.25">
      <c r="B17" s="65" t="s">
        <v>12</v>
      </c>
      <c r="C17" s="66" t="s">
        <v>157</v>
      </c>
      <c r="D17" s="66"/>
      <c r="E17" s="90" t="s">
        <v>4</v>
      </c>
      <c r="F17" s="90">
        <v>2</v>
      </c>
      <c r="G17" s="67">
        <v>175000</v>
      </c>
      <c r="H17" s="68">
        <f t="shared" ref="H17:H34" si="8">PRODUCT(F17,G17)</f>
        <v>350000</v>
      </c>
      <c r="I17" s="91">
        <f>G17/1.18*0.5</f>
        <v>74152.542372881362</v>
      </c>
      <c r="J17" s="91">
        <f t="shared" ref="J17:J49" si="9">I17*F17</f>
        <v>148305.08474576272</v>
      </c>
      <c r="K17" s="69"/>
      <c r="L17" s="70"/>
      <c r="N17" s="69"/>
    </row>
    <row r="18" spans="2:14" ht="31.5" hidden="1" customHeight="1" x14ac:dyDescent="0.25">
      <c r="B18" s="65" t="s">
        <v>16</v>
      </c>
      <c r="C18" s="66" t="s">
        <v>22</v>
      </c>
      <c r="D18" s="66"/>
      <c r="E18" s="90" t="s">
        <v>4</v>
      </c>
      <c r="F18" s="90">
        <v>1</v>
      </c>
      <c r="G18" s="67">
        <v>189000</v>
      </c>
      <c r="H18" s="68">
        <f t="shared" si="8"/>
        <v>189000</v>
      </c>
      <c r="I18" s="91">
        <f>G18/1.18*0.5</f>
        <v>80084.745762711871</v>
      </c>
      <c r="J18" s="91">
        <f t="shared" si="9"/>
        <v>80084.745762711871</v>
      </c>
      <c r="K18" s="69"/>
      <c r="L18" s="70"/>
      <c r="N18" s="69"/>
    </row>
    <row r="19" spans="2:14" ht="25.5" hidden="1" x14ac:dyDescent="0.25">
      <c r="B19" s="65" t="s">
        <v>17</v>
      </c>
      <c r="C19" s="66" t="s">
        <v>23</v>
      </c>
      <c r="D19" s="66"/>
      <c r="E19" s="90" t="s">
        <v>4</v>
      </c>
      <c r="F19" s="90">
        <v>1</v>
      </c>
      <c r="G19" s="67">
        <v>188500</v>
      </c>
      <c r="H19" s="68">
        <f t="shared" si="8"/>
        <v>188500</v>
      </c>
      <c r="I19" s="91">
        <f>G19/1.18*0.5</f>
        <v>79872.881355932201</v>
      </c>
      <c r="J19" s="91">
        <f t="shared" si="9"/>
        <v>79872.881355932201</v>
      </c>
      <c r="K19" s="69"/>
      <c r="L19" s="70"/>
      <c r="M19" s="73" t="s">
        <v>163</v>
      </c>
      <c r="N19" s="69"/>
    </row>
    <row r="20" spans="2:14" ht="25.5" hidden="1" x14ac:dyDescent="0.25">
      <c r="B20" s="65" t="s">
        <v>131</v>
      </c>
      <c r="C20" s="66" t="s">
        <v>24</v>
      </c>
      <c r="D20" s="66"/>
      <c r="E20" s="90" t="s">
        <v>5</v>
      </c>
      <c r="F20" s="90">
        <v>1</v>
      </c>
      <c r="G20" s="67">
        <v>192500</v>
      </c>
      <c r="H20" s="68">
        <f t="shared" si="8"/>
        <v>192500</v>
      </c>
      <c r="I20" s="91">
        <f>G20/1.18*0.5</f>
        <v>81567.796610169491</v>
      </c>
      <c r="J20" s="91">
        <f t="shared" si="9"/>
        <v>81567.796610169491</v>
      </c>
      <c r="L20" s="70"/>
      <c r="M20" s="92" t="s">
        <v>164</v>
      </c>
      <c r="N20" s="69"/>
    </row>
    <row r="21" spans="2:14" hidden="1" x14ac:dyDescent="0.25">
      <c r="B21" s="65" t="s">
        <v>132</v>
      </c>
      <c r="C21" s="66" t="s">
        <v>25</v>
      </c>
      <c r="D21" s="66"/>
      <c r="E21" s="90" t="s">
        <v>4</v>
      </c>
      <c r="F21" s="90">
        <v>4</v>
      </c>
      <c r="G21" s="67">
        <v>1250</v>
      </c>
      <c r="H21" s="68">
        <f t="shared" si="8"/>
        <v>5000</v>
      </c>
      <c r="I21" s="91">
        <f t="shared" ref="I21:I81" si="10">G21/1.18</f>
        <v>1059.3220338983051</v>
      </c>
      <c r="J21" s="91">
        <f t="shared" si="9"/>
        <v>4237.2881355932204</v>
      </c>
      <c r="K21" s="69"/>
      <c r="L21" s="70"/>
      <c r="N21" s="69"/>
    </row>
    <row r="22" spans="2:14" ht="29.25" hidden="1" customHeight="1" x14ac:dyDescent="0.25">
      <c r="B22" s="65" t="s">
        <v>133</v>
      </c>
      <c r="C22" s="66" t="s">
        <v>26</v>
      </c>
      <c r="D22" s="66"/>
      <c r="E22" s="90" t="s">
        <v>4</v>
      </c>
      <c r="F22" s="90">
        <v>1</v>
      </c>
      <c r="G22" s="67">
        <v>4860</v>
      </c>
      <c r="H22" s="68">
        <f t="shared" si="8"/>
        <v>4860</v>
      </c>
      <c r="I22" s="91">
        <f t="shared" si="10"/>
        <v>4118.6440677966102</v>
      </c>
      <c r="J22" s="91">
        <f t="shared" si="9"/>
        <v>4118.6440677966102</v>
      </c>
      <c r="K22" s="69"/>
      <c r="L22" s="70"/>
      <c r="N22" s="69"/>
    </row>
    <row r="23" spans="2:14" ht="25.5" hidden="1" x14ac:dyDescent="0.25">
      <c r="B23" s="65" t="s">
        <v>177</v>
      </c>
      <c r="C23" s="66" t="s">
        <v>27</v>
      </c>
      <c r="D23" s="66"/>
      <c r="E23" s="90" t="s">
        <v>4</v>
      </c>
      <c r="F23" s="90">
        <v>1</v>
      </c>
      <c r="G23" s="67">
        <v>11130</v>
      </c>
      <c r="H23" s="68">
        <f t="shared" si="8"/>
        <v>11130</v>
      </c>
      <c r="I23" s="91">
        <f t="shared" si="10"/>
        <v>9432.203389830509</v>
      </c>
      <c r="J23" s="91">
        <f t="shared" si="9"/>
        <v>9432.203389830509</v>
      </c>
      <c r="K23" s="69"/>
      <c r="L23" s="70"/>
      <c r="N23" s="69"/>
    </row>
    <row r="24" spans="2:14" hidden="1" x14ac:dyDescent="0.25">
      <c r="B24" s="65" t="s">
        <v>178</v>
      </c>
      <c r="C24" s="66" t="s">
        <v>28</v>
      </c>
      <c r="D24" s="66"/>
      <c r="E24" s="90" t="s">
        <v>4</v>
      </c>
      <c r="F24" s="90">
        <v>1</v>
      </c>
      <c r="G24" s="67">
        <v>6850</v>
      </c>
      <c r="H24" s="68">
        <f t="shared" si="8"/>
        <v>6850</v>
      </c>
      <c r="I24" s="91">
        <f t="shared" si="10"/>
        <v>5805.0847457627124</v>
      </c>
      <c r="J24" s="91">
        <f t="shared" si="9"/>
        <v>5805.0847457627124</v>
      </c>
      <c r="K24" s="69"/>
      <c r="L24" s="70"/>
      <c r="N24" s="69"/>
    </row>
    <row r="25" spans="2:14" hidden="1" x14ac:dyDescent="0.25">
      <c r="B25" s="65" t="s">
        <v>179</v>
      </c>
      <c r="C25" s="66" t="s">
        <v>29</v>
      </c>
      <c r="D25" s="66"/>
      <c r="E25" s="90" t="s">
        <v>4</v>
      </c>
      <c r="F25" s="90">
        <v>1</v>
      </c>
      <c r="G25" s="67">
        <v>5152</v>
      </c>
      <c r="H25" s="68">
        <f t="shared" si="8"/>
        <v>5152</v>
      </c>
      <c r="I25" s="91">
        <f t="shared" si="10"/>
        <v>4366.1016949152545</v>
      </c>
      <c r="J25" s="91">
        <f t="shared" si="9"/>
        <v>4366.1016949152545</v>
      </c>
      <c r="K25" s="69"/>
      <c r="L25" s="70"/>
      <c r="N25" s="69"/>
    </row>
    <row r="26" spans="2:14" hidden="1" x14ac:dyDescent="0.25">
      <c r="B26" s="65" t="s">
        <v>180</v>
      </c>
      <c r="C26" s="66" t="s">
        <v>30</v>
      </c>
      <c r="D26" s="66"/>
      <c r="E26" s="90" t="s">
        <v>4</v>
      </c>
      <c r="F26" s="90">
        <v>1</v>
      </c>
      <c r="G26" s="67">
        <v>6891</v>
      </c>
      <c r="H26" s="68">
        <f t="shared" si="8"/>
        <v>6891</v>
      </c>
      <c r="I26" s="91">
        <f t="shared" si="10"/>
        <v>5839.8305084745762</v>
      </c>
      <c r="J26" s="91">
        <f t="shared" si="9"/>
        <v>5839.8305084745762</v>
      </c>
      <c r="K26" s="69"/>
      <c r="L26" s="70"/>
      <c r="N26" s="69"/>
    </row>
    <row r="27" spans="2:14" hidden="1" x14ac:dyDescent="0.25">
      <c r="B27" s="65" t="s">
        <v>181</v>
      </c>
      <c r="C27" s="66" t="s">
        <v>158</v>
      </c>
      <c r="D27" s="66"/>
      <c r="E27" s="90" t="s">
        <v>5</v>
      </c>
      <c r="F27" s="90">
        <v>1</v>
      </c>
      <c r="G27" s="67">
        <v>5211</v>
      </c>
      <c r="H27" s="68">
        <f t="shared" si="8"/>
        <v>5211</v>
      </c>
      <c r="I27" s="91">
        <f t="shared" si="10"/>
        <v>4416.1016949152545</v>
      </c>
      <c r="J27" s="91">
        <f t="shared" si="9"/>
        <v>4416.1016949152545</v>
      </c>
      <c r="K27" s="69"/>
      <c r="L27" s="70"/>
      <c r="N27" s="69"/>
    </row>
    <row r="28" spans="2:14" ht="28.5" hidden="1" customHeight="1" x14ac:dyDescent="0.25">
      <c r="B28" s="65" t="s">
        <v>182</v>
      </c>
      <c r="C28" s="66" t="s">
        <v>31</v>
      </c>
      <c r="D28" s="66"/>
      <c r="E28" s="90" t="s">
        <v>4</v>
      </c>
      <c r="F28" s="90">
        <v>1</v>
      </c>
      <c r="G28" s="67">
        <v>8570</v>
      </c>
      <c r="H28" s="68">
        <f t="shared" si="8"/>
        <v>8570</v>
      </c>
      <c r="I28" s="91">
        <f t="shared" si="10"/>
        <v>7262.7118644067805</v>
      </c>
      <c r="J28" s="91">
        <f t="shared" si="9"/>
        <v>7262.7118644067805</v>
      </c>
      <c r="K28" s="69"/>
      <c r="L28" s="70"/>
      <c r="N28" s="69"/>
    </row>
    <row r="29" spans="2:14" hidden="1" x14ac:dyDescent="0.25">
      <c r="B29" s="65" t="s">
        <v>183</v>
      </c>
      <c r="C29" s="66" t="s">
        <v>32</v>
      </c>
      <c r="D29" s="66"/>
      <c r="E29" s="90" t="s">
        <v>4</v>
      </c>
      <c r="F29" s="90">
        <v>1</v>
      </c>
      <c r="G29" s="67">
        <v>3150</v>
      </c>
      <c r="H29" s="68">
        <f t="shared" si="8"/>
        <v>3150</v>
      </c>
      <c r="I29" s="91">
        <f t="shared" si="10"/>
        <v>2669.4915254237289</v>
      </c>
      <c r="J29" s="91">
        <f t="shared" si="9"/>
        <v>2669.4915254237289</v>
      </c>
      <c r="K29" s="70">
        <f>SUM(J17:J29)</f>
        <v>437977.96610169491</v>
      </c>
      <c r="L29" s="70"/>
      <c r="N29" s="69"/>
    </row>
    <row r="30" spans="2:14" hidden="1" x14ac:dyDescent="0.25">
      <c r="B30" s="65" t="s">
        <v>184</v>
      </c>
      <c r="C30" s="66" t="s">
        <v>167</v>
      </c>
      <c r="D30" s="66"/>
      <c r="E30" s="90" t="s">
        <v>4</v>
      </c>
      <c r="F30" s="90">
        <v>24</v>
      </c>
      <c r="G30" s="67">
        <v>29750</v>
      </c>
      <c r="H30" s="68">
        <f t="shared" si="8"/>
        <v>714000</v>
      </c>
      <c r="I30" s="93">
        <v>10000</v>
      </c>
      <c r="J30" s="91">
        <f t="shared" si="9"/>
        <v>240000</v>
      </c>
      <c r="K30" s="70">
        <f>J30</f>
        <v>240000</v>
      </c>
      <c r="L30" s="70"/>
      <c r="N30" s="69">
        <f>94/24</f>
        <v>3.9166666666666665</v>
      </c>
    </row>
    <row r="31" spans="2:14" hidden="1" x14ac:dyDescent="0.25">
      <c r="B31" s="65" t="s">
        <v>185</v>
      </c>
      <c r="C31" s="66" t="s">
        <v>33</v>
      </c>
      <c r="D31" s="66"/>
      <c r="E31" s="90" t="s">
        <v>4</v>
      </c>
      <c r="F31" s="90">
        <v>15</v>
      </c>
      <c r="G31" s="67">
        <v>10385</v>
      </c>
      <c r="H31" s="68">
        <f t="shared" si="8"/>
        <v>155775</v>
      </c>
      <c r="I31" s="91">
        <v>3100</v>
      </c>
      <c r="J31" s="91">
        <f t="shared" si="9"/>
        <v>46500</v>
      </c>
      <c r="K31" s="69"/>
      <c r="L31" s="70"/>
      <c r="N31" s="69"/>
    </row>
    <row r="32" spans="2:14" hidden="1" x14ac:dyDescent="0.25">
      <c r="B32" s="65" t="s">
        <v>186</v>
      </c>
      <c r="C32" s="66" t="s">
        <v>34</v>
      </c>
      <c r="D32" s="66"/>
      <c r="E32" s="90" t="s">
        <v>4</v>
      </c>
      <c r="F32" s="90">
        <v>39</v>
      </c>
      <c r="G32" s="67">
        <v>6795</v>
      </c>
      <c r="H32" s="68">
        <f t="shared" si="8"/>
        <v>265005</v>
      </c>
      <c r="I32" s="91">
        <v>3330</v>
      </c>
      <c r="J32" s="91">
        <f t="shared" si="9"/>
        <v>129870</v>
      </c>
      <c r="K32" s="69"/>
      <c r="L32" s="70"/>
      <c r="N32" s="69"/>
    </row>
    <row r="33" spans="2:14" hidden="1" x14ac:dyDescent="0.25">
      <c r="B33" s="65" t="s">
        <v>187</v>
      </c>
      <c r="C33" s="66" t="s">
        <v>35</v>
      </c>
      <c r="D33" s="66"/>
      <c r="E33" s="90" t="s">
        <v>4</v>
      </c>
      <c r="F33" s="90">
        <v>33</v>
      </c>
      <c r="G33" s="67">
        <v>6845</v>
      </c>
      <c r="H33" s="68">
        <f t="shared" si="8"/>
        <v>225885</v>
      </c>
      <c r="I33" s="91">
        <v>3330</v>
      </c>
      <c r="J33" s="91">
        <f t="shared" si="9"/>
        <v>109890</v>
      </c>
      <c r="K33" s="69"/>
      <c r="L33" s="70"/>
      <c r="N33" s="69"/>
    </row>
    <row r="34" spans="2:14" hidden="1" x14ac:dyDescent="0.25">
      <c r="B34" s="65" t="s">
        <v>188</v>
      </c>
      <c r="C34" s="66" t="s">
        <v>36</v>
      </c>
      <c r="D34" s="66"/>
      <c r="E34" s="90" t="s">
        <v>4</v>
      </c>
      <c r="F34" s="90">
        <v>7</v>
      </c>
      <c r="G34" s="67">
        <v>7580</v>
      </c>
      <c r="H34" s="68">
        <f t="shared" si="8"/>
        <v>53060</v>
      </c>
      <c r="I34" s="91">
        <v>3600</v>
      </c>
      <c r="J34" s="91">
        <f t="shared" si="9"/>
        <v>25200</v>
      </c>
      <c r="K34" s="70">
        <f>SUM(J31:J34)</f>
        <v>311460</v>
      </c>
      <c r="L34" s="70"/>
      <c r="N34" s="69"/>
    </row>
    <row r="35" spans="2:14" ht="15" hidden="1" x14ac:dyDescent="0.25">
      <c r="B35" s="65"/>
      <c r="C35" s="121" t="s">
        <v>38</v>
      </c>
      <c r="D35" s="122"/>
      <c r="E35" s="123"/>
      <c r="F35" s="123"/>
      <c r="G35" s="123"/>
      <c r="H35" s="124"/>
      <c r="I35" s="89">
        <f t="shared" si="10"/>
        <v>0</v>
      </c>
      <c r="J35" s="89">
        <f t="shared" si="9"/>
        <v>0</v>
      </c>
      <c r="K35" s="69"/>
      <c r="L35" s="70"/>
      <c r="N35" s="69"/>
    </row>
    <row r="36" spans="2:14" hidden="1" x14ac:dyDescent="0.25">
      <c r="B36" s="65" t="s">
        <v>18</v>
      </c>
      <c r="C36" s="94" t="s">
        <v>39</v>
      </c>
      <c r="D36" s="94"/>
      <c r="E36" s="76" t="s">
        <v>5</v>
      </c>
      <c r="F36" s="95" t="e">
        <f>#REF!</f>
        <v>#REF!</v>
      </c>
      <c r="G36" s="96">
        <v>19.39</v>
      </c>
      <c r="H36" s="97" t="e">
        <f>F36*G36</f>
        <v>#REF!</v>
      </c>
      <c r="I36" s="89">
        <f t="shared" si="10"/>
        <v>16.432203389830509</v>
      </c>
      <c r="J36" s="89" t="e">
        <f t="shared" si="9"/>
        <v>#REF!</v>
      </c>
      <c r="K36" s="69"/>
      <c r="L36" s="70"/>
      <c r="N36" s="69"/>
    </row>
    <row r="37" spans="2:14" hidden="1" x14ac:dyDescent="0.25">
      <c r="B37" s="65" t="s">
        <v>134</v>
      </c>
      <c r="C37" s="94" t="s">
        <v>42</v>
      </c>
      <c r="D37" s="94"/>
      <c r="E37" s="76" t="s">
        <v>5</v>
      </c>
      <c r="F37" s="95" t="e">
        <f>#REF!</f>
        <v>#REF!</v>
      </c>
      <c r="G37" s="96">
        <v>34.67</v>
      </c>
      <c r="H37" s="97" t="e">
        <f>F37*G37</f>
        <v>#REF!</v>
      </c>
      <c r="I37" s="89">
        <f>G37/1.18</f>
        <v>29.381355932203395</v>
      </c>
      <c r="J37" s="89" t="e">
        <f>I37*F37</f>
        <v>#REF!</v>
      </c>
      <c r="K37" s="69"/>
      <c r="L37" s="70"/>
      <c r="N37" s="69"/>
    </row>
    <row r="38" spans="2:14" hidden="1" x14ac:dyDescent="0.25">
      <c r="B38" s="65" t="s">
        <v>135</v>
      </c>
      <c r="C38" s="94" t="s">
        <v>44</v>
      </c>
      <c r="D38" s="94"/>
      <c r="E38" s="76" t="s">
        <v>5</v>
      </c>
      <c r="F38" s="95" t="e">
        <f>#REF!</f>
        <v>#REF!</v>
      </c>
      <c r="G38" s="96">
        <v>30.5</v>
      </c>
      <c r="H38" s="97" t="e">
        <f>F38*G38</f>
        <v>#REF!</v>
      </c>
      <c r="I38" s="89">
        <f>G38/1.18</f>
        <v>25.847457627118647</v>
      </c>
      <c r="J38" s="89" t="e">
        <f>I38*F38</f>
        <v>#REF!</v>
      </c>
      <c r="K38" s="69"/>
      <c r="L38" s="70"/>
      <c r="N38" s="69"/>
    </row>
    <row r="39" spans="2:14" hidden="1" x14ac:dyDescent="0.25">
      <c r="B39" s="65" t="s">
        <v>189</v>
      </c>
      <c r="C39" s="94" t="s">
        <v>47</v>
      </c>
      <c r="D39" s="94"/>
      <c r="E39" s="76" t="s">
        <v>5</v>
      </c>
      <c r="F39" s="95" t="e">
        <f>#REF!</f>
        <v>#REF!</v>
      </c>
      <c r="G39" s="96">
        <v>72.23</v>
      </c>
      <c r="H39" s="97" t="e">
        <f>F39*G39</f>
        <v>#REF!</v>
      </c>
      <c r="I39" s="89">
        <f>G39/1.18</f>
        <v>61.211864406779668</v>
      </c>
      <c r="J39" s="89" t="e">
        <f>I39*F39</f>
        <v>#REF!</v>
      </c>
      <c r="K39" s="69"/>
      <c r="L39" s="70"/>
      <c r="N39" s="69"/>
    </row>
    <row r="40" spans="2:14" hidden="1" x14ac:dyDescent="0.25">
      <c r="B40" s="65" t="s">
        <v>190</v>
      </c>
      <c r="C40" s="94" t="s">
        <v>48</v>
      </c>
      <c r="D40" s="94"/>
      <c r="E40" s="76" t="s">
        <v>5</v>
      </c>
      <c r="F40" s="95" t="e">
        <f>#REF!</f>
        <v>#REF!</v>
      </c>
      <c r="G40" s="96">
        <v>95</v>
      </c>
      <c r="H40" s="97" t="e">
        <f>F40*G40</f>
        <v>#REF!</v>
      </c>
      <c r="I40" s="89">
        <f>G40/1.18</f>
        <v>80.508474576271198</v>
      </c>
      <c r="J40" s="89" t="e">
        <f>I40*F40</f>
        <v>#REF!</v>
      </c>
      <c r="K40" s="70" t="e">
        <f>SUM(J36:J40)</f>
        <v>#REF!</v>
      </c>
      <c r="L40" s="70"/>
      <c r="N40" s="69"/>
    </row>
    <row r="41" spans="2:14" hidden="1" x14ac:dyDescent="0.25">
      <c r="B41" s="65"/>
      <c r="C41" s="94"/>
      <c r="D41" s="94"/>
      <c r="E41" s="76"/>
      <c r="F41" s="95"/>
      <c r="G41" s="96"/>
      <c r="H41" s="97"/>
      <c r="I41" s="89"/>
      <c r="J41" s="89"/>
      <c r="L41" s="70"/>
      <c r="N41" s="69"/>
    </row>
    <row r="42" spans="2:14" hidden="1" x14ac:dyDescent="0.25">
      <c r="B42" s="65" t="s">
        <v>191</v>
      </c>
      <c r="C42" s="94" t="s">
        <v>40</v>
      </c>
      <c r="D42" s="94"/>
      <c r="E42" s="76" t="s">
        <v>5</v>
      </c>
      <c r="F42" s="95" t="e">
        <f>#REF!</f>
        <v>#REF!</v>
      </c>
      <c r="G42" s="96">
        <v>21.06</v>
      </c>
      <c r="H42" s="97" t="e">
        <f t="shared" ref="H42:H55" si="11">F42*G42</f>
        <v>#REF!</v>
      </c>
      <c r="I42" s="89">
        <f t="shared" si="10"/>
        <v>17.847457627118644</v>
      </c>
      <c r="J42" s="89" t="e">
        <f t="shared" si="9"/>
        <v>#REF!</v>
      </c>
      <c r="K42" s="69"/>
      <c r="L42" s="70"/>
      <c r="N42" s="69"/>
    </row>
    <row r="43" spans="2:14" hidden="1" x14ac:dyDescent="0.25">
      <c r="B43" s="65" t="s">
        <v>192</v>
      </c>
      <c r="C43" s="94" t="s">
        <v>41</v>
      </c>
      <c r="D43" s="94"/>
      <c r="E43" s="76" t="s">
        <v>5</v>
      </c>
      <c r="F43" s="95" t="e">
        <f>#REF!</f>
        <v>#REF!</v>
      </c>
      <c r="G43" s="96">
        <v>43.74</v>
      </c>
      <c r="H43" s="97" t="e">
        <f t="shared" si="11"/>
        <v>#REF!</v>
      </c>
      <c r="I43" s="89">
        <f t="shared" si="10"/>
        <v>37.067796610169495</v>
      </c>
      <c r="J43" s="89" t="e">
        <f t="shared" si="9"/>
        <v>#REF!</v>
      </c>
      <c r="K43" s="69"/>
      <c r="L43" s="70"/>
      <c r="N43" s="69"/>
    </row>
    <row r="44" spans="2:14" hidden="1" x14ac:dyDescent="0.25">
      <c r="B44" s="65" t="s">
        <v>193</v>
      </c>
      <c r="C44" s="94" t="s">
        <v>43</v>
      </c>
      <c r="D44" s="94"/>
      <c r="E44" s="76" t="s">
        <v>5</v>
      </c>
      <c r="F44" s="95" t="e">
        <f>#REF!</f>
        <v>#REF!</v>
      </c>
      <c r="G44" s="96">
        <v>32.28</v>
      </c>
      <c r="H44" s="97" t="e">
        <f t="shared" si="11"/>
        <v>#REF!</v>
      </c>
      <c r="I44" s="89">
        <f t="shared" si="10"/>
        <v>27.355932203389834</v>
      </c>
      <c r="J44" s="89" t="e">
        <f t="shared" si="9"/>
        <v>#REF!</v>
      </c>
      <c r="K44" s="69"/>
      <c r="L44" s="70"/>
      <c r="N44" s="69"/>
    </row>
    <row r="45" spans="2:14" hidden="1" x14ac:dyDescent="0.25">
      <c r="B45" s="65" t="s">
        <v>194</v>
      </c>
      <c r="C45" s="94" t="s">
        <v>45</v>
      </c>
      <c r="D45" s="94"/>
      <c r="E45" s="76" t="s">
        <v>5</v>
      </c>
      <c r="F45" s="95" t="e">
        <f>#REF!</f>
        <v>#REF!</v>
      </c>
      <c r="G45" s="96">
        <v>59.27</v>
      </c>
      <c r="H45" s="97" t="e">
        <f t="shared" si="11"/>
        <v>#REF!</v>
      </c>
      <c r="I45" s="89">
        <f t="shared" si="10"/>
        <v>50.228813559322042</v>
      </c>
      <c r="J45" s="89" t="e">
        <f t="shared" si="9"/>
        <v>#REF!</v>
      </c>
      <c r="K45" s="69"/>
      <c r="L45" s="70"/>
      <c r="N45" s="69"/>
    </row>
    <row r="46" spans="2:14" hidden="1" x14ac:dyDescent="0.25">
      <c r="B46" s="65" t="s">
        <v>195</v>
      </c>
      <c r="C46" s="94" t="s">
        <v>46</v>
      </c>
      <c r="D46" s="94"/>
      <c r="E46" s="76" t="s">
        <v>5</v>
      </c>
      <c r="F46" s="95" t="e">
        <f>#REF!</f>
        <v>#REF!</v>
      </c>
      <c r="G46" s="96">
        <v>88.7</v>
      </c>
      <c r="H46" s="97" t="e">
        <f t="shared" si="11"/>
        <v>#REF!</v>
      </c>
      <c r="I46" s="89">
        <f t="shared" si="10"/>
        <v>75.169491525423737</v>
      </c>
      <c r="J46" s="89" t="e">
        <f t="shared" si="9"/>
        <v>#REF!</v>
      </c>
      <c r="K46" s="69"/>
      <c r="L46" s="70"/>
      <c r="N46" s="69"/>
    </row>
    <row r="47" spans="2:14" hidden="1" x14ac:dyDescent="0.25">
      <c r="B47" s="65" t="s">
        <v>196</v>
      </c>
      <c r="C47" s="94" t="s">
        <v>49</v>
      </c>
      <c r="D47" s="94"/>
      <c r="E47" s="76" t="s">
        <v>5</v>
      </c>
      <c r="F47" s="95" t="e">
        <f>#REF!</f>
        <v>#REF!</v>
      </c>
      <c r="G47" s="96">
        <v>38.72</v>
      </c>
      <c r="H47" s="97" t="e">
        <f t="shared" si="11"/>
        <v>#REF!</v>
      </c>
      <c r="I47" s="89">
        <f t="shared" si="10"/>
        <v>32.813559322033896</v>
      </c>
      <c r="J47" s="89" t="e">
        <f t="shared" si="9"/>
        <v>#REF!</v>
      </c>
      <c r="K47" s="69"/>
      <c r="L47" s="70"/>
      <c r="N47" s="69"/>
    </row>
    <row r="48" spans="2:14" hidden="1" x14ac:dyDescent="0.25">
      <c r="B48" s="65" t="s">
        <v>197</v>
      </c>
      <c r="C48" s="94" t="s">
        <v>50</v>
      </c>
      <c r="D48" s="94"/>
      <c r="E48" s="76" t="s">
        <v>5</v>
      </c>
      <c r="F48" s="95" t="e">
        <f>#REF!</f>
        <v>#REF!</v>
      </c>
      <c r="G48" s="96">
        <v>66.099999999999994</v>
      </c>
      <c r="H48" s="97" t="e">
        <f t="shared" si="11"/>
        <v>#REF!</v>
      </c>
      <c r="I48" s="89">
        <f t="shared" si="10"/>
        <v>56.016949152542374</v>
      </c>
      <c r="J48" s="89" t="e">
        <f t="shared" si="9"/>
        <v>#REF!</v>
      </c>
      <c r="K48" s="69"/>
      <c r="L48" s="70"/>
      <c r="N48" s="69"/>
    </row>
    <row r="49" spans="2:14" hidden="1" x14ac:dyDescent="0.25">
      <c r="B49" s="65" t="s">
        <v>198</v>
      </c>
      <c r="C49" s="94" t="s">
        <v>51</v>
      </c>
      <c r="D49" s="94"/>
      <c r="E49" s="76" t="s">
        <v>5</v>
      </c>
      <c r="F49" s="95" t="e">
        <f>#REF!</f>
        <v>#REF!</v>
      </c>
      <c r="G49" s="96">
        <v>83.2</v>
      </c>
      <c r="H49" s="97" t="e">
        <f t="shared" si="11"/>
        <v>#REF!</v>
      </c>
      <c r="I49" s="89">
        <f t="shared" si="10"/>
        <v>70.508474576271198</v>
      </c>
      <c r="J49" s="89" t="e">
        <f t="shared" si="9"/>
        <v>#REF!</v>
      </c>
      <c r="K49" s="69"/>
      <c r="L49" s="70"/>
      <c r="N49" s="69"/>
    </row>
    <row r="50" spans="2:14" hidden="1" x14ac:dyDescent="0.25">
      <c r="B50" s="65" t="s">
        <v>199</v>
      </c>
      <c r="C50" s="94" t="s">
        <v>52</v>
      </c>
      <c r="D50" s="94"/>
      <c r="E50" s="76" t="s">
        <v>5</v>
      </c>
      <c r="F50" s="95" t="e">
        <f>#REF!</f>
        <v>#REF!</v>
      </c>
      <c r="G50" s="96">
        <v>136.08000000000001</v>
      </c>
      <c r="H50" s="97" t="e">
        <f t="shared" si="11"/>
        <v>#REF!</v>
      </c>
      <c r="I50" s="89">
        <f t="shared" si="10"/>
        <v>115.32203389830511</v>
      </c>
      <c r="J50" s="89" t="e">
        <f t="shared" ref="J50:J84" si="12">I50*F50</f>
        <v>#REF!</v>
      </c>
      <c r="K50" s="69"/>
      <c r="L50" s="70"/>
      <c r="N50" s="69"/>
    </row>
    <row r="51" spans="2:14" hidden="1" x14ac:dyDescent="0.25">
      <c r="B51" s="65" t="s">
        <v>200</v>
      </c>
      <c r="C51" s="94" t="s">
        <v>53</v>
      </c>
      <c r="D51" s="94"/>
      <c r="E51" s="76" t="s">
        <v>5</v>
      </c>
      <c r="F51" s="95" t="e">
        <f>#REF!</f>
        <v>#REF!</v>
      </c>
      <c r="G51" s="96">
        <v>221.55</v>
      </c>
      <c r="H51" s="97" t="e">
        <f t="shared" si="11"/>
        <v>#REF!</v>
      </c>
      <c r="I51" s="89">
        <f t="shared" si="10"/>
        <v>187.75423728813561</v>
      </c>
      <c r="J51" s="89" t="e">
        <f t="shared" si="12"/>
        <v>#REF!</v>
      </c>
      <c r="K51" s="69"/>
      <c r="L51" s="70"/>
      <c r="N51" s="69"/>
    </row>
    <row r="52" spans="2:14" hidden="1" x14ac:dyDescent="0.25">
      <c r="B52" s="65" t="s">
        <v>201</v>
      </c>
      <c r="C52" s="94" t="s">
        <v>170</v>
      </c>
      <c r="D52" s="94"/>
      <c r="E52" s="76" t="s">
        <v>5</v>
      </c>
      <c r="F52" s="95" t="e">
        <f>#REF!</f>
        <v>#REF!</v>
      </c>
      <c r="G52" s="96">
        <v>268</v>
      </c>
      <c r="H52" s="97" t="e">
        <f t="shared" si="11"/>
        <v>#REF!</v>
      </c>
      <c r="I52" s="89">
        <f t="shared" si="10"/>
        <v>227.11864406779662</v>
      </c>
      <c r="J52" s="89" t="e">
        <f t="shared" si="12"/>
        <v>#REF!</v>
      </c>
      <c r="K52" s="69"/>
      <c r="L52" s="70"/>
      <c r="N52" s="69"/>
    </row>
    <row r="53" spans="2:14" hidden="1" x14ac:dyDescent="0.25">
      <c r="B53" s="65" t="s">
        <v>202</v>
      </c>
      <c r="C53" s="94" t="s">
        <v>277</v>
      </c>
      <c r="D53" s="94"/>
      <c r="E53" s="76" t="s">
        <v>5</v>
      </c>
      <c r="F53" s="95" t="e">
        <f>#REF!</f>
        <v>#REF!</v>
      </c>
      <c r="G53" s="96">
        <v>10</v>
      </c>
      <c r="H53" s="97" t="e">
        <f t="shared" si="11"/>
        <v>#REF!</v>
      </c>
      <c r="I53" s="89">
        <f t="shared" si="10"/>
        <v>8.4745762711864412</v>
      </c>
      <c r="J53" s="89" t="e">
        <f t="shared" si="12"/>
        <v>#REF!</v>
      </c>
      <c r="K53" s="69"/>
      <c r="L53" s="70"/>
      <c r="N53" s="69"/>
    </row>
    <row r="54" spans="2:14" hidden="1" x14ac:dyDescent="0.25">
      <c r="B54" s="65" t="s">
        <v>203</v>
      </c>
      <c r="C54" s="94" t="s">
        <v>54</v>
      </c>
      <c r="D54" s="94"/>
      <c r="E54" s="76" t="s">
        <v>5</v>
      </c>
      <c r="F54" s="95" t="e">
        <f>#REF!</f>
        <v>#REF!</v>
      </c>
      <c r="G54" s="96">
        <v>16.96</v>
      </c>
      <c r="H54" s="97" t="e">
        <f t="shared" si="11"/>
        <v>#REF!</v>
      </c>
      <c r="I54" s="89">
        <f t="shared" si="10"/>
        <v>14.372881355932204</v>
      </c>
      <c r="J54" s="89" t="e">
        <f t="shared" si="12"/>
        <v>#REF!</v>
      </c>
      <c r="K54" s="69"/>
      <c r="L54" s="70"/>
      <c r="N54" s="69"/>
    </row>
    <row r="55" spans="2:14" hidden="1" x14ac:dyDescent="0.25">
      <c r="B55" s="65" t="s">
        <v>276</v>
      </c>
      <c r="C55" s="94" t="s">
        <v>55</v>
      </c>
      <c r="D55" s="94"/>
      <c r="E55" s="76" t="s">
        <v>5</v>
      </c>
      <c r="F55" s="95" t="e">
        <f>#REF!</f>
        <v>#REF!</v>
      </c>
      <c r="G55" s="96">
        <v>43.83</v>
      </c>
      <c r="H55" s="97" t="e">
        <f t="shared" si="11"/>
        <v>#REF!</v>
      </c>
      <c r="I55" s="89">
        <f t="shared" si="10"/>
        <v>37.144067796610173</v>
      </c>
      <c r="J55" s="89" t="e">
        <f t="shared" si="12"/>
        <v>#REF!</v>
      </c>
      <c r="K55" s="70" t="e">
        <f>SUM(J42:J55)</f>
        <v>#REF!</v>
      </c>
      <c r="L55" s="70" t="e">
        <f>SUM(J36:J55)</f>
        <v>#REF!</v>
      </c>
      <c r="N55" s="69"/>
    </row>
    <row r="56" spans="2:14" ht="15" hidden="1" x14ac:dyDescent="0.25">
      <c r="B56" s="98"/>
      <c r="C56" s="121" t="s">
        <v>56</v>
      </c>
      <c r="D56" s="122"/>
      <c r="E56" s="123"/>
      <c r="F56" s="123"/>
      <c r="G56" s="123"/>
      <c r="H56" s="124"/>
      <c r="I56" s="89">
        <f t="shared" si="10"/>
        <v>0</v>
      </c>
      <c r="J56" s="89">
        <f t="shared" si="12"/>
        <v>0</v>
      </c>
      <c r="K56" s="69"/>
      <c r="L56" s="70"/>
      <c r="N56" s="69"/>
    </row>
    <row r="57" spans="2:14" ht="25.5" hidden="1" x14ac:dyDescent="0.25">
      <c r="B57" s="65" t="s">
        <v>13</v>
      </c>
      <c r="C57" s="94" t="s">
        <v>57</v>
      </c>
      <c r="D57" s="94"/>
      <c r="E57" s="76" t="s">
        <v>4</v>
      </c>
      <c r="F57" s="95" t="e">
        <f>#REF!</f>
        <v>#REF!</v>
      </c>
      <c r="G57" s="96">
        <v>3.16</v>
      </c>
      <c r="H57" s="97" t="e">
        <f>F57*G57</f>
        <v>#REF!</v>
      </c>
      <c r="I57" s="89">
        <f t="shared" si="10"/>
        <v>2.6779661016949157</v>
      </c>
      <c r="J57" s="89" t="e">
        <f t="shared" si="12"/>
        <v>#REF!</v>
      </c>
      <c r="K57" s="69"/>
      <c r="L57" s="70"/>
      <c r="N57" s="69"/>
    </row>
    <row r="58" spans="2:14" ht="25.5" hidden="1" x14ac:dyDescent="0.25">
      <c r="B58" s="65" t="s">
        <v>136</v>
      </c>
      <c r="C58" s="94" t="s">
        <v>58</v>
      </c>
      <c r="D58" s="94"/>
      <c r="E58" s="76" t="s">
        <v>4</v>
      </c>
      <c r="F58" s="95" t="e">
        <f>#REF!</f>
        <v>#REF!</v>
      </c>
      <c r="G58" s="96">
        <v>10.79</v>
      </c>
      <c r="H58" s="97" t="e">
        <f t="shared" ref="H58:H62" si="13">F58*G58</f>
        <v>#REF!</v>
      </c>
      <c r="I58" s="89">
        <f t="shared" si="10"/>
        <v>9.1440677966101696</v>
      </c>
      <c r="J58" s="89" t="e">
        <f t="shared" si="12"/>
        <v>#REF!</v>
      </c>
      <c r="K58" s="99" t="e">
        <f>J58+J57</f>
        <v>#REF!</v>
      </c>
      <c r="L58" s="70"/>
      <c r="N58" s="69"/>
    </row>
    <row r="59" spans="2:14" ht="28.5" hidden="1" customHeight="1" x14ac:dyDescent="0.25">
      <c r="B59" s="65" t="s">
        <v>172</v>
      </c>
      <c r="C59" s="94" t="s">
        <v>59</v>
      </c>
      <c r="D59" s="94"/>
      <c r="E59" s="76" t="s">
        <v>4</v>
      </c>
      <c r="F59" s="95" t="e">
        <f>#REF!</f>
        <v>#REF!</v>
      </c>
      <c r="G59" s="96">
        <v>35.99</v>
      </c>
      <c r="H59" s="97" t="e">
        <f t="shared" si="13"/>
        <v>#REF!</v>
      </c>
      <c r="I59" s="89">
        <f t="shared" si="10"/>
        <v>30.500000000000004</v>
      </c>
      <c r="J59" s="89" t="e">
        <f t="shared" si="12"/>
        <v>#REF!</v>
      </c>
      <c r="K59" s="70" t="e">
        <f>J59</f>
        <v>#REF!</v>
      </c>
      <c r="L59" s="70"/>
      <c r="N59" s="69"/>
    </row>
    <row r="60" spans="2:14" hidden="1" x14ac:dyDescent="0.25">
      <c r="B60" s="65" t="s">
        <v>148</v>
      </c>
      <c r="C60" s="94" t="s">
        <v>60</v>
      </c>
      <c r="D60" s="94"/>
      <c r="E60" s="76" t="s">
        <v>4</v>
      </c>
      <c r="F60" s="95" t="e">
        <f>#REF!</f>
        <v>#REF!</v>
      </c>
      <c r="G60" s="96">
        <v>13.55</v>
      </c>
      <c r="H60" s="97" t="e">
        <f t="shared" si="13"/>
        <v>#REF!</v>
      </c>
      <c r="I60" s="89">
        <f t="shared" si="10"/>
        <v>11.483050847457628</v>
      </c>
      <c r="J60" s="89" t="e">
        <f t="shared" si="12"/>
        <v>#REF!</v>
      </c>
      <c r="K60" s="69"/>
      <c r="L60" s="70"/>
      <c r="N60" s="69"/>
    </row>
    <row r="61" spans="2:14" hidden="1" x14ac:dyDescent="0.25">
      <c r="B61" s="65" t="s">
        <v>149</v>
      </c>
      <c r="C61" s="94" t="s">
        <v>61</v>
      </c>
      <c r="D61" s="94"/>
      <c r="E61" s="76" t="s">
        <v>4</v>
      </c>
      <c r="F61" s="95" t="e">
        <f>#REF!</f>
        <v>#REF!</v>
      </c>
      <c r="G61" s="96">
        <v>64.319999999999993</v>
      </c>
      <c r="H61" s="97" t="e">
        <f t="shared" si="13"/>
        <v>#REF!</v>
      </c>
      <c r="I61" s="89">
        <f t="shared" si="10"/>
        <v>54.508474576271183</v>
      </c>
      <c r="J61" s="89" t="e">
        <f t="shared" si="12"/>
        <v>#REF!</v>
      </c>
      <c r="K61" s="69"/>
      <c r="L61" s="70"/>
      <c r="N61" s="69"/>
    </row>
    <row r="62" spans="2:14" hidden="1" x14ac:dyDescent="0.25">
      <c r="B62" s="65" t="s">
        <v>204</v>
      </c>
      <c r="C62" s="94" t="s">
        <v>62</v>
      </c>
      <c r="D62" s="94"/>
      <c r="E62" s="76" t="s">
        <v>4</v>
      </c>
      <c r="F62" s="95" t="e">
        <f>#REF!</f>
        <v>#REF!</v>
      </c>
      <c r="G62" s="96">
        <v>23.78</v>
      </c>
      <c r="H62" s="97" t="e">
        <f t="shared" si="13"/>
        <v>#REF!</v>
      </c>
      <c r="I62" s="89">
        <f t="shared" si="10"/>
        <v>20.152542372881356</v>
      </c>
      <c r="J62" s="89" t="e">
        <f t="shared" si="12"/>
        <v>#REF!</v>
      </c>
      <c r="K62" s="70" t="e">
        <f>SUM(J60:J62)</f>
        <v>#REF!</v>
      </c>
      <c r="L62" s="70"/>
      <c r="N62" s="69"/>
    </row>
    <row r="63" spans="2:14" ht="15" hidden="1" x14ac:dyDescent="0.25">
      <c r="B63" s="98"/>
      <c r="C63" s="121" t="s">
        <v>63</v>
      </c>
      <c r="D63" s="122"/>
      <c r="E63" s="123"/>
      <c r="F63" s="123"/>
      <c r="G63" s="123"/>
      <c r="H63" s="124"/>
      <c r="I63" s="89">
        <f t="shared" si="10"/>
        <v>0</v>
      </c>
      <c r="J63" s="89">
        <f t="shared" si="12"/>
        <v>0</v>
      </c>
      <c r="K63" s="69"/>
      <c r="L63" s="70"/>
      <c r="N63" s="69"/>
    </row>
    <row r="64" spans="2:14" ht="25.5" hidden="1" x14ac:dyDescent="0.25">
      <c r="B64" s="65" t="s">
        <v>14</v>
      </c>
      <c r="C64" s="94" t="s">
        <v>176</v>
      </c>
      <c r="D64" s="94"/>
      <c r="E64" s="76" t="s">
        <v>5</v>
      </c>
      <c r="F64" s="95" t="e">
        <f>#REF!</f>
        <v>#REF!</v>
      </c>
      <c r="G64" s="82">
        <v>5.5</v>
      </c>
      <c r="H64" s="100" t="e">
        <f>F64*G64</f>
        <v>#REF!</v>
      </c>
      <c r="I64" s="89">
        <f>G64/1.18</f>
        <v>4.6610169491525424</v>
      </c>
      <c r="J64" s="89" t="e">
        <f>I64*F64</f>
        <v>#REF!</v>
      </c>
      <c r="K64" s="69"/>
      <c r="L64" s="70"/>
      <c r="N64" s="69"/>
    </row>
    <row r="65" spans="2:14" ht="25.5" hidden="1" x14ac:dyDescent="0.25">
      <c r="B65" s="65" t="s">
        <v>19</v>
      </c>
      <c r="C65" s="94" t="s">
        <v>91</v>
      </c>
      <c r="D65" s="94"/>
      <c r="E65" s="76" t="s">
        <v>5</v>
      </c>
      <c r="F65" s="95" t="e">
        <f>#REF!</f>
        <v>#REF!</v>
      </c>
      <c r="G65" s="82">
        <v>7.3</v>
      </c>
      <c r="H65" s="100" t="e">
        <f t="shared" ref="H65:H106" si="14">F65*G65</f>
        <v>#REF!</v>
      </c>
      <c r="I65" s="89">
        <f>G65/1.18</f>
        <v>6.1864406779661021</v>
      </c>
      <c r="J65" s="89" t="e">
        <f>I65*F65</f>
        <v>#REF!</v>
      </c>
      <c r="K65" s="99" t="e">
        <f>J65+J64</f>
        <v>#REF!</v>
      </c>
      <c r="L65" s="70"/>
      <c r="N65" s="69"/>
    </row>
    <row r="66" spans="2:14" ht="25.5" hidden="1" x14ac:dyDescent="0.25">
      <c r="B66" s="65" t="s">
        <v>20</v>
      </c>
      <c r="C66" s="94" t="s">
        <v>272</v>
      </c>
      <c r="D66" s="94"/>
      <c r="E66" s="76" t="s">
        <v>5</v>
      </c>
      <c r="F66" s="95" t="e">
        <f>#REF!</f>
        <v>#REF!</v>
      </c>
      <c r="G66" s="82">
        <v>650</v>
      </c>
      <c r="H66" s="100" t="e">
        <f t="shared" si="14"/>
        <v>#REF!</v>
      </c>
      <c r="I66" s="101">
        <f>G66/1.18*0.5</f>
        <v>275.42372881355936</v>
      </c>
      <c r="J66" s="89" t="e">
        <f t="shared" si="12"/>
        <v>#REF!</v>
      </c>
      <c r="K66" s="69"/>
      <c r="L66" s="70"/>
      <c r="N66" s="69"/>
    </row>
    <row r="67" spans="2:14" ht="25.5" hidden="1" x14ac:dyDescent="0.25">
      <c r="B67" s="65" t="s">
        <v>21</v>
      </c>
      <c r="C67" s="94" t="s">
        <v>272</v>
      </c>
      <c r="D67" s="94"/>
      <c r="E67" s="76" t="s">
        <v>5</v>
      </c>
      <c r="F67" s="95" t="e">
        <f>#REF!</f>
        <v>#REF!</v>
      </c>
      <c r="G67" s="82">
        <v>400</v>
      </c>
      <c r="H67" s="100" t="e">
        <f t="shared" si="14"/>
        <v>#REF!</v>
      </c>
      <c r="I67" s="101">
        <f t="shared" ref="I67:I79" si="15">G67/1.18*0.5</f>
        <v>169.49152542372883</v>
      </c>
      <c r="J67" s="89" t="e">
        <f t="shared" si="12"/>
        <v>#REF!</v>
      </c>
      <c r="K67" s="69"/>
      <c r="L67" s="70"/>
      <c r="N67" s="69"/>
    </row>
    <row r="68" spans="2:14" ht="25.5" hidden="1" x14ac:dyDescent="0.25">
      <c r="B68" s="65" t="s">
        <v>137</v>
      </c>
      <c r="C68" s="94" t="s">
        <v>273</v>
      </c>
      <c r="D68" s="94"/>
      <c r="E68" s="76" t="s">
        <v>5</v>
      </c>
      <c r="F68" s="95" t="e">
        <f>#REF!</f>
        <v>#REF!</v>
      </c>
      <c r="G68" s="82">
        <v>170</v>
      </c>
      <c r="H68" s="100" t="e">
        <f t="shared" si="14"/>
        <v>#REF!</v>
      </c>
      <c r="I68" s="101">
        <f t="shared" si="15"/>
        <v>72.033898305084747</v>
      </c>
      <c r="J68" s="89" t="e">
        <f t="shared" si="12"/>
        <v>#REF!</v>
      </c>
      <c r="K68" s="69"/>
      <c r="L68" s="70"/>
      <c r="N68" s="69"/>
    </row>
    <row r="69" spans="2:14" ht="25.5" hidden="1" x14ac:dyDescent="0.25">
      <c r="B69" s="65" t="s">
        <v>138</v>
      </c>
      <c r="C69" s="94" t="s">
        <v>274</v>
      </c>
      <c r="D69" s="94"/>
      <c r="E69" s="76" t="s">
        <v>5</v>
      </c>
      <c r="F69" s="95" t="e">
        <f>#REF!</f>
        <v>#REF!</v>
      </c>
      <c r="G69" s="82">
        <v>150</v>
      </c>
      <c r="H69" s="100" t="e">
        <f t="shared" si="14"/>
        <v>#REF!</v>
      </c>
      <c r="I69" s="101">
        <f t="shared" si="15"/>
        <v>63.559322033898312</v>
      </c>
      <c r="J69" s="89" t="e">
        <f t="shared" si="12"/>
        <v>#REF!</v>
      </c>
      <c r="K69" s="69"/>
      <c r="L69" s="70"/>
      <c r="N69" s="69"/>
    </row>
    <row r="70" spans="2:14" ht="25.5" hidden="1" x14ac:dyDescent="0.25">
      <c r="B70" s="65" t="s">
        <v>175</v>
      </c>
      <c r="C70" s="94" t="s">
        <v>275</v>
      </c>
      <c r="D70" s="94"/>
      <c r="E70" s="76" t="s">
        <v>5</v>
      </c>
      <c r="F70" s="95" t="e">
        <f>#REF!</f>
        <v>#REF!</v>
      </c>
      <c r="G70" s="82">
        <v>278</v>
      </c>
      <c r="H70" s="100" t="e">
        <f t="shared" si="14"/>
        <v>#REF!</v>
      </c>
      <c r="I70" s="101">
        <f t="shared" si="15"/>
        <v>117.79661016949153</v>
      </c>
      <c r="J70" s="89" t="e">
        <f t="shared" si="12"/>
        <v>#REF!</v>
      </c>
      <c r="K70" s="69"/>
      <c r="L70" s="70"/>
      <c r="N70" s="69"/>
    </row>
    <row r="71" spans="2:14" ht="25.5" hidden="1" x14ac:dyDescent="0.25">
      <c r="B71" s="65" t="s">
        <v>205</v>
      </c>
      <c r="C71" s="94" t="s">
        <v>64</v>
      </c>
      <c r="D71" s="94"/>
      <c r="E71" s="76" t="s">
        <v>5</v>
      </c>
      <c r="F71" s="95" t="e">
        <f>#REF!</f>
        <v>#REF!</v>
      </c>
      <c r="G71" s="82">
        <v>80</v>
      </c>
      <c r="H71" s="100" t="e">
        <f t="shared" si="14"/>
        <v>#REF!</v>
      </c>
      <c r="I71" s="101">
        <f t="shared" si="15"/>
        <v>33.898305084745765</v>
      </c>
      <c r="J71" s="89" t="e">
        <f t="shared" si="12"/>
        <v>#REF!</v>
      </c>
      <c r="K71" s="69"/>
      <c r="L71" s="70"/>
      <c r="N71" s="69"/>
    </row>
    <row r="72" spans="2:14" ht="25.5" hidden="1" x14ac:dyDescent="0.25">
      <c r="B72" s="65" t="s">
        <v>206</v>
      </c>
      <c r="C72" s="94" t="s">
        <v>64</v>
      </c>
      <c r="D72" s="94"/>
      <c r="E72" s="76" t="s">
        <v>5</v>
      </c>
      <c r="F72" s="95" t="e">
        <f>#REF!</f>
        <v>#REF!</v>
      </c>
      <c r="G72" s="82">
        <v>150</v>
      </c>
      <c r="H72" s="100" t="e">
        <f t="shared" si="14"/>
        <v>#REF!</v>
      </c>
      <c r="I72" s="101">
        <f t="shared" si="15"/>
        <v>63.559322033898312</v>
      </c>
      <c r="J72" s="89" t="e">
        <f t="shared" si="12"/>
        <v>#REF!</v>
      </c>
      <c r="K72" s="69"/>
      <c r="L72" s="70"/>
      <c r="N72" s="69"/>
    </row>
    <row r="73" spans="2:14" ht="25.5" hidden="1" x14ac:dyDescent="0.25">
      <c r="B73" s="65" t="s">
        <v>207</v>
      </c>
      <c r="C73" s="94" t="s">
        <v>65</v>
      </c>
      <c r="D73" s="94"/>
      <c r="E73" s="76" t="s">
        <v>5</v>
      </c>
      <c r="F73" s="95" t="e">
        <f>#REF!</f>
        <v>#REF!</v>
      </c>
      <c r="G73" s="82">
        <v>363.62</v>
      </c>
      <c r="H73" s="100" t="e">
        <f t="shared" si="14"/>
        <v>#REF!</v>
      </c>
      <c r="I73" s="101">
        <f t="shared" si="15"/>
        <v>154.07627118644069</v>
      </c>
      <c r="J73" s="89" t="e">
        <f t="shared" si="12"/>
        <v>#REF!</v>
      </c>
      <c r="K73" s="69"/>
      <c r="L73" s="70"/>
      <c r="N73" s="69"/>
    </row>
    <row r="74" spans="2:14" ht="25.5" hidden="1" x14ac:dyDescent="0.25">
      <c r="B74" s="65" t="s">
        <v>208</v>
      </c>
      <c r="C74" s="94" t="s">
        <v>66</v>
      </c>
      <c r="D74" s="94"/>
      <c r="E74" s="76" t="s">
        <v>4</v>
      </c>
      <c r="F74" s="95" t="e">
        <f>#REF!</f>
        <v>#REF!</v>
      </c>
      <c r="G74" s="82">
        <v>911</v>
      </c>
      <c r="H74" s="100" t="e">
        <f t="shared" si="14"/>
        <v>#REF!</v>
      </c>
      <c r="I74" s="101">
        <f t="shared" si="15"/>
        <v>386.0169491525424</v>
      </c>
      <c r="J74" s="89" t="e">
        <f t="shared" si="12"/>
        <v>#REF!</v>
      </c>
      <c r="K74" s="69"/>
      <c r="L74" s="70"/>
      <c r="N74" s="69"/>
    </row>
    <row r="75" spans="2:14" ht="25.5" hidden="1" x14ac:dyDescent="0.25">
      <c r="B75" s="65" t="s">
        <v>209</v>
      </c>
      <c r="C75" s="94" t="s">
        <v>168</v>
      </c>
      <c r="D75" s="94"/>
      <c r="E75" s="76" t="s">
        <v>4</v>
      </c>
      <c r="F75" s="95" t="e">
        <f>#REF!</f>
        <v>#REF!</v>
      </c>
      <c r="G75" s="82">
        <v>1255.1400000000001</v>
      </c>
      <c r="H75" s="100" t="e">
        <f t="shared" si="14"/>
        <v>#REF!</v>
      </c>
      <c r="I75" s="101">
        <f t="shared" si="15"/>
        <v>531.83898305084756</v>
      </c>
      <c r="J75" s="89" t="e">
        <f t="shared" si="12"/>
        <v>#REF!</v>
      </c>
      <c r="K75" s="69"/>
      <c r="L75" s="70"/>
      <c r="N75" s="69"/>
    </row>
    <row r="76" spans="2:14" ht="25.5" hidden="1" x14ac:dyDescent="0.25">
      <c r="B76" s="65" t="s">
        <v>210</v>
      </c>
      <c r="C76" s="94" t="s">
        <v>67</v>
      </c>
      <c r="D76" s="94"/>
      <c r="E76" s="76" t="s">
        <v>4</v>
      </c>
      <c r="F76" s="95" t="e">
        <f>#REF!</f>
        <v>#REF!</v>
      </c>
      <c r="G76" s="82">
        <v>856.51</v>
      </c>
      <c r="H76" s="100" t="e">
        <f t="shared" si="14"/>
        <v>#REF!</v>
      </c>
      <c r="I76" s="101">
        <f t="shared" si="15"/>
        <v>362.92796610169495</v>
      </c>
      <c r="J76" s="89" t="e">
        <f t="shared" si="12"/>
        <v>#REF!</v>
      </c>
      <c r="K76" s="69"/>
      <c r="L76" s="70"/>
      <c r="N76" s="69"/>
    </row>
    <row r="77" spans="2:14" ht="27.75" hidden="1" customHeight="1" x14ac:dyDescent="0.25">
      <c r="B77" s="65" t="s">
        <v>211</v>
      </c>
      <c r="C77" s="94" t="s">
        <v>68</v>
      </c>
      <c r="D77" s="94"/>
      <c r="E77" s="76" t="s">
        <v>4</v>
      </c>
      <c r="F77" s="95" t="e">
        <f>#REF!</f>
        <v>#REF!</v>
      </c>
      <c r="G77" s="82">
        <v>507.73</v>
      </c>
      <c r="H77" s="100" t="e">
        <f t="shared" si="14"/>
        <v>#REF!</v>
      </c>
      <c r="I77" s="101">
        <f t="shared" si="15"/>
        <v>215.1398305084746</v>
      </c>
      <c r="J77" s="89" t="e">
        <f t="shared" si="12"/>
        <v>#REF!</v>
      </c>
      <c r="K77" s="69"/>
      <c r="L77" s="70"/>
      <c r="N77" s="69"/>
    </row>
    <row r="78" spans="2:14" ht="28.5" hidden="1" customHeight="1" x14ac:dyDescent="0.25">
      <c r="B78" s="65" t="s">
        <v>212</v>
      </c>
      <c r="C78" s="94" t="s">
        <v>69</v>
      </c>
      <c r="D78" s="94"/>
      <c r="E78" s="76" t="s">
        <v>4</v>
      </c>
      <c r="F78" s="95" t="e">
        <f>#REF!</f>
        <v>#REF!</v>
      </c>
      <c r="G78" s="82">
        <v>741.13</v>
      </c>
      <c r="H78" s="100" t="e">
        <f t="shared" si="14"/>
        <v>#REF!</v>
      </c>
      <c r="I78" s="101">
        <f t="shared" si="15"/>
        <v>314.03813559322037</v>
      </c>
      <c r="J78" s="89" t="e">
        <f t="shared" si="12"/>
        <v>#REF!</v>
      </c>
      <c r="K78" s="69"/>
      <c r="L78" s="70"/>
      <c r="N78" s="69"/>
    </row>
    <row r="79" spans="2:14" ht="25.5" hidden="1" x14ac:dyDescent="0.25">
      <c r="B79" s="65" t="s">
        <v>213</v>
      </c>
      <c r="C79" s="94" t="s">
        <v>70</v>
      </c>
      <c r="D79" s="94"/>
      <c r="E79" s="76" t="s">
        <v>4</v>
      </c>
      <c r="F79" s="95" t="e">
        <f>#REF!</f>
        <v>#REF!</v>
      </c>
      <c r="G79" s="82">
        <v>386.18</v>
      </c>
      <c r="H79" s="100" t="e">
        <f t="shared" si="14"/>
        <v>#REF!</v>
      </c>
      <c r="I79" s="101">
        <f t="shared" si="15"/>
        <v>163.63559322033899</v>
      </c>
      <c r="J79" s="89" t="e">
        <f t="shared" si="12"/>
        <v>#REF!</v>
      </c>
      <c r="K79" s="69"/>
      <c r="L79" s="70"/>
      <c r="N79" s="69"/>
    </row>
    <row r="80" spans="2:14" ht="25.5" hidden="1" x14ac:dyDescent="0.25">
      <c r="B80" s="65" t="s">
        <v>214</v>
      </c>
      <c r="C80" s="94" t="s">
        <v>71</v>
      </c>
      <c r="D80" s="94"/>
      <c r="E80" s="76" t="s">
        <v>4</v>
      </c>
      <c r="F80" s="95" t="e">
        <f>#REF!</f>
        <v>#REF!</v>
      </c>
      <c r="G80" s="82">
        <v>524.55999999999995</v>
      </c>
      <c r="H80" s="100" t="e">
        <f t="shared" si="14"/>
        <v>#REF!</v>
      </c>
      <c r="I80" s="89">
        <f t="shared" si="10"/>
        <v>444.5423728813559</v>
      </c>
      <c r="J80" s="89" t="e">
        <f t="shared" si="12"/>
        <v>#REF!</v>
      </c>
      <c r="K80" s="69"/>
      <c r="L80" s="70"/>
      <c r="N80" s="69"/>
    </row>
    <row r="81" spans="2:14" ht="25.5" hidden="1" x14ac:dyDescent="0.25">
      <c r="B81" s="65" t="s">
        <v>215</v>
      </c>
      <c r="C81" s="94" t="s">
        <v>169</v>
      </c>
      <c r="D81" s="94"/>
      <c r="E81" s="76" t="s">
        <v>4</v>
      </c>
      <c r="F81" s="95" t="e">
        <f>#REF!</f>
        <v>#REF!</v>
      </c>
      <c r="G81" s="82">
        <v>769.61</v>
      </c>
      <c r="H81" s="100" t="e">
        <f t="shared" si="14"/>
        <v>#REF!</v>
      </c>
      <c r="I81" s="89">
        <f t="shared" si="10"/>
        <v>652.21186440677968</v>
      </c>
      <c r="J81" s="89" t="e">
        <f t="shared" si="12"/>
        <v>#REF!</v>
      </c>
      <c r="K81" s="69"/>
      <c r="L81" s="70"/>
      <c r="N81" s="69"/>
    </row>
    <row r="82" spans="2:14" ht="25.5" hidden="1" x14ac:dyDescent="0.25">
      <c r="B82" s="65" t="s">
        <v>216</v>
      </c>
      <c r="C82" s="94" t="s">
        <v>72</v>
      </c>
      <c r="D82" s="94"/>
      <c r="E82" s="76" t="s">
        <v>4</v>
      </c>
      <c r="F82" s="95" t="e">
        <f>#REF!</f>
        <v>#REF!</v>
      </c>
      <c r="G82" s="82">
        <v>305.68</v>
      </c>
      <c r="H82" s="100" t="e">
        <f t="shared" si="14"/>
        <v>#REF!</v>
      </c>
      <c r="I82" s="89">
        <f t="shared" ref="I82:I138" si="16">G82/1.18</f>
        <v>259.05084745762713</v>
      </c>
      <c r="J82" s="89" t="e">
        <f t="shared" si="12"/>
        <v>#REF!</v>
      </c>
      <c r="K82" s="69"/>
      <c r="L82" s="70"/>
      <c r="N82" s="69"/>
    </row>
    <row r="83" spans="2:14" ht="25.5" hidden="1" x14ac:dyDescent="0.25">
      <c r="B83" s="65" t="s">
        <v>217</v>
      </c>
      <c r="C83" s="94" t="s">
        <v>73</v>
      </c>
      <c r="D83" s="94"/>
      <c r="E83" s="76" t="s">
        <v>4</v>
      </c>
      <c r="F83" s="95" t="e">
        <f>#REF!</f>
        <v>#REF!</v>
      </c>
      <c r="G83" s="82">
        <v>343.75</v>
      </c>
      <c r="H83" s="100" t="e">
        <f t="shared" si="14"/>
        <v>#REF!</v>
      </c>
      <c r="I83" s="89">
        <f t="shared" si="16"/>
        <v>291.31355932203394</v>
      </c>
      <c r="J83" s="89" t="e">
        <f t="shared" si="12"/>
        <v>#REF!</v>
      </c>
      <c r="K83" s="69"/>
      <c r="L83" s="70"/>
      <c r="N83" s="69"/>
    </row>
    <row r="84" spans="2:14" ht="25.5" hidden="1" x14ac:dyDescent="0.25">
      <c r="B84" s="65" t="s">
        <v>218</v>
      </c>
      <c r="C84" s="94" t="s">
        <v>74</v>
      </c>
      <c r="D84" s="94"/>
      <c r="E84" s="76" t="s">
        <v>4</v>
      </c>
      <c r="F84" s="95" t="e">
        <f>#REF!</f>
        <v>#REF!</v>
      </c>
      <c r="G84" s="82">
        <v>508.99</v>
      </c>
      <c r="H84" s="100" t="e">
        <f t="shared" si="14"/>
        <v>#REF!</v>
      </c>
      <c r="I84" s="89">
        <f t="shared" si="16"/>
        <v>431.34745762711867</v>
      </c>
      <c r="J84" s="89" t="e">
        <f t="shared" si="12"/>
        <v>#REF!</v>
      </c>
      <c r="K84" s="69"/>
      <c r="L84" s="70"/>
      <c r="N84" s="69"/>
    </row>
    <row r="85" spans="2:14" ht="25.5" hidden="1" x14ac:dyDescent="0.25">
      <c r="B85" s="65" t="s">
        <v>219</v>
      </c>
      <c r="C85" s="94" t="s">
        <v>75</v>
      </c>
      <c r="D85" s="94"/>
      <c r="E85" s="76" t="s">
        <v>4</v>
      </c>
      <c r="F85" s="95" t="e">
        <f>#REF!</f>
        <v>#REF!</v>
      </c>
      <c r="G85" s="82">
        <v>36.19</v>
      </c>
      <c r="H85" s="100" t="e">
        <f t="shared" si="14"/>
        <v>#REF!</v>
      </c>
      <c r="I85" s="89">
        <f t="shared" si="16"/>
        <v>30.66949152542373</v>
      </c>
      <c r="J85" s="89" t="e">
        <f t="shared" ref="J85:J113" si="17">I85*F85</f>
        <v>#REF!</v>
      </c>
      <c r="K85" s="69"/>
      <c r="L85" s="70"/>
      <c r="N85" s="69"/>
    </row>
    <row r="86" spans="2:14" ht="25.5" hidden="1" x14ac:dyDescent="0.25">
      <c r="B86" s="65" t="s">
        <v>220</v>
      </c>
      <c r="C86" s="94" t="s">
        <v>76</v>
      </c>
      <c r="D86" s="94"/>
      <c r="E86" s="76" t="s">
        <v>4</v>
      </c>
      <c r="F86" s="95" t="e">
        <f>#REF!</f>
        <v>#REF!</v>
      </c>
      <c r="G86" s="82">
        <v>122.92</v>
      </c>
      <c r="H86" s="100" t="e">
        <f t="shared" si="14"/>
        <v>#REF!</v>
      </c>
      <c r="I86" s="89">
        <f t="shared" si="16"/>
        <v>104.16949152542374</v>
      </c>
      <c r="J86" s="89" t="e">
        <f t="shared" si="17"/>
        <v>#REF!</v>
      </c>
      <c r="K86" s="69"/>
      <c r="L86" s="70"/>
      <c r="N86" s="69"/>
    </row>
    <row r="87" spans="2:14" ht="25.5" hidden="1" x14ac:dyDescent="0.25">
      <c r="B87" s="65" t="s">
        <v>221</v>
      </c>
      <c r="C87" s="94" t="s">
        <v>77</v>
      </c>
      <c r="D87" s="94"/>
      <c r="E87" s="76" t="s">
        <v>4</v>
      </c>
      <c r="F87" s="95" t="e">
        <f>#REF!</f>
        <v>#REF!</v>
      </c>
      <c r="G87" s="82">
        <v>104.51</v>
      </c>
      <c r="H87" s="100" t="e">
        <f t="shared" si="14"/>
        <v>#REF!</v>
      </c>
      <c r="I87" s="89">
        <f t="shared" si="16"/>
        <v>88.567796610169495</v>
      </c>
      <c r="J87" s="89" t="e">
        <f t="shared" si="17"/>
        <v>#REF!</v>
      </c>
      <c r="K87" s="69"/>
      <c r="L87" s="70"/>
      <c r="N87" s="69"/>
    </row>
    <row r="88" spans="2:14" ht="25.5" hidden="1" x14ac:dyDescent="0.25">
      <c r="B88" s="65" t="s">
        <v>222</v>
      </c>
      <c r="C88" s="94" t="s">
        <v>78</v>
      </c>
      <c r="D88" s="94"/>
      <c r="E88" s="76" t="s">
        <v>4</v>
      </c>
      <c r="F88" s="95" t="e">
        <f>#REF!</f>
        <v>#REF!</v>
      </c>
      <c r="G88" s="82">
        <v>3.41</v>
      </c>
      <c r="H88" s="100" t="e">
        <f t="shared" si="14"/>
        <v>#REF!</v>
      </c>
      <c r="I88" s="89">
        <f t="shared" si="16"/>
        <v>2.8898305084745766</v>
      </c>
      <c r="J88" s="89" t="e">
        <f t="shared" si="17"/>
        <v>#REF!</v>
      </c>
      <c r="K88" s="69"/>
      <c r="L88" s="70"/>
      <c r="N88" s="69"/>
    </row>
    <row r="89" spans="2:14" hidden="1" x14ac:dyDescent="0.25">
      <c r="B89" s="65" t="s">
        <v>223</v>
      </c>
      <c r="C89" s="94" t="s">
        <v>79</v>
      </c>
      <c r="D89" s="94"/>
      <c r="E89" s="76" t="s">
        <v>4</v>
      </c>
      <c r="F89" s="95" t="e">
        <f>#REF!</f>
        <v>#REF!</v>
      </c>
      <c r="G89" s="82">
        <v>67.180000000000007</v>
      </c>
      <c r="H89" s="100" t="e">
        <f t="shared" si="14"/>
        <v>#REF!</v>
      </c>
      <c r="I89" s="89">
        <f t="shared" si="16"/>
        <v>56.932203389830519</v>
      </c>
      <c r="J89" s="89" t="e">
        <f t="shared" si="17"/>
        <v>#REF!</v>
      </c>
      <c r="K89" s="69"/>
      <c r="L89" s="70"/>
      <c r="N89" s="69"/>
    </row>
    <row r="90" spans="2:14" ht="25.5" hidden="1" x14ac:dyDescent="0.25">
      <c r="B90" s="65" t="s">
        <v>224</v>
      </c>
      <c r="C90" s="94" t="s">
        <v>80</v>
      </c>
      <c r="D90" s="94"/>
      <c r="E90" s="76" t="s">
        <v>4</v>
      </c>
      <c r="F90" s="95" t="e">
        <f>#REF!</f>
        <v>#REF!</v>
      </c>
      <c r="G90" s="82">
        <v>49.5</v>
      </c>
      <c r="H90" s="100" t="e">
        <f t="shared" si="14"/>
        <v>#REF!</v>
      </c>
      <c r="I90" s="89">
        <f t="shared" si="16"/>
        <v>41.949152542372886</v>
      </c>
      <c r="J90" s="89" t="e">
        <f t="shared" si="17"/>
        <v>#REF!</v>
      </c>
      <c r="K90" s="69"/>
      <c r="L90" s="70"/>
      <c r="N90" s="69"/>
    </row>
    <row r="91" spans="2:14" hidden="1" x14ac:dyDescent="0.25">
      <c r="B91" s="65" t="s">
        <v>225</v>
      </c>
      <c r="C91" s="94" t="s">
        <v>81</v>
      </c>
      <c r="D91" s="94"/>
      <c r="E91" s="76" t="s">
        <v>4</v>
      </c>
      <c r="F91" s="95" t="e">
        <f>#REF!</f>
        <v>#REF!</v>
      </c>
      <c r="G91" s="82">
        <v>4.74</v>
      </c>
      <c r="H91" s="100" t="e">
        <f t="shared" si="14"/>
        <v>#REF!</v>
      </c>
      <c r="I91" s="89">
        <f t="shared" si="16"/>
        <v>4.0169491525423728</v>
      </c>
      <c r="J91" s="89" t="e">
        <f t="shared" si="17"/>
        <v>#REF!</v>
      </c>
      <c r="K91" s="69"/>
      <c r="L91" s="70"/>
      <c r="N91" s="69"/>
    </row>
    <row r="92" spans="2:14" hidden="1" x14ac:dyDescent="0.25">
      <c r="B92" s="65" t="s">
        <v>226</v>
      </c>
      <c r="C92" s="94" t="s">
        <v>82</v>
      </c>
      <c r="D92" s="94"/>
      <c r="E92" s="76" t="s">
        <v>4</v>
      </c>
      <c r="F92" s="95" t="e">
        <f>#REF!</f>
        <v>#REF!</v>
      </c>
      <c r="G92" s="82">
        <v>52.2</v>
      </c>
      <c r="H92" s="100" t="e">
        <f t="shared" si="14"/>
        <v>#REF!</v>
      </c>
      <c r="I92" s="89">
        <f t="shared" si="16"/>
        <v>44.237288135593225</v>
      </c>
      <c r="J92" s="89" t="e">
        <f t="shared" si="17"/>
        <v>#REF!</v>
      </c>
      <c r="L92" s="70"/>
      <c r="N92" s="69"/>
    </row>
    <row r="93" spans="2:14" ht="25.5" hidden="1" x14ac:dyDescent="0.25">
      <c r="B93" s="65" t="s">
        <v>227</v>
      </c>
      <c r="C93" s="94" t="s">
        <v>83</v>
      </c>
      <c r="D93" s="94"/>
      <c r="E93" s="76" t="s">
        <v>4</v>
      </c>
      <c r="F93" s="95" t="e">
        <f>#REF!</f>
        <v>#REF!</v>
      </c>
      <c r="G93" s="82">
        <v>2.1800000000000002</v>
      </c>
      <c r="H93" s="100" t="e">
        <f t="shared" si="14"/>
        <v>#REF!</v>
      </c>
      <c r="I93" s="89">
        <f t="shared" si="16"/>
        <v>1.8474576271186443</v>
      </c>
      <c r="J93" s="89" t="e">
        <f t="shared" si="17"/>
        <v>#REF!</v>
      </c>
      <c r="K93" s="69"/>
      <c r="L93" s="70"/>
      <c r="N93" s="69"/>
    </row>
    <row r="94" spans="2:14" hidden="1" x14ac:dyDescent="0.25">
      <c r="B94" s="65" t="s">
        <v>228</v>
      </c>
      <c r="C94" s="94" t="s">
        <v>84</v>
      </c>
      <c r="D94" s="94"/>
      <c r="E94" s="76" t="s">
        <v>4</v>
      </c>
      <c r="F94" s="95" t="e">
        <f>#REF!</f>
        <v>#REF!</v>
      </c>
      <c r="G94" s="82">
        <v>1.88</v>
      </c>
      <c r="H94" s="100" t="e">
        <f t="shared" si="14"/>
        <v>#REF!</v>
      </c>
      <c r="I94" s="89">
        <f t="shared" si="16"/>
        <v>1.5932203389830508</v>
      </c>
      <c r="J94" s="89" t="e">
        <f t="shared" si="17"/>
        <v>#REF!</v>
      </c>
      <c r="K94" s="69"/>
      <c r="L94" s="70"/>
      <c r="N94" s="69"/>
    </row>
    <row r="95" spans="2:14" hidden="1" x14ac:dyDescent="0.25">
      <c r="B95" s="65" t="s">
        <v>229</v>
      </c>
      <c r="C95" s="94" t="s">
        <v>85</v>
      </c>
      <c r="D95" s="94"/>
      <c r="E95" s="76" t="s">
        <v>4</v>
      </c>
      <c r="F95" s="95" t="e">
        <f>#REF!</f>
        <v>#REF!</v>
      </c>
      <c r="G95" s="82">
        <v>0.77</v>
      </c>
      <c r="H95" s="100" t="e">
        <f t="shared" si="14"/>
        <v>#REF!</v>
      </c>
      <c r="I95" s="89">
        <f t="shared" si="16"/>
        <v>0.65254237288135597</v>
      </c>
      <c r="J95" s="89" t="e">
        <f t="shared" si="17"/>
        <v>#REF!</v>
      </c>
      <c r="K95" s="69"/>
      <c r="L95" s="70"/>
      <c r="N95" s="69"/>
    </row>
    <row r="96" spans="2:14" hidden="1" x14ac:dyDescent="0.25">
      <c r="B96" s="65" t="s">
        <v>230</v>
      </c>
      <c r="C96" s="94" t="s">
        <v>86</v>
      </c>
      <c r="D96" s="94"/>
      <c r="E96" s="76" t="s">
        <v>4</v>
      </c>
      <c r="F96" s="95" t="e">
        <f>#REF!</f>
        <v>#REF!</v>
      </c>
      <c r="G96" s="82">
        <v>1.3</v>
      </c>
      <c r="H96" s="100" t="e">
        <f t="shared" si="14"/>
        <v>#REF!</v>
      </c>
      <c r="I96" s="89">
        <f t="shared" si="16"/>
        <v>1.1016949152542375</v>
      </c>
      <c r="J96" s="89" t="e">
        <f t="shared" si="17"/>
        <v>#REF!</v>
      </c>
      <c r="K96" s="69"/>
      <c r="L96" s="70"/>
      <c r="N96" s="69"/>
    </row>
    <row r="97" spans="2:14" hidden="1" x14ac:dyDescent="0.25">
      <c r="B97" s="65" t="s">
        <v>231</v>
      </c>
      <c r="C97" s="94" t="s">
        <v>159</v>
      </c>
      <c r="D97" s="94"/>
      <c r="E97" s="76" t="s">
        <v>5</v>
      </c>
      <c r="F97" s="95" t="e">
        <f>#REF!</f>
        <v>#REF!</v>
      </c>
      <c r="G97" s="82">
        <v>13.28</v>
      </c>
      <c r="H97" s="100" t="e">
        <f t="shared" si="14"/>
        <v>#REF!</v>
      </c>
      <c r="I97" s="89">
        <f t="shared" si="16"/>
        <v>11.254237288135593</v>
      </c>
      <c r="J97" s="89" t="e">
        <f t="shared" si="17"/>
        <v>#REF!</v>
      </c>
      <c r="K97" s="69"/>
      <c r="L97" s="70"/>
      <c r="N97" s="69"/>
    </row>
    <row r="98" spans="2:14" hidden="1" x14ac:dyDescent="0.25">
      <c r="B98" s="65" t="s">
        <v>232</v>
      </c>
      <c r="C98" s="94" t="s">
        <v>87</v>
      </c>
      <c r="D98" s="94"/>
      <c r="E98" s="76" t="s">
        <v>5</v>
      </c>
      <c r="F98" s="95" t="e">
        <f>#REF!</f>
        <v>#REF!</v>
      </c>
      <c r="G98" s="82">
        <v>150.37</v>
      </c>
      <c r="H98" s="100" t="e">
        <f t="shared" si="14"/>
        <v>#REF!</v>
      </c>
      <c r="I98" s="89">
        <f t="shared" si="16"/>
        <v>127.43220338983052</v>
      </c>
      <c r="J98" s="89" t="e">
        <f t="shared" si="17"/>
        <v>#REF!</v>
      </c>
      <c r="K98" s="69"/>
      <c r="L98" s="70"/>
      <c r="N98" s="69"/>
    </row>
    <row r="99" spans="2:14" hidden="1" x14ac:dyDescent="0.25">
      <c r="B99" s="65" t="s">
        <v>233</v>
      </c>
      <c r="C99" s="94" t="s">
        <v>88</v>
      </c>
      <c r="D99" s="94"/>
      <c r="E99" s="76" t="s">
        <v>5</v>
      </c>
      <c r="F99" s="95" t="e">
        <f>#REF!</f>
        <v>#REF!</v>
      </c>
      <c r="G99" s="82">
        <v>131</v>
      </c>
      <c r="H99" s="100" t="e">
        <f t="shared" si="14"/>
        <v>#REF!</v>
      </c>
      <c r="I99" s="89">
        <f t="shared" si="16"/>
        <v>111.01694915254238</v>
      </c>
      <c r="J99" s="89" t="e">
        <f t="shared" si="17"/>
        <v>#REF!</v>
      </c>
      <c r="K99" s="69"/>
      <c r="L99" s="70"/>
      <c r="N99" s="69"/>
    </row>
    <row r="100" spans="2:14" hidden="1" x14ac:dyDescent="0.25">
      <c r="B100" s="65" t="s">
        <v>234</v>
      </c>
      <c r="C100" s="94" t="s">
        <v>89</v>
      </c>
      <c r="D100" s="94"/>
      <c r="E100" s="76" t="s">
        <v>5</v>
      </c>
      <c r="F100" s="95" t="e">
        <f>#REF!</f>
        <v>#REF!</v>
      </c>
      <c r="G100" s="82">
        <v>190.85</v>
      </c>
      <c r="H100" s="100" t="e">
        <f t="shared" si="14"/>
        <v>#REF!</v>
      </c>
      <c r="I100" s="89">
        <f t="shared" si="16"/>
        <v>161.73728813559322</v>
      </c>
      <c r="J100" s="89" t="e">
        <f t="shared" si="17"/>
        <v>#REF!</v>
      </c>
      <c r="K100" s="69"/>
      <c r="L100" s="70"/>
      <c r="N100" s="69"/>
    </row>
    <row r="101" spans="2:14" hidden="1" x14ac:dyDescent="0.25">
      <c r="B101" s="65" t="s">
        <v>235</v>
      </c>
      <c r="C101" s="94" t="s">
        <v>90</v>
      </c>
      <c r="D101" s="94"/>
      <c r="E101" s="76" t="s">
        <v>5</v>
      </c>
      <c r="F101" s="95" t="e">
        <f>#REF!</f>
        <v>#REF!</v>
      </c>
      <c r="G101" s="82">
        <v>242</v>
      </c>
      <c r="H101" s="100" t="e">
        <f t="shared" si="14"/>
        <v>#REF!</v>
      </c>
      <c r="I101" s="89">
        <f t="shared" si="16"/>
        <v>205.08474576271186</v>
      </c>
      <c r="J101" s="89" t="e">
        <f t="shared" si="17"/>
        <v>#REF!</v>
      </c>
      <c r="K101" s="69"/>
      <c r="L101" s="70"/>
      <c r="N101" s="69"/>
    </row>
    <row r="102" spans="2:14" hidden="1" x14ac:dyDescent="0.25">
      <c r="B102" s="65" t="s">
        <v>236</v>
      </c>
      <c r="C102" s="94" t="s">
        <v>171</v>
      </c>
      <c r="D102" s="94"/>
      <c r="E102" s="76" t="s">
        <v>5</v>
      </c>
      <c r="F102" s="95" t="e">
        <f>#REF!</f>
        <v>#REF!</v>
      </c>
      <c r="G102" s="82">
        <v>18.18</v>
      </c>
      <c r="H102" s="100" t="e">
        <f t="shared" si="14"/>
        <v>#REF!</v>
      </c>
      <c r="I102" s="89">
        <f t="shared" si="16"/>
        <v>15.40677966101695</v>
      </c>
      <c r="J102" s="89" t="e">
        <f t="shared" si="17"/>
        <v>#REF!</v>
      </c>
      <c r="K102" s="69"/>
      <c r="L102" s="70"/>
      <c r="N102" s="69"/>
    </row>
    <row r="103" spans="2:14" hidden="1" x14ac:dyDescent="0.25">
      <c r="B103" s="65" t="s">
        <v>237</v>
      </c>
      <c r="C103" s="94" t="s">
        <v>92</v>
      </c>
      <c r="D103" s="94"/>
      <c r="E103" s="76" t="s">
        <v>5</v>
      </c>
      <c r="F103" s="95" t="e">
        <f>#REF!</f>
        <v>#REF!</v>
      </c>
      <c r="G103" s="82">
        <v>152</v>
      </c>
      <c r="H103" s="100" t="e">
        <f t="shared" si="14"/>
        <v>#REF!</v>
      </c>
      <c r="I103" s="89">
        <f t="shared" si="16"/>
        <v>128.81355932203391</v>
      </c>
      <c r="J103" s="89" t="e">
        <f t="shared" si="17"/>
        <v>#REF!</v>
      </c>
      <c r="K103" s="69"/>
      <c r="L103" s="70"/>
      <c r="N103" s="69"/>
    </row>
    <row r="104" spans="2:14" hidden="1" x14ac:dyDescent="0.25">
      <c r="B104" s="65" t="s">
        <v>238</v>
      </c>
      <c r="C104" s="94" t="s">
        <v>93</v>
      </c>
      <c r="D104" s="94"/>
      <c r="E104" s="76" t="s">
        <v>4</v>
      </c>
      <c r="F104" s="95" t="e">
        <f>#REF!</f>
        <v>#REF!</v>
      </c>
      <c r="G104" s="82">
        <v>1.82</v>
      </c>
      <c r="H104" s="100" t="e">
        <f t="shared" si="14"/>
        <v>#REF!</v>
      </c>
      <c r="I104" s="89">
        <f t="shared" si="16"/>
        <v>1.5423728813559323</v>
      </c>
      <c r="J104" s="89" t="e">
        <f t="shared" si="17"/>
        <v>#REF!</v>
      </c>
      <c r="K104" s="69"/>
      <c r="L104" s="70"/>
      <c r="N104" s="69"/>
    </row>
    <row r="105" spans="2:14" hidden="1" x14ac:dyDescent="0.25">
      <c r="B105" s="65" t="s">
        <v>239</v>
      </c>
      <c r="C105" s="94" t="s">
        <v>94</v>
      </c>
      <c r="D105" s="94"/>
      <c r="E105" s="76" t="s">
        <v>4</v>
      </c>
      <c r="F105" s="95" t="e">
        <f>#REF!</f>
        <v>#REF!</v>
      </c>
      <c r="G105" s="82">
        <v>2.23</v>
      </c>
      <c r="H105" s="100" t="e">
        <f t="shared" si="14"/>
        <v>#REF!</v>
      </c>
      <c r="I105" s="89">
        <f t="shared" si="16"/>
        <v>1.8898305084745763</v>
      </c>
      <c r="J105" s="89" t="e">
        <f t="shared" si="17"/>
        <v>#REF!</v>
      </c>
      <c r="K105" s="69"/>
      <c r="L105" s="70"/>
      <c r="N105" s="69"/>
    </row>
    <row r="106" spans="2:14" hidden="1" x14ac:dyDescent="0.25">
      <c r="B106" s="65" t="s">
        <v>258</v>
      </c>
      <c r="C106" s="94" t="s">
        <v>95</v>
      </c>
      <c r="D106" s="94"/>
      <c r="E106" s="76" t="s">
        <v>4</v>
      </c>
      <c r="F106" s="95" t="e">
        <f>#REF!</f>
        <v>#REF!</v>
      </c>
      <c r="G106" s="82">
        <v>0.19</v>
      </c>
      <c r="H106" s="100" t="e">
        <f t="shared" si="14"/>
        <v>#REF!</v>
      </c>
      <c r="I106" s="89">
        <f t="shared" si="16"/>
        <v>0.16101694915254239</v>
      </c>
      <c r="J106" s="89" t="e">
        <f t="shared" si="17"/>
        <v>#REF!</v>
      </c>
      <c r="K106" s="70" t="e">
        <f>SUM(J66:J106)</f>
        <v>#REF!</v>
      </c>
      <c r="L106" s="70"/>
      <c r="N106" s="69"/>
    </row>
    <row r="107" spans="2:14" ht="15" hidden="1" x14ac:dyDescent="0.25">
      <c r="B107" s="98"/>
      <c r="C107" s="121" t="s">
        <v>114</v>
      </c>
      <c r="D107" s="122"/>
      <c r="E107" s="123"/>
      <c r="F107" s="123"/>
      <c r="G107" s="123"/>
      <c r="H107" s="124"/>
      <c r="I107" s="89">
        <f t="shared" si="16"/>
        <v>0</v>
      </c>
      <c r="J107" s="89">
        <f t="shared" si="17"/>
        <v>0</v>
      </c>
      <c r="K107" s="69"/>
      <c r="L107" s="70"/>
      <c r="N107" s="69"/>
    </row>
    <row r="108" spans="2:14" ht="25.5" hidden="1" x14ac:dyDescent="0.25">
      <c r="B108" s="65" t="s">
        <v>139</v>
      </c>
      <c r="C108" s="94" t="s">
        <v>96</v>
      </c>
      <c r="D108" s="94"/>
      <c r="E108" s="76" t="s">
        <v>4</v>
      </c>
      <c r="F108" s="64">
        <v>181</v>
      </c>
      <c r="G108" s="64">
        <v>51</v>
      </c>
      <c r="H108" s="82">
        <f t="shared" ref="H108:H114" si="18">F108*G108</f>
        <v>9231</v>
      </c>
      <c r="I108" s="89">
        <f t="shared" si="16"/>
        <v>43.220338983050851</v>
      </c>
      <c r="J108" s="89">
        <f t="shared" si="17"/>
        <v>7822.8813559322043</v>
      </c>
      <c r="K108" s="69"/>
      <c r="N108" s="69"/>
    </row>
    <row r="109" spans="2:14" ht="25.5" hidden="1" x14ac:dyDescent="0.25">
      <c r="B109" s="65" t="s">
        <v>140</v>
      </c>
      <c r="C109" s="94" t="s">
        <v>97</v>
      </c>
      <c r="D109" s="94"/>
      <c r="E109" s="76" t="s">
        <v>4</v>
      </c>
      <c r="F109" s="64">
        <v>223</v>
      </c>
      <c r="G109" s="64">
        <v>71.790000000000006</v>
      </c>
      <c r="H109" s="82">
        <f t="shared" si="18"/>
        <v>16009.170000000002</v>
      </c>
      <c r="I109" s="89">
        <f t="shared" si="16"/>
        <v>60.838983050847467</v>
      </c>
      <c r="J109" s="89">
        <f t="shared" si="17"/>
        <v>13567.093220338986</v>
      </c>
      <c r="K109" s="69"/>
      <c r="N109" s="69"/>
    </row>
    <row r="110" spans="2:14" ht="38.25" hidden="1" x14ac:dyDescent="0.25">
      <c r="B110" s="65" t="s">
        <v>141</v>
      </c>
      <c r="C110" s="94" t="s">
        <v>98</v>
      </c>
      <c r="D110" s="94"/>
      <c r="E110" s="76" t="s">
        <v>4</v>
      </c>
      <c r="F110" s="64">
        <v>94</v>
      </c>
      <c r="G110" s="64">
        <v>70.41</v>
      </c>
      <c r="H110" s="82">
        <f t="shared" si="18"/>
        <v>6618.54</v>
      </c>
      <c r="I110" s="89">
        <f t="shared" si="16"/>
        <v>59.66949152542373</v>
      </c>
      <c r="J110" s="89">
        <f t="shared" si="17"/>
        <v>5608.9322033898306</v>
      </c>
      <c r="K110" s="69"/>
      <c r="N110" s="69"/>
    </row>
    <row r="111" spans="2:14" ht="38.25" hidden="1" x14ac:dyDescent="0.25">
      <c r="B111" s="65" t="s">
        <v>142</v>
      </c>
      <c r="C111" s="94" t="s">
        <v>99</v>
      </c>
      <c r="D111" s="94"/>
      <c r="E111" s="76" t="s">
        <v>4</v>
      </c>
      <c r="F111" s="64">
        <v>980</v>
      </c>
      <c r="G111" s="64">
        <v>56.65</v>
      </c>
      <c r="H111" s="82">
        <f t="shared" si="18"/>
        <v>55517</v>
      </c>
      <c r="I111" s="89">
        <f t="shared" si="16"/>
        <v>48.00847457627119</v>
      </c>
      <c r="J111" s="89">
        <f t="shared" si="17"/>
        <v>47048.305084745763</v>
      </c>
      <c r="K111" s="69"/>
      <c r="N111" s="69"/>
    </row>
    <row r="112" spans="2:14" ht="29.25" hidden="1" customHeight="1" x14ac:dyDescent="0.25">
      <c r="B112" s="65" t="s">
        <v>240</v>
      </c>
      <c r="C112" s="94" t="s">
        <v>100</v>
      </c>
      <c r="D112" s="94"/>
      <c r="E112" s="76" t="s">
        <v>4</v>
      </c>
      <c r="F112" s="64">
        <v>94</v>
      </c>
      <c r="G112" s="64">
        <v>156.5</v>
      </c>
      <c r="H112" s="82">
        <f t="shared" si="18"/>
        <v>14711</v>
      </c>
      <c r="I112" s="102">
        <v>54</v>
      </c>
      <c r="J112" s="89">
        <f t="shared" si="17"/>
        <v>5076</v>
      </c>
      <c r="K112" s="69"/>
      <c r="L112" s="70"/>
      <c r="N112" s="69"/>
    </row>
    <row r="113" spans="2:14" ht="25.5" hidden="1" x14ac:dyDescent="0.25">
      <c r="B113" s="65" t="s">
        <v>241</v>
      </c>
      <c r="C113" s="94" t="s">
        <v>101</v>
      </c>
      <c r="D113" s="94"/>
      <c r="E113" s="76" t="s">
        <v>4</v>
      </c>
      <c r="F113" s="64">
        <v>94</v>
      </c>
      <c r="G113" s="64">
        <v>132.87</v>
      </c>
      <c r="H113" s="82">
        <f t="shared" si="18"/>
        <v>12489.78</v>
      </c>
      <c r="I113" s="89">
        <f t="shared" si="16"/>
        <v>112.60169491525424</v>
      </c>
      <c r="J113" s="89">
        <f t="shared" si="17"/>
        <v>10584.5593220339</v>
      </c>
      <c r="K113" s="69"/>
      <c r="L113" s="70"/>
      <c r="N113" s="69"/>
    </row>
    <row r="114" spans="2:14" hidden="1" x14ac:dyDescent="0.25">
      <c r="B114" s="65" t="s">
        <v>242</v>
      </c>
      <c r="C114" s="94" t="s">
        <v>102</v>
      </c>
      <c r="D114" s="94"/>
      <c r="E114" s="76" t="s">
        <v>4</v>
      </c>
      <c r="F114" s="64">
        <v>94</v>
      </c>
      <c r="G114" s="64">
        <v>24.27</v>
      </c>
      <c r="H114" s="82">
        <f t="shared" si="18"/>
        <v>2281.38</v>
      </c>
      <c r="I114" s="89">
        <f t="shared" si="16"/>
        <v>20.567796610169491</v>
      </c>
      <c r="J114" s="89">
        <f t="shared" ref="J114:J141" si="19">I114*F114</f>
        <v>1933.3728813559321</v>
      </c>
      <c r="K114" s="70">
        <f>SUM(J108:J114)</f>
        <v>91641.144067796617</v>
      </c>
      <c r="L114" s="70"/>
      <c r="N114" s="69"/>
    </row>
    <row r="115" spans="2:14" hidden="1" x14ac:dyDescent="0.25">
      <c r="B115" s="65" t="s">
        <v>243</v>
      </c>
      <c r="C115" s="94" t="s">
        <v>174</v>
      </c>
      <c r="D115" s="94"/>
      <c r="E115" s="76" t="s">
        <v>4</v>
      </c>
      <c r="F115" s="64">
        <v>14</v>
      </c>
      <c r="G115" s="64">
        <v>139.97999999999999</v>
      </c>
      <c r="H115" s="82">
        <f>F115*G115</f>
        <v>1959.7199999999998</v>
      </c>
      <c r="I115" s="89">
        <f>G115/1.18</f>
        <v>118.62711864406779</v>
      </c>
      <c r="J115" s="89">
        <f>I115*F115</f>
        <v>1660.7796610169491</v>
      </c>
      <c r="K115" s="69"/>
      <c r="N115" s="69"/>
    </row>
    <row r="116" spans="2:14" ht="15" hidden="1" x14ac:dyDescent="0.25">
      <c r="B116" s="103"/>
      <c r="C116" s="121" t="s">
        <v>115</v>
      </c>
      <c r="D116" s="122"/>
      <c r="E116" s="123"/>
      <c r="F116" s="123"/>
      <c r="G116" s="123"/>
      <c r="H116" s="124"/>
      <c r="I116" s="89">
        <f t="shared" si="16"/>
        <v>0</v>
      </c>
      <c r="J116" s="89">
        <f t="shared" si="19"/>
        <v>0</v>
      </c>
      <c r="K116" s="69"/>
      <c r="L116" s="70"/>
      <c r="N116" s="69"/>
    </row>
    <row r="117" spans="2:14" ht="25.5" hidden="1" x14ac:dyDescent="0.25">
      <c r="B117" s="65" t="s">
        <v>143</v>
      </c>
      <c r="C117" s="94" t="s">
        <v>104</v>
      </c>
      <c r="D117" s="94"/>
      <c r="E117" s="76" t="s">
        <v>4</v>
      </c>
      <c r="F117" s="64">
        <v>94</v>
      </c>
      <c r="G117" s="64">
        <v>175.05</v>
      </c>
      <c r="H117" s="82">
        <f t="shared" ref="H117:H122" si="20">F117*G117</f>
        <v>16454.7</v>
      </c>
      <c r="I117" s="89">
        <f>G117/1.18</f>
        <v>148.34745762711867</v>
      </c>
      <c r="J117" s="89">
        <f>I117*F117</f>
        <v>13944.661016949156</v>
      </c>
      <c r="K117" s="69"/>
      <c r="L117" s="70"/>
      <c r="N117" s="69"/>
    </row>
    <row r="118" spans="2:14" ht="25.5" hidden="1" x14ac:dyDescent="0.25">
      <c r="B118" s="65" t="s">
        <v>144</v>
      </c>
      <c r="C118" s="94" t="s">
        <v>105</v>
      </c>
      <c r="D118" s="94"/>
      <c r="E118" s="76" t="s">
        <v>4</v>
      </c>
      <c r="F118" s="64">
        <v>94</v>
      </c>
      <c r="G118" s="64">
        <v>21.94</v>
      </c>
      <c r="H118" s="82">
        <f t="shared" si="20"/>
        <v>2062.36</v>
      </c>
      <c r="I118" s="89">
        <f>G118/1.18</f>
        <v>18.593220338983052</v>
      </c>
      <c r="J118" s="89">
        <f t="shared" ref="J118:J126" si="21">I118*F118</f>
        <v>1747.7627118644068</v>
      </c>
      <c r="K118" s="69"/>
      <c r="L118" s="70"/>
      <c r="N118" s="69"/>
    </row>
    <row r="119" spans="2:14" ht="25.5" hidden="1" x14ac:dyDescent="0.25">
      <c r="B119" s="65" t="s">
        <v>145</v>
      </c>
      <c r="C119" s="94" t="s">
        <v>106</v>
      </c>
      <c r="D119" s="94"/>
      <c r="E119" s="76" t="s">
        <v>4</v>
      </c>
      <c r="F119" s="64">
        <v>94</v>
      </c>
      <c r="G119" s="64">
        <v>19.29</v>
      </c>
      <c r="H119" s="82">
        <f t="shared" si="20"/>
        <v>1813.26</v>
      </c>
      <c r="I119" s="89">
        <f>G119/1.18</f>
        <v>16.347457627118644</v>
      </c>
      <c r="J119" s="89">
        <f t="shared" si="21"/>
        <v>1536.6610169491526</v>
      </c>
      <c r="K119" s="70">
        <f>SUM(J117:J119)</f>
        <v>17229.084745762717</v>
      </c>
      <c r="L119" s="70"/>
      <c r="N119" s="69"/>
    </row>
    <row r="120" spans="2:14" ht="25.5" hidden="1" x14ac:dyDescent="0.25">
      <c r="B120" s="65" t="s">
        <v>146</v>
      </c>
      <c r="C120" s="94" t="s">
        <v>107</v>
      </c>
      <c r="D120" s="94"/>
      <c r="E120" s="76" t="s">
        <v>4</v>
      </c>
      <c r="F120" s="64">
        <v>12</v>
      </c>
      <c r="G120" s="64">
        <v>4884.53</v>
      </c>
      <c r="H120" s="82">
        <f t="shared" si="20"/>
        <v>58614.36</v>
      </c>
      <c r="I120" s="89">
        <f>G120/1.18</f>
        <v>4139.4322033898306</v>
      </c>
      <c r="J120" s="89">
        <f t="shared" si="21"/>
        <v>49673.186440677964</v>
      </c>
      <c r="K120" s="69"/>
      <c r="L120" s="70"/>
      <c r="N120" s="69"/>
    </row>
    <row r="121" spans="2:14" hidden="1" x14ac:dyDescent="0.25">
      <c r="B121" s="65" t="s">
        <v>147</v>
      </c>
      <c r="C121" s="94" t="s">
        <v>103</v>
      </c>
      <c r="D121" s="94"/>
      <c r="E121" s="76" t="s">
        <v>4</v>
      </c>
      <c r="F121" s="104">
        <v>166</v>
      </c>
      <c r="G121" s="64">
        <v>256.45</v>
      </c>
      <c r="H121" s="82">
        <f t="shared" si="20"/>
        <v>42570.7</v>
      </c>
      <c r="I121" s="89">
        <f t="shared" si="16"/>
        <v>217.33050847457628</v>
      </c>
      <c r="J121" s="89">
        <f t="shared" si="21"/>
        <v>36076.864406779663</v>
      </c>
      <c r="K121" s="69"/>
      <c r="L121" s="70"/>
      <c r="N121" s="69"/>
    </row>
    <row r="122" spans="2:14" ht="38.25" hidden="1" x14ac:dyDescent="0.25">
      <c r="B122" s="65" t="s">
        <v>244</v>
      </c>
      <c r="C122" s="94" t="s">
        <v>271</v>
      </c>
      <c r="D122" s="94"/>
      <c r="E122" s="76" t="s">
        <v>4</v>
      </c>
      <c r="F122" s="104">
        <v>108</v>
      </c>
      <c r="G122" s="64">
        <v>97</v>
      </c>
      <c r="H122" s="82">
        <f t="shared" si="20"/>
        <v>10476</v>
      </c>
      <c r="I122" s="89">
        <f t="shared" si="16"/>
        <v>82.203389830508485</v>
      </c>
      <c r="J122" s="89">
        <f t="shared" si="21"/>
        <v>8877.9661016949158</v>
      </c>
      <c r="K122" s="69"/>
      <c r="L122" s="70"/>
      <c r="N122" s="69"/>
    </row>
    <row r="123" spans="2:14" ht="38.25" hidden="1" x14ac:dyDescent="0.25">
      <c r="B123" s="65" t="s">
        <v>245</v>
      </c>
      <c r="C123" s="94" t="s">
        <v>173</v>
      </c>
      <c r="D123" s="94"/>
      <c r="E123" s="76" t="s">
        <v>4</v>
      </c>
      <c r="F123" s="64">
        <v>0</v>
      </c>
      <c r="G123" s="64">
        <v>693</v>
      </c>
      <c r="H123" s="82">
        <f t="shared" ref="H123:H126" si="22">F123*G123</f>
        <v>0</v>
      </c>
      <c r="I123" s="89">
        <f t="shared" si="16"/>
        <v>587.28813559322032</v>
      </c>
      <c r="J123" s="89">
        <f>I123*F123</f>
        <v>0</v>
      </c>
      <c r="K123" s="69"/>
      <c r="L123" s="70"/>
      <c r="N123" s="69"/>
    </row>
    <row r="124" spans="2:14" ht="25.5" hidden="1" x14ac:dyDescent="0.25">
      <c r="B124" s="65" t="s">
        <v>246</v>
      </c>
      <c r="C124" s="94" t="s">
        <v>108</v>
      </c>
      <c r="D124" s="94"/>
      <c r="E124" s="76" t="s">
        <v>4</v>
      </c>
      <c r="F124" s="64">
        <v>12</v>
      </c>
      <c r="G124" s="64">
        <v>147.65</v>
      </c>
      <c r="H124" s="82">
        <f t="shared" si="22"/>
        <v>1771.8000000000002</v>
      </c>
      <c r="I124" s="89">
        <f t="shared" si="16"/>
        <v>125.12711864406781</v>
      </c>
      <c r="J124" s="89">
        <f t="shared" si="21"/>
        <v>1501.5254237288136</v>
      </c>
      <c r="K124" s="70">
        <f>SUM(J121:J124)</f>
        <v>46456.355932203398</v>
      </c>
      <c r="L124" s="70"/>
      <c r="N124" s="69"/>
    </row>
    <row r="125" spans="2:14" ht="17.25" hidden="1" customHeight="1" x14ac:dyDescent="0.25">
      <c r="B125" s="65" t="s">
        <v>247</v>
      </c>
      <c r="C125" s="94" t="s">
        <v>109</v>
      </c>
      <c r="D125" s="94"/>
      <c r="E125" s="76" t="s">
        <v>4</v>
      </c>
      <c r="F125" s="64">
        <v>154</v>
      </c>
      <c r="G125" s="64">
        <v>9.1</v>
      </c>
      <c r="H125" s="82">
        <f t="shared" si="22"/>
        <v>1401.3999999999999</v>
      </c>
      <c r="I125" s="89">
        <f t="shared" si="16"/>
        <v>7.7118644067796609</v>
      </c>
      <c r="J125" s="89">
        <f t="shared" si="21"/>
        <v>1187.6271186440679</v>
      </c>
      <c r="K125" s="69"/>
      <c r="L125" s="70"/>
      <c r="N125" s="69"/>
    </row>
    <row r="126" spans="2:14" hidden="1" x14ac:dyDescent="0.25">
      <c r="B126" s="65" t="s">
        <v>248</v>
      </c>
      <c r="C126" s="94" t="s">
        <v>110</v>
      </c>
      <c r="D126" s="94"/>
      <c r="E126" s="76" t="s">
        <v>4</v>
      </c>
      <c r="F126" s="64">
        <v>410</v>
      </c>
      <c r="G126" s="64">
        <v>9.1</v>
      </c>
      <c r="H126" s="82">
        <f t="shared" si="22"/>
        <v>3731</v>
      </c>
      <c r="I126" s="89">
        <f t="shared" si="16"/>
        <v>7.7118644067796609</v>
      </c>
      <c r="J126" s="89">
        <f t="shared" si="21"/>
        <v>3161.8644067796608</v>
      </c>
      <c r="K126" s="69"/>
      <c r="L126" s="70"/>
      <c r="N126" s="69"/>
    </row>
    <row r="127" spans="2:14" ht="15" hidden="1" x14ac:dyDescent="0.25">
      <c r="B127" s="103"/>
      <c r="C127" s="121" t="s">
        <v>116</v>
      </c>
      <c r="D127" s="122"/>
      <c r="E127" s="123"/>
      <c r="F127" s="123"/>
      <c r="G127" s="123"/>
      <c r="H127" s="124"/>
      <c r="I127" s="89">
        <f t="shared" si="16"/>
        <v>0</v>
      </c>
      <c r="J127" s="89">
        <f t="shared" si="19"/>
        <v>0</v>
      </c>
      <c r="K127" s="69"/>
      <c r="L127" s="70"/>
      <c r="N127" s="69"/>
    </row>
    <row r="128" spans="2:14" hidden="1" x14ac:dyDescent="0.25">
      <c r="B128" s="65" t="s">
        <v>150</v>
      </c>
      <c r="C128" s="94" t="s">
        <v>111</v>
      </c>
      <c r="D128" s="94"/>
      <c r="E128" s="76" t="s">
        <v>5</v>
      </c>
      <c r="F128" s="105">
        <v>200</v>
      </c>
      <c r="G128" s="64">
        <v>64.03</v>
      </c>
      <c r="H128" s="82">
        <f>F128*G128</f>
        <v>12806</v>
      </c>
      <c r="I128" s="89">
        <f t="shared" si="16"/>
        <v>54.262711864406782</v>
      </c>
      <c r="J128" s="89">
        <f t="shared" si="19"/>
        <v>10852.542372881357</v>
      </c>
      <c r="K128" s="69"/>
      <c r="L128" s="70">
        <f>12*16</f>
        <v>192</v>
      </c>
      <c r="N128" s="69"/>
    </row>
    <row r="129" spans="2:14" hidden="1" x14ac:dyDescent="0.25">
      <c r="B129" s="65" t="s">
        <v>151</v>
      </c>
      <c r="C129" s="94" t="s">
        <v>112</v>
      </c>
      <c r="D129" s="94"/>
      <c r="E129" s="76" t="s">
        <v>5</v>
      </c>
      <c r="F129" s="64">
        <v>300</v>
      </c>
      <c r="G129" s="64">
        <v>153.59</v>
      </c>
      <c r="H129" s="82">
        <f t="shared" ref="H129:H130" si="23">F129*G129</f>
        <v>46077</v>
      </c>
      <c r="I129" s="89">
        <f t="shared" si="16"/>
        <v>130.16101694915255</v>
      </c>
      <c r="J129" s="89">
        <f t="shared" si="19"/>
        <v>39048.305084745763</v>
      </c>
      <c r="K129" s="69"/>
      <c r="L129" s="70"/>
      <c r="N129" s="69"/>
    </row>
    <row r="130" spans="2:14" ht="24" hidden="1" customHeight="1" x14ac:dyDescent="0.25">
      <c r="B130" s="65" t="s">
        <v>152</v>
      </c>
      <c r="C130" s="94" t="s">
        <v>113</v>
      </c>
      <c r="D130" s="94"/>
      <c r="E130" s="76" t="s">
        <v>4</v>
      </c>
      <c r="F130" s="64">
        <v>13</v>
      </c>
      <c r="G130" s="64">
        <v>850</v>
      </c>
      <c r="H130" s="82">
        <f t="shared" si="23"/>
        <v>11050</v>
      </c>
      <c r="I130" s="102">
        <f t="shared" si="16"/>
        <v>720.33898305084745</v>
      </c>
      <c r="J130" s="89">
        <f t="shared" si="19"/>
        <v>9364.4067796610161</v>
      </c>
      <c r="K130" s="70">
        <f>SUM(J128:J130)</f>
        <v>59265.254237288136</v>
      </c>
      <c r="L130" s="70"/>
      <c r="N130" s="69"/>
    </row>
    <row r="131" spans="2:14" ht="15" hidden="1" x14ac:dyDescent="0.25">
      <c r="B131" s="103"/>
      <c r="C131" s="121" t="s">
        <v>117</v>
      </c>
      <c r="D131" s="122"/>
      <c r="E131" s="123"/>
      <c r="F131" s="123"/>
      <c r="G131" s="123"/>
      <c r="H131" s="124"/>
      <c r="I131" s="89">
        <f t="shared" si="16"/>
        <v>0</v>
      </c>
      <c r="J131" s="89">
        <f t="shared" si="19"/>
        <v>0</v>
      </c>
      <c r="K131" s="69"/>
      <c r="L131" s="70"/>
      <c r="N131" s="69"/>
    </row>
    <row r="132" spans="2:14" ht="25.5" hidden="1" x14ac:dyDescent="0.25">
      <c r="B132" s="65" t="s">
        <v>154</v>
      </c>
      <c r="C132" s="94" t="s">
        <v>118</v>
      </c>
      <c r="D132" s="94"/>
      <c r="E132" s="76" t="s">
        <v>119</v>
      </c>
      <c r="F132" s="64">
        <v>5</v>
      </c>
      <c r="G132" s="64">
        <v>450</v>
      </c>
      <c r="H132" s="82">
        <f>F132*G132</f>
        <v>2250</v>
      </c>
      <c r="I132" s="89">
        <f t="shared" si="16"/>
        <v>381.35593220338984</v>
      </c>
      <c r="J132" s="89">
        <f t="shared" si="19"/>
        <v>1906.7796610169491</v>
      </c>
      <c r="K132" s="69"/>
      <c r="L132" s="70"/>
      <c r="N132" s="99">
        <f>I132/7</f>
        <v>54.479418886198552</v>
      </c>
    </row>
    <row r="133" spans="2:14" ht="25.5" hidden="1" x14ac:dyDescent="0.25">
      <c r="B133" s="65" t="s">
        <v>249</v>
      </c>
      <c r="C133" s="94" t="s">
        <v>120</v>
      </c>
      <c r="D133" s="94"/>
      <c r="E133" s="76" t="s">
        <v>4</v>
      </c>
      <c r="F133" s="64">
        <v>3</v>
      </c>
      <c r="G133" s="64">
        <v>1402.05</v>
      </c>
      <c r="H133" s="82">
        <f t="shared" ref="H133:H141" si="24">F133*G133</f>
        <v>4206.1499999999996</v>
      </c>
      <c r="I133" s="89">
        <f t="shared" si="16"/>
        <v>1188.1779661016949</v>
      </c>
      <c r="J133" s="89">
        <f t="shared" si="19"/>
        <v>3564.5338983050847</v>
      </c>
      <c r="K133" s="69"/>
      <c r="L133" s="70"/>
      <c r="N133" s="69"/>
    </row>
    <row r="134" spans="2:14" ht="27" hidden="1" customHeight="1" x14ac:dyDescent="0.25">
      <c r="B134" s="65" t="s">
        <v>250</v>
      </c>
      <c r="C134" s="94" t="s">
        <v>121</v>
      </c>
      <c r="D134" s="94"/>
      <c r="E134" s="76" t="s">
        <v>4</v>
      </c>
      <c r="F134" s="64">
        <v>1</v>
      </c>
      <c r="G134" s="64">
        <f>310.15-7.52</f>
        <v>302.63</v>
      </c>
      <c r="H134" s="82">
        <f t="shared" si="24"/>
        <v>302.63</v>
      </c>
      <c r="I134" s="89">
        <f t="shared" si="16"/>
        <v>256.46610169491527</v>
      </c>
      <c r="J134" s="89">
        <f t="shared" si="19"/>
        <v>256.46610169491527</v>
      </c>
      <c r="K134" s="69"/>
      <c r="L134" s="70"/>
      <c r="N134" s="69"/>
    </row>
    <row r="135" spans="2:14" ht="25.5" hidden="1" x14ac:dyDescent="0.25">
      <c r="B135" s="65" t="s">
        <v>251</v>
      </c>
      <c r="C135" s="94" t="s">
        <v>122</v>
      </c>
      <c r="D135" s="94"/>
      <c r="E135" s="76" t="s">
        <v>4</v>
      </c>
      <c r="F135" s="64">
        <v>2</v>
      </c>
      <c r="G135" s="64">
        <v>145.36000000000001</v>
      </c>
      <c r="H135" s="82">
        <f t="shared" si="24"/>
        <v>290.72000000000003</v>
      </c>
      <c r="I135" s="89">
        <f t="shared" si="16"/>
        <v>123.18644067796612</v>
      </c>
      <c r="J135" s="89">
        <f t="shared" si="19"/>
        <v>246.37288135593224</v>
      </c>
      <c r="K135" s="69"/>
      <c r="L135" s="70"/>
      <c r="N135" s="69"/>
    </row>
    <row r="136" spans="2:14" hidden="1" x14ac:dyDescent="0.25">
      <c r="B136" s="65" t="s">
        <v>252</v>
      </c>
      <c r="C136" s="94" t="s">
        <v>123</v>
      </c>
      <c r="D136" s="94"/>
      <c r="E136" s="76" t="s">
        <v>4</v>
      </c>
      <c r="F136" s="64">
        <v>1</v>
      </c>
      <c r="G136" s="64">
        <f>371.88</f>
        <v>371.88</v>
      </c>
      <c r="H136" s="82">
        <f t="shared" si="24"/>
        <v>371.88</v>
      </c>
      <c r="I136" s="89">
        <f t="shared" si="16"/>
        <v>315.15254237288138</v>
      </c>
      <c r="J136" s="89">
        <f t="shared" si="19"/>
        <v>315.15254237288138</v>
      </c>
      <c r="K136" s="69"/>
      <c r="L136" s="70"/>
      <c r="N136" s="69"/>
    </row>
    <row r="137" spans="2:14" hidden="1" x14ac:dyDescent="0.25">
      <c r="B137" s="65" t="s">
        <v>253</v>
      </c>
      <c r="C137" s="94" t="s">
        <v>124</v>
      </c>
      <c r="D137" s="94"/>
      <c r="E137" s="76" t="s">
        <v>125</v>
      </c>
      <c r="F137" s="64">
        <v>2</v>
      </c>
      <c r="G137" s="64">
        <v>342.84</v>
      </c>
      <c r="H137" s="82">
        <f t="shared" si="24"/>
        <v>685.68</v>
      </c>
      <c r="I137" s="89">
        <f t="shared" si="16"/>
        <v>290.5423728813559</v>
      </c>
      <c r="J137" s="89">
        <f t="shared" si="19"/>
        <v>581.0847457627118</v>
      </c>
      <c r="K137" s="69"/>
      <c r="L137" s="70"/>
      <c r="N137" s="69"/>
    </row>
    <row r="138" spans="2:14" hidden="1" x14ac:dyDescent="0.25">
      <c r="B138" s="65" t="s">
        <v>254</v>
      </c>
      <c r="C138" s="94" t="s">
        <v>126</v>
      </c>
      <c r="D138" s="94"/>
      <c r="E138" s="76" t="s">
        <v>125</v>
      </c>
      <c r="F138" s="64">
        <v>2</v>
      </c>
      <c r="G138" s="64">
        <v>628.4</v>
      </c>
      <c r="H138" s="82">
        <f t="shared" si="24"/>
        <v>1256.8</v>
      </c>
      <c r="I138" s="89">
        <f t="shared" si="16"/>
        <v>532.54237288135596</v>
      </c>
      <c r="J138" s="89">
        <f t="shared" si="19"/>
        <v>1065.0847457627119</v>
      </c>
      <c r="K138" s="69"/>
      <c r="L138" s="70"/>
      <c r="N138" s="69"/>
    </row>
    <row r="139" spans="2:14" hidden="1" x14ac:dyDescent="0.25">
      <c r="B139" s="65" t="s">
        <v>255</v>
      </c>
      <c r="C139" s="94" t="s">
        <v>127</v>
      </c>
      <c r="D139" s="94"/>
      <c r="E139" s="76" t="s">
        <v>4</v>
      </c>
      <c r="F139" s="64">
        <v>7</v>
      </c>
      <c r="G139" s="64">
        <v>947</v>
      </c>
      <c r="H139" s="82">
        <f t="shared" si="24"/>
        <v>6629</v>
      </c>
      <c r="I139" s="89">
        <f>G139/1.18-N132</f>
        <v>748.06295399515739</v>
      </c>
      <c r="J139" s="89">
        <f t="shared" si="19"/>
        <v>5236.4406779661022</v>
      </c>
      <c r="K139" s="69"/>
      <c r="L139" s="70"/>
      <c r="N139" s="69"/>
    </row>
    <row r="140" spans="2:14" hidden="1" x14ac:dyDescent="0.25">
      <c r="B140" s="65" t="s">
        <v>256</v>
      </c>
      <c r="C140" s="94" t="s">
        <v>128</v>
      </c>
      <c r="D140" s="94"/>
      <c r="E140" s="76" t="s">
        <v>129</v>
      </c>
      <c r="F140" s="64">
        <v>1</v>
      </c>
      <c r="G140" s="64">
        <f>176.09</f>
        <v>176.09</v>
      </c>
      <c r="H140" s="82">
        <f t="shared" si="24"/>
        <v>176.09</v>
      </c>
      <c r="I140" s="89">
        <f>G140/1.18+53.72+0.28</f>
        <v>203.22881355932205</v>
      </c>
      <c r="J140" s="89">
        <f t="shared" si="19"/>
        <v>203.22881355932205</v>
      </c>
      <c r="K140" s="69"/>
      <c r="L140" s="70"/>
      <c r="N140" s="69"/>
    </row>
    <row r="141" spans="2:14" hidden="1" x14ac:dyDescent="0.25">
      <c r="B141" s="65" t="s">
        <v>257</v>
      </c>
      <c r="C141" s="94" t="s">
        <v>130</v>
      </c>
      <c r="D141" s="94"/>
      <c r="E141" s="76" t="s">
        <v>4</v>
      </c>
      <c r="F141" s="64">
        <v>1</v>
      </c>
      <c r="G141" s="64">
        <v>48.53</v>
      </c>
      <c r="H141" s="82">
        <f t="shared" si="24"/>
        <v>48.53</v>
      </c>
      <c r="I141" s="89">
        <v>39.96</v>
      </c>
      <c r="J141" s="89">
        <f t="shared" si="19"/>
        <v>39.96</v>
      </c>
      <c r="K141" s="70">
        <f>SUM(J132:J141)</f>
        <v>13415.10406779661</v>
      </c>
      <c r="L141" s="70"/>
      <c r="M141" s="106" t="s">
        <v>165</v>
      </c>
      <c r="N141" s="69"/>
    </row>
    <row r="142" spans="2:14" hidden="1" x14ac:dyDescent="0.25">
      <c r="B142" s="103"/>
      <c r="C142" s="107" t="s">
        <v>156</v>
      </c>
      <c r="D142" s="107"/>
      <c r="E142" s="76"/>
      <c r="F142" s="64"/>
      <c r="G142" s="64"/>
      <c r="H142" s="82" t="e">
        <f>SUM(H18:H141)</f>
        <v>#REF!</v>
      </c>
      <c r="I142" s="108" t="s">
        <v>260</v>
      </c>
      <c r="J142" s="109" t="e">
        <f>SUM(J17:J141)</f>
        <v>#REF!</v>
      </c>
      <c r="K142" s="109" t="e">
        <f>SUM(K17:K141)</f>
        <v>#REF!</v>
      </c>
      <c r="L142" s="70" t="e">
        <f>J142*1.18</f>
        <v>#REF!</v>
      </c>
      <c r="M142" s="64" t="e">
        <f>L142/L145</f>
        <v>#REF!</v>
      </c>
      <c r="N142" s="69" t="s">
        <v>166</v>
      </c>
    </row>
    <row r="143" spans="2:14" hidden="1" x14ac:dyDescent="0.25">
      <c r="B143" s="103"/>
      <c r="C143" s="64" t="s">
        <v>3</v>
      </c>
      <c r="D143" s="64"/>
      <c r="E143" s="76"/>
      <c r="F143" s="64"/>
      <c r="G143" s="64"/>
      <c r="H143" s="82" t="e">
        <f>#REF!+H142</f>
        <v>#REF!</v>
      </c>
      <c r="I143" s="110" t="s">
        <v>161</v>
      </c>
      <c r="J143" s="109" t="e">
        <f>J142+#REF!</f>
        <v>#REF!</v>
      </c>
      <c r="K143" s="69"/>
      <c r="L143" s="70" t="e">
        <f>#REF!*1.18</f>
        <v>#REF!</v>
      </c>
      <c r="M143" s="64" t="e">
        <f>L143/L145</f>
        <v>#REF!</v>
      </c>
      <c r="N143" s="69" t="s">
        <v>162</v>
      </c>
    </row>
    <row r="144" spans="2:14" hidden="1" x14ac:dyDescent="0.25">
      <c r="B144" s="64"/>
      <c r="C144" s="80" t="s">
        <v>2</v>
      </c>
      <c r="D144" s="80"/>
      <c r="E144" s="76"/>
      <c r="F144" s="64"/>
      <c r="G144" s="64"/>
      <c r="H144" s="82">
        <v>658342.66</v>
      </c>
      <c r="I144" s="89"/>
      <c r="J144" s="89" t="e">
        <f>J143*0.18</f>
        <v>#REF!</v>
      </c>
      <c r="K144" s="69"/>
      <c r="L144" s="70"/>
      <c r="M144" s="69" t="e">
        <f>M143+M142</f>
        <v>#REF!</v>
      </c>
      <c r="N144" s="69"/>
    </row>
    <row r="145" spans="2:14" hidden="1" x14ac:dyDescent="0.25">
      <c r="B145" s="64"/>
      <c r="C145" s="111" t="s">
        <v>15</v>
      </c>
      <c r="D145" s="111"/>
      <c r="E145" s="64"/>
      <c r="F145" s="64"/>
      <c r="G145" s="64"/>
      <c r="H145" s="82">
        <v>4315801.88</v>
      </c>
      <c r="I145" s="89"/>
      <c r="J145" s="112" t="e">
        <f>J143*1.18</f>
        <v>#REF!</v>
      </c>
      <c r="K145" s="69"/>
      <c r="L145" s="70">
        <v>4330</v>
      </c>
      <c r="M145" s="99">
        <f>L145*1250</f>
        <v>5412500</v>
      </c>
      <c r="N145" s="99" t="e">
        <f>M145-J145</f>
        <v>#REF!</v>
      </c>
    </row>
    <row r="146" spans="2:14" hidden="1" x14ac:dyDescent="0.25">
      <c r="B146" s="64"/>
      <c r="C146" s="111"/>
      <c r="D146" s="111"/>
      <c r="E146" s="64"/>
      <c r="F146" s="64"/>
      <c r="G146" s="64"/>
      <c r="H146" s="82"/>
      <c r="I146" s="89"/>
      <c r="J146" s="64"/>
      <c r="K146" s="69"/>
      <c r="L146" s="70"/>
      <c r="N146" s="69"/>
    </row>
    <row r="147" spans="2:14" hidden="1" x14ac:dyDescent="0.25">
      <c r="B147" s="64"/>
      <c r="C147" s="64" t="s">
        <v>1</v>
      </c>
      <c r="D147" s="64"/>
      <c r="E147" s="64"/>
      <c r="F147" s="64"/>
      <c r="G147" s="64"/>
      <c r="H147" s="64" t="s">
        <v>0</v>
      </c>
      <c r="I147" s="89"/>
      <c r="J147" s="64"/>
      <c r="K147" s="69"/>
      <c r="L147" s="70"/>
      <c r="N147" s="69"/>
    </row>
    <row r="148" spans="2:14" hidden="1" x14ac:dyDescent="0.25"/>
    <row r="149" spans="2:14" hidden="1" x14ac:dyDescent="0.25"/>
    <row r="150" spans="2:14" ht="25.5" hidden="1" x14ac:dyDescent="0.25">
      <c r="C150" s="64" t="s">
        <v>268</v>
      </c>
      <c r="D150" s="64"/>
      <c r="E150" s="64"/>
      <c r="F150" s="64"/>
      <c r="G150" s="64"/>
      <c r="H150" s="64"/>
      <c r="I150" s="64" t="s">
        <v>269</v>
      </c>
      <c r="J150" s="113" t="s">
        <v>270</v>
      </c>
    </row>
    <row r="151" spans="2:14" ht="38.25" hidden="1" x14ac:dyDescent="0.25">
      <c r="C151" s="113" t="s">
        <v>265</v>
      </c>
      <c r="D151" s="113"/>
      <c r="E151" s="64"/>
      <c r="F151" s="64"/>
      <c r="G151" s="64"/>
      <c r="H151" s="64"/>
      <c r="I151" s="114" t="e">
        <f>#REF!+K40+#REF!+K65+#REF!+K58</f>
        <v>#REF!</v>
      </c>
      <c r="J151" s="89" t="e">
        <f>I151/I159*100</f>
        <v>#REF!</v>
      </c>
      <c r="K151" s="69"/>
    </row>
    <row r="152" spans="2:14" hidden="1" x14ac:dyDescent="0.25">
      <c r="C152" s="64" t="s">
        <v>261</v>
      </c>
      <c r="D152" s="64"/>
      <c r="E152" s="64"/>
      <c r="F152" s="64"/>
      <c r="G152" s="64"/>
      <c r="H152" s="64"/>
      <c r="I152" s="114" t="e">
        <f>#REF!+#REF!+K114+K119+#REF!+K62+#REF!+K34</f>
        <v>#REF!</v>
      </c>
      <c r="J152" s="89" t="e">
        <f>I152/I159*100</f>
        <v>#REF!</v>
      </c>
      <c r="K152" s="69"/>
    </row>
    <row r="153" spans="2:14" hidden="1" x14ac:dyDescent="0.25">
      <c r="C153" s="64" t="s">
        <v>262</v>
      </c>
      <c r="D153" s="64"/>
      <c r="E153" s="64"/>
      <c r="F153" s="64"/>
      <c r="G153" s="64"/>
      <c r="H153" s="64"/>
      <c r="I153" s="114" t="e">
        <f>#REF!+J30</f>
        <v>#REF!</v>
      </c>
      <c r="J153" s="89" t="e">
        <f>I153/I159*100</f>
        <v>#REF!</v>
      </c>
      <c r="K153" s="69"/>
    </row>
    <row r="154" spans="2:14" hidden="1" x14ac:dyDescent="0.25">
      <c r="C154" s="64" t="s">
        <v>263</v>
      </c>
      <c r="D154" s="64"/>
      <c r="E154" s="64"/>
      <c r="F154" s="64"/>
      <c r="G154" s="64"/>
      <c r="H154" s="64"/>
      <c r="I154" s="114" t="e">
        <f>#REF!+K29</f>
        <v>#REF!</v>
      </c>
      <c r="J154" s="89" t="e">
        <f>I154/I159*100</f>
        <v>#REF!</v>
      </c>
      <c r="K154" s="69"/>
    </row>
    <row r="155" spans="2:14" ht="25.5" hidden="1" x14ac:dyDescent="0.25">
      <c r="C155" s="113" t="s">
        <v>266</v>
      </c>
      <c r="D155" s="113"/>
      <c r="E155" s="64"/>
      <c r="F155" s="64"/>
      <c r="G155" s="64"/>
      <c r="H155" s="64"/>
      <c r="I155" s="114" t="e">
        <f>#REF!+K55+K106+#REF!</f>
        <v>#REF!</v>
      </c>
      <c r="J155" s="89" t="e">
        <f>I155/I159*100</f>
        <v>#REF!</v>
      </c>
      <c r="K155" s="69"/>
    </row>
    <row r="156" spans="2:14" hidden="1" x14ac:dyDescent="0.25">
      <c r="C156" s="64" t="s">
        <v>264</v>
      </c>
      <c r="D156" s="64"/>
      <c r="E156" s="64"/>
      <c r="F156" s="64"/>
      <c r="G156" s="64"/>
      <c r="H156" s="64"/>
      <c r="I156" s="114" t="e">
        <f>#REF!+#REF!+K124+#REF!+K59</f>
        <v>#REF!</v>
      </c>
      <c r="J156" s="89" t="e">
        <f>I156/I159*100</f>
        <v>#REF!</v>
      </c>
      <c r="K156" s="69"/>
    </row>
    <row r="157" spans="2:14" hidden="1" x14ac:dyDescent="0.25">
      <c r="C157" s="64" t="s">
        <v>267</v>
      </c>
      <c r="D157" s="64"/>
      <c r="E157" s="64"/>
      <c r="F157" s="64"/>
      <c r="G157" s="64"/>
      <c r="H157" s="64"/>
      <c r="I157" s="114" t="e">
        <f>#REF!+K130</f>
        <v>#REF!</v>
      </c>
      <c r="J157" s="89" t="e">
        <f>I157/I159*100</f>
        <v>#REF!</v>
      </c>
      <c r="K157" s="99" t="e">
        <f>I157*1.18</f>
        <v>#REF!</v>
      </c>
    </row>
    <row r="158" spans="2:14" hidden="1" x14ac:dyDescent="0.25">
      <c r="C158" s="64" t="s">
        <v>153</v>
      </c>
      <c r="D158" s="64"/>
      <c r="E158" s="64"/>
      <c r="F158" s="64"/>
      <c r="G158" s="64"/>
      <c r="H158" s="64"/>
      <c r="I158" s="114" t="e">
        <f>K141+#REF!</f>
        <v>#REF!</v>
      </c>
      <c r="J158" s="89" t="e">
        <f>I158/I159*100</f>
        <v>#REF!</v>
      </c>
      <c r="K158" s="69"/>
    </row>
    <row r="159" spans="2:14" hidden="1" x14ac:dyDescent="0.25">
      <c r="C159" s="64"/>
      <c r="D159" s="64"/>
      <c r="E159" s="64"/>
      <c r="F159" s="64"/>
      <c r="G159" s="64"/>
      <c r="H159" s="64"/>
      <c r="I159" s="114" t="e">
        <f>SUM(I151:I158)</f>
        <v>#REF!</v>
      </c>
      <c r="J159" s="89"/>
      <c r="K159" s="69"/>
    </row>
    <row r="160" spans="2:14" hidden="1" x14ac:dyDescent="0.25">
      <c r="H160" s="69" t="e">
        <f>#REF!/#REF!</f>
        <v>#REF!</v>
      </c>
      <c r="J160" s="99" t="e">
        <f>#REF!-H160</f>
        <v>#REF!</v>
      </c>
    </row>
    <row r="161" spans="3:15" hidden="1" x14ac:dyDescent="0.25"/>
    <row r="162" spans="3:15" hidden="1" x14ac:dyDescent="0.25"/>
    <row r="163" spans="3:15" hidden="1" x14ac:dyDescent="0.25"/>
    <row r="164" spans="3:15" hidden="1" x14ac:dyDescent="0.25">
      <c r="H164" s="69" t="e">
        <f>20*#REF!*3</f>
        <v>#REF!</v>
      </c>
    </row>
    <row r="165" spans="3:15" x14ac:dyDescent="0.25">
      <c r="M165" s="69" t="e">
        <f>#REF!/23</f>
        <v>#REF!</v>
      </c>
      <c r="N165" s="70" t="e">
        <f>M165*2</f>
        <v>#REF!</v>
      </c>
      <c r="O165" s="115">
        <v>123657.71</v>
      </c>
    </row>
    <row r="166" spans="3:15" x14ac:dyDescent="0.25">
      <c r="G166" s="116"/>
      <c r="H166" s="116"/>
      <c r="J166" s="117"/>
    </row>
    <row r="167" spans="3:15" ht="15.75" hidden="1" x14ac:dyDescent="0.25">
      <c r="C167" s="118">
        <f>15451.45*229</f>
        <v>3538382.0500000003</v>
      </c>
      <c r="D167" s="118"/>
      <c r="G167" s="116"/>
      <c r="H167" s="116"/>
      <c r="I167" s="71">
        <f>C167-J14</f>
        <v>3538382.0500000003</v>
      </c>
    </row>
    <row r="168" spans="3:15" x14ac:dyDescent="0.25">
      <c r="G168" s="116"/>
      <c r="H168" s="119"/>
      <c r="J168" s="117"/>
      <c r="M168" s="69" t="e">
        <f>M165*55</f>
        <v>#REF!</v>
      </c>
    </row>
    <row r="169" spans="3:15" x14ac:dyDescent="0.25">
      <c r="G169" s="120"/>
      <c r="H169" s="120"/>
    </row>
    <row r="170" spans="3:15" x14ac:dyDescent="0.25">
      <c r="G170" s="116"/>
      <c r="H170" s="120"/>
    </row>
  </sheetData>
  <mergeCells count="19">
    <mergeCell ref="B4:J4"/>
    <mergeCell ref="D5:D6"/>
    <mergeCell ref="B5:B6"/>
    <mergeCell ref="B3:J3"/>
    <mergeCell ref="B1:J1"/>
    <mergeCell ref="I5:J5"/>
    <mergeCell ref="C5:C6"/>
    <mergeCell ref="E5:E6"/>
    <mergeCell ref="F5:F6"/>
    <mergeCell ref="G5:H5"/>
    <mergeCell ref="C131:H131"/>
    <mergeCell ref="C15:H15"/>
    <mergeCell ref="C16:H16"/>
    <mergeCell ref="C35:H35"/>
    <mergeCell ref="C56:H56"/>
    <mergeCell ref="C63:H63"/>
    <mergeCell ref="C107:H107"/>
    <mergeCell ref="C116:H116"/>
    <mergeCell ref="C127:H127"/>
  </mergeCells>
  <pageMargins left="0.78740157480314965" right="0.78740157480314965" top="0.78740157480314965" bottom="0.59055118110236227" header="0" footer="0"/>
  <pageSetup paperSize="9" scale="6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5"/>
  <sheetViews>
    <sheetView topLeftCell="A10" workbookViewId="0">
      <selection activeCell="G34" sqref="G34"/>
    </sheetView>
  </sheetViews>
  <sheetFormatPr defaultColWidth="9.140625" defaultRowHeight="12.75" x14ac:dyDescent="0.2"/>
  <cols>
    <col min="1" max="1" width="5.42578125" style="1" customWidth="1"/>
    <col min="2" max="2" width="10.140625" style="1" customWidth="1"/>
    <col min="3" max="3" width="0.140625" style="1" customWidth="1"/>
    <col min="4" max="4" width="8.42578125" style="1" customWidth="1"/>
    <col min="5" max="5" width="31.85546875" style="18" customWidth="1"/>
    <col min="6" max="6" width="8.85546875" style="18" customWidth="1"/>
    <col min="7" max="7" width="13.140625" style="18" customWidth="1"/>
    <col min="8" max="8" width="10.5703125" style="18" hidden="1" customWidth="1"/>
    <col min="9" max="9" width="12.42578125" style="18" hidden="1" customWidth="1"/>
    <col min="10" max="10" width="8.5703125" style="18" hidden="1" customWidth="1"/>
    <col min="11" max="11" width="22" style="18" hidden="1" customWidth="1"/>
    <col min="12" max="12" width="12.5703125" style="30" customWidth="1"/>
    <col min="13" max="13" width="16.28515625" style="18" customWidth="1"/>
    <col min="14" max="14" width="14.5703125" style="1" hidden="1" customWidth="1"/>
    <col min="15" max="15" width="14.5703125" style="11" hidden="1" customWidth="1"/>
    <col min="16" max="16" width="14.5703125" style="1" hidden="1" customWidth="1"/>
    <col min="17" max="17" width="9.140625" style="1" hidden="1" customWidth="1"/>
    <col min="18" max="18" width="10.28515625" style="1" customWidth="1"/>
    <col min="19" max="20" width="9.140625" style="1" customWidth="1"/>
    <col min="21" max="21" width="9.140625" style="1" hidden="1" customWidth="1"/>
    <col min="22" max="22" width="14.5703125" style="1" hidden="1" customWidth="1"/>
    <col min="23" max="23" width="20" style="1" hidden="1" customWidth="1"/>
    <col min="24" max="24" width="14.5703125" style="1" bestFit="1" customWidth="1"/>
    <col min="25" max="16384" width="9.140625" style="1"/>
  </cols>
  <sheetData>
    <row r="1" spans="1:16" ht="18" customHeight="1" x14ac:dyDescent="0.2">
      <c r="E1" s="136"/>
      <c r="F1" s="136"/>
      <c r="G1" s="137"/>
      <c r="H1" s="137"/>
      <c r="I1" s="137"/>
      <c r="J1" s="137"/>
      <c r="K1" s="137"/>
      <c r="L1" s="137" t="s">
        <v>287</v>
      </c>
      <c r="M1" s="137"/>
      <c r="N1" s="137"/>
      <c r="O1" s="137"/>
      <c r="P1" s="137"/>
    </row>
    <row r="2" spans="1:16" ht="15" customHeight="1" x14ac:dyDescent="0.2">
      <c r="E2" s="138" t="s">
        <v>288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6" x14ac:dyDescent="0.2">
      <c r="E3" s="14"/>
      <c r="F3" s="14"/>
      <c r="G3" s="14"/>
      <c r="H3" s="14"/>
      <c r="I3" s="14"/>
      <c r="J3" s="14"/>
      <c r="K3" s="14"/>
      <c r="L3" s="140" t="s">
        <v>289</v>
      </c>
      <c r="M3" s="140"/>
      <c r="N3" s="140"/>
      <c r="O3" s="140"/>
      <c r="P3" s="140"/>
    </row>
    <row r="4" spans="1:16" ht="16.5" customHeight="1" x14ac:dyDescent="0.2">
      <c r="E4" s="141"/>
      <c r="F4" s="141"/>
      <c r="G4" s="142"/>
      <c r="H4" s="142"/>
      <c r="I4" s="142"/>
      <c r="J4" s="143" t="s">
        <v>290</v>
      </c>
      <c r="K4" s="143"/>
      <c r="L4" s="61"/>
      <c r="M4" s="144" t="s">
        <v>291</v>
      </c>
      <c r="N4" s="144"/>
      <c r="O4" s="144"/>
    </row>
    <row r="5" spans="1:16" ht="16.5" customHeight="1" x14ac:dyDescent="0.2">
      <c r="E5" s="60"/>
      <c r="F5" s="60"/>
      <c r="G5" s="61"/>
      <c r="H5" s="61"/>
      <c r="I5" s="61"/>
      <c r="J5" s="62"/>
      <c r="K5" s="62"/>
      <c r="L5" s="58" t="s">
        <v>292</v>
      </c>
      <c r="M5" s="15">
        <v>322005</v>
      </c>
      <c r="N5" s="61"/>
      <c r="O5" s="61"/>
    </row>
    <row r="6" spans="1:16" ht="19.5" customHeight="1" x14ac:dyDescent="0.2">
      <c r="A6" s="145" t="s">
        <v>293</v>
      </c>
      <c r="B6" s="145"/>
      <c r="D6" s="146" t="s">
        <v>294</v>
      </c>
      <c r="E6" s="147"/>
      <c r="F6" s="147"/>
      <c r="G6" s="147"/>
      <c r="H6" s="61"/>
      <c r="I6" s="61"/>
      <c r="J6" s="62"/>
      <c r="K6" s="62"/>
      <c r="L6" s="58" t="s">
        <v>295</v>
      </c>
      <c r="M6" s="15">
        <v>65912976</v>
      </c>
      <c r="N6" s="61"/>
      <c r="O6" s="61"/>
    </row>
    <row r="7" spans="1:16" ht="16.5" customHeight="1" x14ac:dyDescent="0.25">
      <c r="A7" s="145" t="s">
        <v>296</v>
      </c>
      <c r="B7" s="145"/>
      <c r="D7" s="145" t="s">
        <v>297</v>
      </c>
      <c r="E7" s="148"/>
      <c r="F7" s="148"/>
      <c r="G7" s="148"/>
      <c r="H7" s="61"/>
      <c r="I7" s="61"/>
      <c r="J7" s="62"/>
      <c r="K7" s="62"/>
      <c r="L7" s="58" t="s">
        <v>295</v>
      </c>
      <c r="M7" s="15">
        <v>48943604</v>
      </c>
      <c r="N7" s="61"/>
      <c r="O7" s="61"/>
    </row>
    <row r="8" spans="1:16" ht="16.5" customHeight="1" x14ac:dyDescent="0.2">
      <c r="E8" s="60"/>
      <c r="F8" s="60"/>
      <c r="G8" s="149" t="s">
        <v>298</v>
      </c>
      <c r="H8" s="139"/>
      <c r="I8" s="139"/>
      <c r="J8" s="139"/>
      <c r="K8" s="139"/>
      <c r="L8" s="150"/>
      <c r="M8" s="16"/>
      <c r="N8" s="61"/>
      <c r="O8" s="61"/>
    </row>
    <row r="9" spans="1:16" ht="38.25" customHeight="1" x14ac:dyDescent="0.2">
      <c r="E9" s="59"/>
      <c r="F9" s="135" t="s">
        <v>299</v>
      </c>
      <c r="G9" s="135"/>
      <c r="H9" s="59"/>
      <c r="I9" s="59"/>
      <c r="J9" s="59"/>
      <c r="K9" s="59"/>
      <c r="L9" s="17" t="s">
        <v>300</v>
      </c>
      <c r="M9" s="17" t="s">
        <v>327</v>
      </c>
      <c r="N9" s="59"/>
      <c r="O9" s="59"/>
    </row>
    <row r="10" spans="1:16" x14ac:dyDescent="0.2">
      <c r="L10" s="19" t="s">
        <v>301</v>
      </c>
      <c r="M10" s="20" t="s">
        <v>302</v>
      </c>
    </row>
    <row r="11" spans="1:16" x14ac:dyDescent="0.2">
      <c r="F11" s="154" t="s">
        <v>303</v>
      </c>
      <c r="G11" s="154"/>
      <c r="L11" s="21"/>
      <c r="M11" s="22"/>
    </row>
    <row r="12" spans="1:16" x14ac:dyDescent="0.2">
      <c r="F12" s="55"/>
      <c r="G12" s="55"/>
      <c r="L12" s="23"/>
      <c r="M12" s="24"/>
    </row>
    <row r="13" spans="1:16" ht="44.25" customHeight="1" x14ac:dyDescent="0.2">
      <c r="B13" s="155" t="s">
        <v>328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6" x14ac:dyDescent="0.2">
      <c r="F14" s="55"/>
      <c r="G14" s="55"/>
      <c r="L14" s="23"/>
      <c r="M14" s="24"/>
    </row>
    <row r="15" spans="1:16" ht="15" x14ac:dyDescent="0.2">
      <c r="E15" s="156" t="s">
        <v>160</v>
      </c>
      <c r="F15" s="157" t="s">
        <v>304</v>
      </c>
      <c r="G15" s="157" t="s">
        <v>305</v>
      </c>
      <c r="H15" s="57"/>
      <c r="I15" s="57"/>
      <c r="J15" s="57"/>
      <c r="K15" s="57"/>
      <c r="L15" s="159" t="s">
        <v>306</v>
      </c>
      <c r="M15" s="160"/>
    </row>
    <row r="16" spans="1:16" ht="15" x14ac:dyDescent="0.25">
      <c r="E16" s="156"/>
      <c r="F16" s="158"/>
      <c r="G16" s="158"/>
      <c r="H16" s="56"/>
      <c r="I16" s="56"/>
      <c r="J16" s="56"/>
      <c r="K16" s="56"/>
      <c r="L16" s="25" t="s">
        <v>307</v>
      </c>
      <c r="M16" s="25" t="s">
        <v>308</v>
      </c>
    </row>
    <row r="17" spans="1:23" ht="15" x14ac:dyDescent="0.25">
      <c r="E17" s="26"/>
      <c r="F17" s="27" t="s">
        <v>309</v>
      </c>
      <c r="G17" s="27"/>
      <c r="H17" s="28"/>
      <c r="I17" s="28"/>
      <c r="J17" s="28"/>
      <c r="K17" s="28"/>
      <c r="L17" s="29"/>
      <c r="M17" s="29"/>
    </row>
    <row r="18" spans="1:23" ht="15" x14ac:dyDescent="0.25">
      <c r="B18" s="161" t="s">
        <v>310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1:23" ht="12.75" customHeight="1" x14ac:dyDescent="0.2">
      <c r="B19" s="163" t="s">
        <v>311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4" t="e">
        <f>M39</f>
        <v>#REF!</v>
      </c>
    </row>
    <row r="20" spans="1:23" ht="12.75" customHeight="1" x14ac:dyDescent="0.2"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5"/>
    </row>
    <row r="21" spans="1:23" x14ac:dyDescent="0.2">
      <c r="B21" s="54"/>
      <c r="C21" s="54"/>
      <c r="D21" s="54"/>
      <c r="E21" s="54"/>
      <c r="F21" s="166"/>
      <c r="G21" s="166"/>
      <c r="H21" s="54"/>
      <c r="I21" s="54"/>
    </row>
    <row r="22" spans="1:23" ht="28.5" customHeight="1" x14ac:dyDescent="0.2">
      <c r="B22" s="6" t="s">
        <v>312</v>
      </c>
      <c r="C22" s="2"/>
      <c r="D22" s="10" t="s">
        <v>313</v>
      </c>
      <c r="E22" s="20" t="s">
        <v>11</v>
      </c>
      <c r="F22" s="20" t="s">
        <v>10</v>
      </c>
      <c r="G22" s="20" t="s">
        <v>9</v>
      </c>
      <c r="H22" s="20" t="s">
        <v>8</v>
      </c>
      <c r="I22" s="20" t="s">
        <v>7</v>
      </c>
      <c r="J22" s="31"/>
      <c r="K22" s="31"/>
      <c r="L22" s="19" t="s">
        <v>280</v>
      </c>
      <c r="M22" s="20" t="s">
        <v>314</v>
      </c>
    </row>
    <row r="23" spans="1:23" ht="15" x14ac:dyDescent="0.25">
      <c r="B23" s="2"/>
      <c r="C23" s="2"/>
      <c r="D23" s="2"/>
      <c r="E23" s="167" t="s">
        <v>259</v>
      </c>
      <c r="F23" s="148"/>
      <c r="G23" s="148"/>
      <c r="H23" s="148"/>
      <c r="I23" s="148"/>
      <c r="J23" s="148"/>
      <c r="K23" s="148"/>
      <c r="L23" s="148"/>
      <c r="M23" s="168"/>
    </row>
    <row r="24" spans="1:23" s="11" customFormat="1" ht="12" customHeight="1" x14ac:dyDescent="0.2">
      <c r="A24" s="1"/>
      <c r="B24" s="8" t="s">
        <v>315</v>
      </c>
      <c r="C24" s="2"/>
      <c r="D24" s="8" t="s">
        <v>12</v>
      </c>
      <c r="E24" s="5" t="e">
        <f>#REF!</f>
        <v>#REF!</v>
      </c>
      <c r="F24" s="53" t="s">
        <v>5</v>
      </c>
      <c r="G24" s="51" t="e">
        <f>#REF!</f>
        <v>#REF!</v>
      </c>
      <c r="H24" s="2">
        <v>70</v>
      </c>
      <c r="I24" s="9" t="e">
        <f>G24*H24</f>
        <v>#REF!</v>
      </c>
      <c r="J24" s="12">
        <f t="shared" ref="J24" si="0">H24/1.18</f>
        <v>59.322033898305087</v>
      </c>
      <c r="K24" s="12" t="e">
        <f t="shared" ref="K24" si="1">J24*G24</f>
        <v>#REF!</v>
      </c>
      <c r="L24" s="3">
        <f>'смета C3'!I8</f>
        <v>0</v>
      </c>
      <c r="M24" s="32" t="e">
        <f t="shared" ref="M24:M28" si="2">L24*G24</f>
        <v>#REF!</v>
      </c>
      <c r="N24" s="13" t="e">
        <f>M24*1.18</f>
        <v>#REF!</v>
      </c>
      <c r="P24" s="1"/>
      <c r="Q24" s="1"/>
      <c r="R24" s="1"/>
      <c r="S24" s="1"/>
      <c r="T24" s="1"/>
      <c r="U24" s="1"/>
      <c r="V24" s="11" t="e">
        <f>(M24+M31)*1.18</f>
        <v>#REF!</v>
      </c>
      <c r="W24" s="11" t="e">
        <f>V24-'[1]КС-6а'!$K26</f>
        <v>#REF!</v>
      </c>
    </row>
    <row r="25" spans="1:23" s="11" customFormat="1" ht="12" customHeight="1" x14ac:dyDescent="0.2">
      <c r="A25" s="1"/>
      <c r="B25" s="8" t="s">
        <v>316</v>
      </c>
      <c r="C25" s="2"/>
      <c r="D25" s="8" t="s">
        <v>16</v>
      </c>
      <c r="E25" s="5" t="e">
        <f>#REF!</f>
        <v>#REF!</v>
      </c>
      <c r="F25" s="53" t="s">
        <v>5</v>
      </c>
      <c r="G25" s="51" t="e">
        <f>#REF!</f>
        <v>#REF!</v>
      </c>
      <c r="H25" s="2">
        <v>70</v>
      </c>
      <c r="I25" s="33" t="e">
        <f t="shared" ref="I25:I28" si="3">G25*H25</f>
        <v>#REF!</v>
      </c>
      <c r="J25" s="18"/>
      <c r="K25" s="18"/>
      <c r="L25" s="3" t="e">
        <f>'смета C3'!#REF!</f>
        <v>#REF!</v>
      </c>
      <c r="M25" s="32" t="e">
        <f t="shared" si="2"/>
        <v>#REF!</v>
      </c>
      <c r="N25" s="1"/>
      <c r="P25" s="1"/>
      <c r="Q25" s="1"/>
      <c r="R25" s="1"/>
      <c r="S25" s="1"/>
      <c r="T25" s="1"/>
      <c r="U25" s="1"/>
      <c r="V25" s="11" t="e">
        <f>(M25+M32)*1.18</f>
        <v>#REF!</v>
      </c>
      <c r="W25" s="11" t="e">
        <f>V25-'[1]КС-6а'!$K27</f>
        <v>#REF!</v>
      </c>
    </row>
    <row r="26" spans="1:23" s="11" customFormat="1" ht="12" customHeight="1" x14ac:dyDescent="0.2">
      <c r="A26" s="1"/>
      <c r="B26" s="8" t="s">
        <v>317</v>
      </c>
      <c r="C26" s="2"/>
      <c r="D26" s="8" t="s">
        <v>17</v>
      </c>
      <c r="E26" s="5" t="e">
        <f>#REF!</f>
        <v>#REF!</v>
      </c>
      <c r="F26" s="53" t="s">
        <v>5</v>
      </c>
      <c r="G26" s="51" t="e">
        <f>#REF!</f>
        <v>#REF!</v>
      </c>
      <c r="H26" s="2"/>
      <c r="I26" s="33"/>
      <c r="J26" s="18"/>
      <c r="K26" s="18"/>
      <c r="L26" s="3" t="e">
        <f>'смета C3'!#REF!</f>
        <v>#REF!</v>
      </c>
      <c r="M26" s="32" t="e">
        <f t="shared" si="2"/>
        <v>#REF!</v>
      </c>
      <c r="N26" s="1"/>
      <c r="P26" s="1"/>
      <c r="Q26" s="1"/>
      <c r="R26" s="1"/>
      <c r="S26" s="1"/>
      <c r="T26" s="1"/>
      <c r="U26" s="1"/>
    </row>
    <row r="27" spans="1:23" s="11" customFormat="1" ht="12" customHeight="1" x14ac:dyDescent="0.2">
      <c r="A27" s="1"/>
      <c r="B27" s="8" t="s">
        <v>326</v>
      </c>
      <c r="C27" s="2"/>
      <c r="D27" s="8" t="s">
        <v>131</v>
      </c>
      <c r="E27" s="5" t="e">
        <f>#REF!</f>
        <v>#REF!</v>
      </c>
      <c r="F27" s="63" t="s">
        <v>4</v>
      </c>
      <c r="G27" s="51" t="e">
        <f>#REF!</f>
        <v>#REF!</v>
      </c>
      <c r="H27" s="2">
        <v>70</v>
      </c>
      <c r="I27" s="33" t="e">
        <f t="shared" si="3"/>
        <v>#REF!</v>
      </c>
      <c r="J27" s="18"/>
      <c r="K27" s="18"/>
      <c r="L27" s="3" t="e">
        <f>'смета C3'!#REF!</f>
        <v>#REF!</v>
      </c>
      <c r="M27" s="32" t="e">
        <f t="shared" si="2"/>
        <v>#REF!</v>
      </c>
      <c r="N27" s="1"/>
      <c r="P27" s="1"/>
      <c r="Q27" s="1"/>
      <c r="R27" s="1"/>
      <c r="S27" s="1"/>
      <c r="T27" s="1"/>
      <c r="U27" s="1"/>
      <c r="V27" s="11" t="e">
        <f>(M27+M34)*1.18</f>
        <v>#REF!</v>
      </c>
      <c r="W27" s="11" t="e">
        <f>V27-'[1]КС-6а'!$K28</f>
        <v>#REF!</v>
      </c>
    </row>
    <row r="28" spans="1:23" s="11" customFormat="1" ht="12" hidden="1" customHeight="1" x14ac:dyDescent="0.2">
      <c r="A28" s="1"/>
      <c r="B28" s="8" t="s">
        <v>318</v>
      </c>
      <c r="C28" s="2"/>
      <c r="D28" s="8" t="s">
        <v>203</v>
      </c>
      <c r="E28" s="5" t="str">
        <f>'[1]КС-6а'!$B$41</f>
        <v>Кабель ВВГнг(А)-FRLS 3х4,0мм2</v>
      </c>
      <c r="F28" s="53" t="s">
        <v>5</v>
      </c>
      <c r="G28" s="4">
        <v>0</v>
      </c>
      <c r="H28" s="2">
        <v>50</v>
      </c>
      <c r="I28" s="33">
        <f t="shared" si="3"/>
        <v>0</v>
      </c>
      <c r="J28" s="18"/>
      <c r="K28" s="18"/>
      <c r="L28" s="2">
        <v>50</v>
      </c>
      <c r="M28" s="32">
        <f t="shared" si="2"/>
        <v>0</v>
      </c>
      <c r="N28" s="1"/>
      <c r="P28" s="1"/>
      <c r="Q28" s="1"/>
      <c r="R28" s="1"/>
      <c r="S28" s="1"/>
      <c r="T28" s="1"/>
      <c r="U28" s="1"/>
      <c r="V28" s="11" t="e">
        <f>(M28+#REF!)*1.18</f>
        <v>#REF!</v>
      </c>
    </row>
    <row r="29" spans="1:23" ht="27" customHeight="1" x14ac:dyDescent="0.2">
      <c r="B29" s="8"/>
      <c r="C29" s="2"/>
      <c r="D29" s="34"/>
      <c r="E29" s="35" t="s">
        <v>155</v>
      </c>
      <c r="F29" s="36"/>
      <c r="G29" s="37"/>
      <c r="H29" s="37"/>
      <c r="I29" s="38" t="e">
        <f>SUM(I24:I28)</f>
        <v>#REF!</v>
      </c>
      <c r="K29" s="18">
        <v>2089986.69</v>
      </c>
      <c r="L29" s="39" t="s">
        <v>162</v>
      </c>
      <c r="M29" s="40" t="e">
        <f>SUM(M24:M28)</f>
        <v>#REF!</v>
      </c>
      <c r="O29" s="11" t="e">
        <f>M29/O39</f>
        <v>#REF!</v>
      </c>
    </row>
    <row r="30" spans="1:23" ht="15" x14ac:dyDescent="0.25">
      <c r="B30" s="7"/>
      <c r="C30" s="2"/>
      <c r="D30" s="41"/>
      <c r="E30" s="151" t="s">
        <v>6</v>
      </c>
      <c r="F30" s="152"/>
      <c r="G30" s="152"/>
      <c r="H30" s="152"/>
      <c r="I30" s="153"/>
      <c r="L30" s="32"/>
      <c r="M30" s="37"/>
    </row>
    <row r="31" spans="1:23" x14ac:dyDescent="0.2">
      <c r="B31" s="8" t="str">
        <f>B24</f>
        <v>1</v>
      </c>
      <c r="C31" s="2"/>
      <c r="D31" s="34" t="s">
        <v>12</v>
      </c>
      <c r="E31" s="42" t="s">
        <v>283</v>
      </c>
      <c r="F31" s="20" t="s">
        <v>5</v>
      </c>
      <c r="G31" s="52" t="e">
        <f>G24</f>
        <v>#REF!</v>
      </c>
      <c r="H31" s="43">
        <v>19.39</v>
      </c>
      <c r="I31" s="44" t="e">
        <f>G31*H31</f>
        <v>#REF!</v>
      </c>
      <c r="L31" s="32">
        <f>'смета C3'!G8</f>
        <v>0</v>
      </c>
      <c r="M31" s="32" t="e">
        <f t="shared" ref="M31:M34" si="4">L31*G31</f>
        <v>#REF!</v>
      </c>
      <c r="N31" s="1" t="e">
        <f>(M31+M34+#REF!+#REF!)*1.18</f>
        <v>#REF!</v>
      </c>
      <c r="V31" s="1" t="e">
        <f t="shared" ref="V31:V34" si="5">(L31+70)*1.18*G31</f>
        <v>#REF!</v>
      </c>
    </row>
    <row r="32" spans="1:23" x14ac:dyDescent="0.2">
      <c r="B32" s="8" t="str">
        <f>B25</f>
        <v>2</v>
      </c>
      <c r="C32" s="2"/>
      <c r="D32" s="34" t="s">
        <v>16</v>
      </c>
      <c r="E32" s="42" t="s">
        <v>284</v>
      </c>
      <c r="F32" s="20" t="s">
        <v>5</v>
      </c>
      <c r="G32" s="52" t="e">
        <f t="shared" ref="G32:G34" si="6">G25</f>
        <v>#REF!</v>
      </c>
      <c r="H32" s="43">
        <v>34.67</v>
      </c>
      <c r="I32" s="44" t="e">
        <f t="shared" ref="I32:I34" si="7">G32*H32</f>
        <v>#REF!</v>
      </c>
      <c r="L32" s="32" t="e">
        <f>'смета C3'!#REF!</f>
        <v>#REF!</v>
      </c>
      <c r="M32" s="32" t="e">
        <f t="shared" si="4"/>
        <v>#REF!</v>
      </c>
      <c r="V32" s="1" t="e">
        <f t="shared" si="5"/>
        <v>#REF!</v>
      </c>
    </row>
    <row r="33" spans="1:22" x14ac:dyDescent="0.2">
      <c r="B33" s="8" t="str">
        <f>B26</f>
        <v>3</v>
      </c>
      <c r="C33" s="2"/>
      <c r="D33" s="34" t="s">
        <v>17</v>
      </c>
      <c r="E33" s="42" t="s">
        <v>286</v>
      </c>
      <c r="F33" s="20" t="s">
        <v>5</v>
      </c>
      <c r="G33" s="52" t="e">
        <f t="shared" si="6"/>
        <v>#REF!</v>
      </c>
      <c r="H33" s="43"/>
      <c r="I33" s="44"/>
      <c r="L33" s="32" t="e">
        <f>'смета C3'!#REF!</f>
        <v>#REF!</v>
      </c>
      <c r="M33" s="32" t="e">
        <f t="shared" si="4"/>
        <v>#REF!</v>
      </c>
    </row>
    <row r="34" spans="1:22" x14ac:dyDescent="0.2">
      <c r="B34" s="8" t="str">
        <f>B27</f>
        <v>4</v>
      </c>
      <c r="C34" s="2"/>
      <c r="D34" s="34" t="s">
        <v>131</v>
      </c>
      <c r="E34" s="42" t="s">
        <v>285</v>
      </c>
      <c r="F34" s="20" t="s">
        <v>4</v>
      </c>
      <c r="G34" s="52" t="e">
        <f t="shared" si="6"/>
        <v>#REF!</v>
      </c>
      <c r="H34" s="43">
        <v>30.5</v>
      </c>
      <c r="I34" s="44" t="e">
        <f t="shared" si="7"/>
        <v>#REF!</v>
      </c>
      <c r="L34" s="32" t="e">
        <f>'смета C3'!#REF!</f>
        <v>#REF!</v>
      </c>
      <c r="M34" s="32" t="e">
        <f t="shared" si="4"/>
        <v>#REF!</v>
      </c>
      <c r="V34" s="1" t="e">
        <f t="shared" si="5"/>
        <v>#REF!</v>
      </c>
    </row>
    <row r="35" spans="1:22" x14ac:dyDescent="0.2">
      <c r="B35" s="4"/>
      <c r="C35" s="2"/>
      <c r="D35" s="34"/>
      <c r="E35" s="45" t="s">
        <v>156</v>
      </c>
      <c r="F35" s="20"/>
      <c r="G35" s="37"/>
      <c r="H35" s="37"/>
      <c r="I35" s="33" t="e">
        <f>SUM(I31:I34)</f>
        <v>#REF!</v>
      </c>
      <c r="K35" s="18">
        <v>2659970</v>
      </c>
      <c r="L35" s="46" t="s">
        <v>319</v>
      </c>
      <c r="M35" s="40" t="e">
        <f>SUM(M31:M34)</f>
        <v>#REF!</v>
      </c>
      <c r="O35" s="11" t="e">
        <f>M35*1.18</f>
        <v>#REF!</v>
      </c>
      <c r="P35" s="2" t="e">
        <f>O35/O39</f>
        <v>#REF!</v>
      </c>
      <c r="Q35" s="1" t="s">
        <v>166</v>
      </c>
      <c r="V35" s="13"/>
    </row>
    <row r="36" spans="1:22" x14ac:dyDescent="0.2">
      <c r="B36" s="4"/>
      <c r="C36" s="2"/>
      <c r="D36" s="34"/>
      <c r="E36" s="37" t="s">
        <v>3</v>
      </c>
      <c r="F36" s="20"/>
      <c r="G36" s="37"/>
      <c r="H36" s="37"/>
      <c r="I36" s="33" t="e">
        <f>I29+I35</f>
        <v>#REF!</v>
      </c>
      <c r="K36" s="55" t="s">
        <v>320</v>
      </c>
      <c r="L36" s="47" t="s">
        <v>161</v>
      </c>
      <c r="M36" s="40" t="e">
        <f>M35+M29</f>
        <v>#REF!</v>
      </c>
      <c r="O36" s="11" t="e">
        <f>M29*1.18</f>
        <v>#REF!</v>
      </c>
      <c r="P36" s="2" t="e">
        <f>O36/O39</f>
        <v>#REF!</v>
      </c>
      <c r="Q36" s="1" t="s">
        <v>162</v>
      </c>
    </row>
    <row r="37" spans="1:22" hidden="1" x14ac:dyDescent="0.2">
      <c r="B37" s="4"/>
      <c r="C37" s="2"/>
      <c r="D37" s="34"/>
      <c r="E37" s="48" t="s">
        <v>321</v>
      </c>
      <c r="F37" s="20"/>
      <c r="G37" s="37"/>
      <c r="H37" s="37"/>
      <c r="I37" s="33">
        <v>3657459.22</v>
      </c>
      <c r="L37" s="32"/>
      <c r="M37" s="32" t="e">
        <f>M35+M29</f>
        <v>#REF!</v>
      </c>
    </row>
    <row r="38" spans="1:22" x14ac:dyDescent="0.2">
      <c r="B38" s="2"/>
      <c r="C38" s="2"/>
      <c r="D38" s="34"/>
      <c r="E38" s="36" t="s">
        <v>2</v>
      </c>
      <c r="F38" s="20"/>
      <c r="G38" s="37"/>
      <c r="H38" s="37"/>
      <c r="I38" s="33">
        <v>658342.66</v>
      </c>
      <c r="K38" s="18">
        <v>3799957.63</v>
      </c>
      <c r="L38" s="32"/>
      <c r="M38" s="40" t="e">
        <f>M37*0.18</f>
        <v>#REF!</v>
      </c>
    </row>
    <row r="39" spans="1:22" x14ac:dyDescent="0.2">
      <c r="B39" s="2"/>
      <c r="C39" s="2"/>
      <c r="D39" s="34"/>
      <c r="E39" s="49" t="s">
        <v>15</v>
      </c>
      <c r="F39" s="37"/>
      <c r="G39" s="37"/>
      <c r="H39" s="37"/>
      <c r="I39" s="33">
        <v>4315801.88</v>
      </c>
      <c r="K39" s="50">
        <v>4483950</v>
      </c>
      <c r="L39" s="32"/>
      <c r="M39" s="40" t="e">
        <f>M37*1.18</f>
        <v>#REF!</v>
      </c>
      <c r="N39" s="11" t="e">
        <f>M39-'[1]КС-6а'!$N$9</f>
        <v>#REF!</v>
      </c>
      <c r="O39" s="11">
        <v>4330</v>
      </c>
      <c r="P39" s="13">
        <f>O39*1250</f>
        <v>5412500</v>
      </c>
      <c r="R39" s="11"/>
      <c r="V39" s="11" t="e">
        <f>M39-'[2]КС-6а'!$K$9</f>
        <v>#REF!</v>
      </c>
    </row>
    <row r="40" spans="1:22" x14ac:dyDescent="0.2">
      <c r="B40" s="2"/>
      <c r="C40" s="2"/>
      <c r="D40" s="2"/>
      <c r="E40" s="49"/>
      <c r="F40" s="37"/>
      <c r="G40" s="37"/>
      <c r="H40" s="37"/>
      <c r="I40" s="33"/>
      <c r="L40" s="32"/>
      <c r="M40" s="37"/>
    </row>
    <row r="41" spans="1:22" x14ac:dyDescent="0.2">
      <c r="B41" s="2"/>
      <c r="C41" s="2"/>
      <c r="D41" s="2"/>
      <c r="E41" s="37" t="s">
        <v>322</v>
      </c>
      <c r="F41" s="37"/>
      <c r="G41" s="37"/>
      <c r="H41" s="37"/>
      <c r="I41" s="37" t="s">
        <v>0</v>
      </c>
      <c r="L41" s="32" t="s">
        <v>323</v>
      </c>
      <c r="M41" s="37"/>
    </row>
    <row r="42" spans="1:22" ht="15.75" customHeight="1" x14ac:dyDescent="0.2">
      <c r="B42" s="2"/>
      <c r="C42" s="2"/>
      <c r="D42" s="2"/>
      <c r="E42" s="37" t="s">
        <v>324</v>
      </c>
      <c r="F42" s="37"/>
      <c r="G42" s="37"/>
      <c r="H42" s="37"/>
      <c r="I42" s="37" t="s">
        <v>0</v>
      </c>
      <c r="L42" s="32" t="s">
        <v>325</v>
      </c>
      <c r="M42" s="37"/>
    </row>
    <row r="45" spans="1:22" s="30" customFormat="1" x14ac:dyDescent="0.2">
      <c r="A45" s="1"/>
      <c r="B45" s="1"/>
      <c r="C45" s="1"/>
      <c r="D45" s="1"/>
      <c r="E45" s="18"/>
      <c r="F45" s="18"/>
      <c r="G45" s="18"/>
      <c r="H45" s="18"/>
      <c r="I45" s="18"/>
      <c r="J45" s="18"/>
      <c r="K45" s="18">
        <v>3799957.63</v>
      </c>
      <c r="M45" s="18"/>
      <c r="N45" s="1"/>
      <c r="O45" s="11"/>
      <c r="P45" s="1"/>
      <c r="Q45" s="1"/>
      <c r="R45" s="1"/>
      <c r="S45" s="1"/>
      <c r="T45" s="1"/>
      <c r="U45" s="1"/>
    </row>
  </sheetData>
  <mergeCells count="27">
    <mergeCell ref="E30:I30"/>
    <mergeCell ref="F11:G11"/>
    <mergeCell ref="B13:M13"/>
    <mergeCell ref="E15:E16"/>
    <mergeCell ref="F15:F16"/>
    <mergeCell ref="G15:G16"/>
    <mergeCell ref="L15:M15"/>
    <mergeCell ref="B18:M18"/>
    <mergeCell ref="B19:L20"/>
    <mergeCell ref="M19:M20"/>
    <mergeCell ref="F21:G21"/>
    <mergeCell ref="E23:M23"/>
    <mergeCell ref="A6:B6"/>
    <mergeCell ref="D6:G6"/>
    <mergeCell ref="A7:B7"/>
    <mergeCell ref="D7:G7"/>
    <mergeCell ref="G8:L8"/>
    <mergeCell ref="F9:G9"/>
    <mergeCell ref="E1:F1"/>
    <mergeCell ref="G1:K1"/>
    <mergeCell ref="L1:P1"/>
    <mergeCell ref="E2:O2"/>
    <mergeCell ref="L3:P3"/>
    <mergeCell ref="E4:F4"/>
    <mergeCell ref="G4:I4"/>
    <mergeCell ref="J4:K4"/>
    <mergeCell ref="M4:O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смета C3</vt:lpstr>
      <vt:lpstr>1 этаж</vt:lpstr>
      <vt:lpstr>Лист2</vt:lpstr>
      <vt:lpstr>Лист3</vt:lpstr>
      <vt:lpstr>'смета C3'!Область_печати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2023-06-05T06:41:37Z</dcterms:modified>
</cp:coreProperties>
</file>